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24-April-26\"/>
    </mc:Choice>
  </mc:AlternateContent>
  <bookViews>
    <workbookView xWindow="0" yWindow="0" windowWidth="2880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shares'!$A$1:$FA$220</definedName>
    <definedName name="Expry_Roll___20" localSheetId="15">'NIFTY GRP'!$A$1:$EY$51</definedName>
    <definedName name="fii" localSheetId="18">FII!$A$1:$N$16</definedName>
    <definedName name="_xlnm.Print_Area" localSheetId="14">Disclaimar!$A$1:$A$24</definedName>
    <definedName name="stats__2" localSheetId="16">'Data Vlaue (Cr)'!$A$1:$FB$220</definedName>
  </definedNames>
  <calcPr calcId="162913"/>
</workbook>
</file>

<file path=xl/calcChain.xml><?xml version="1.0" encoding="utf-8"?>
<calcChain xmlns="http://schemas.openxmlformats.org/spreadsheetml/2006/main">
  <c r="A220" i="13" l="1"/>
  <c r="G220" i="13" s="1"/>
  <c r="A221" i="13"/>
  <c r="E221" i="13" s="1"/>
  <c r="A222" i="13"/>
  <c r="E222" i="13" s="1"/>
  <c r="A223" i="13"/>
  <c r="E223" i="13" s="1"/>
  <c r="A224" i="13"/>
  <c r="G224" i="13" s="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E217" i="13" s="1"/>
  <c r="A218" i="13"/>
  <c r="G218" i="13" s="1"/>
  <c r="A219" i="13"/>
  <c r="E219" i="13" s="1"/>
  <c r="A9" i="13"/>
  <c r="A8" i="13"/>
  <c r="A7" i="13"/>
  <c r="A6" i="13"/>
  <c r="B221" i="13" l="1"/>
  <c r="D222" i="13"/>
  <c r="B219" i="13"/>
  <c r="F221" i="13"/>
  <c r="F222" i="13"/>
  <c r="B217" i="13"/>
  <c r="F219" i="13"/>
  <c r="B222" i="13"/>
  <c r="G222" i="13"/>
  <c r="D218" i="13"/>
  <c r="F217" i="13"/>
  <c r="D220" i="13"/>
  <c r="C222" i="13"/>
  <c r="D224" i="13"/>
  <c r="B223" i="13"/>
  <c r="F223" i="13"/>
  <c r="C217" i="13"/>
  <c r="G217" i="13"/>
  <c r="E218" i="13"/>
  <c r="C219" i="13"/>
  <c r="G219" i="13"/>
  <c r="E220" i="13"/>
  <c r="C221" i="13"/>
  <c r="G221" i="13"/>
  <c r="C223" i="13"/>
  <c r="G223" i="13"/>
  <c r="E224" i="13"/>
  <c r="D217" i="13"/>
  <c r="B218" i="13"/>
  <c r="F218" i="13"/>
  <c r="D219" i="13"/>
  <c r="B220" i="13"/>
  <c r="F220" i="13"/>
  <c r="D221" i="13"/>
  <c r="D223" i="13"/>
  <c r="B224" i="13"/>
  <c r="F224" i="13"/>
  <c r="C218" i="13"/>
  <c r="C220" i="13"/>
  <c r="C224" i="13"/>
  <c r="F5" i="18"/>
  <c r="F203" i="18"/>
  <c r="F105" i="18"/>
  <c r="F165" i="18"/>
  <c r="E165" i="18"/>
  <c r="E105" i="18"/>
  <c r="E203" i="18"/>
  <c r="E5" i="18"/>
  <c r="A222" i="14"/>
  <c r="E222" i="14" s="1"/>
  <c r="A223" i="14"/>
  <c r="C223" i="14" s="1"/>
  <c r="A224" i="14"/>
  <c r="E224" i="14" s="1"/>
  <c r="A225" i="14"/>
  <c r="E225" i="14" s="1"/>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C219" i="14" s="1"/>
  <c r="A220" i="14"/>
  <c r="F220" i="14" s="1"/>
  <c r="A221" i="14"/>
  <c r="E221" i="14" s="1"/>
  <c r="A9" i="14"/>
  <c r="A8" i="14"/>
  <c r="A7" i="14"/>
  <c r="A221" i="3"/>
  <c r="Q221" i="3" s="1"/>
  <c r="A222" i="3"/>
  <c r="Q222" i="3" s="1"/>
  <c r="A223" i="3"/>
  <c r="Q223" i="3" s="1"/>
  <c r="A224" i="3"/>
  <c r="O224" i="3" s="1"/>
  <c r="A225" i="3"/>
  <c r="P225" i="3" s="1"/>
  <c r="A225" i="2"/>
  <c r="P225" i="2" s="1"/>
  <c r="A226" i="2"/>
  <c r="P226" i="2" s="1"/>
  <c r="A227" i="2"/>
  <c r="P227" i="2" s="1"/>
  <c r="A228" i="2"/>
  <c r="Q228" i="2" s="1"/>
  <c r="A229" i="2"/>
  <c r="Q229" i="2" s="1"/>
  <c r="A222" i="12"/>
  <c r="J222" i="12" s="1"/>
  <c r="A223" i="12"/>
  <c r="D223" i="12" s="1"/>
  <c r="A224" i="12"/>
  <c r="D224" i="12" s="1"/>
  <c r="A225" i="12"/>
  <c r="H225" i="12" s="1"/>
  <c r="A215" i="12"/>
  <c r="A216" i="12"/>
  <c r="A217" i="12"/>
  <c r="A218" i="12"/>
  <c r="A219" i="12"/>
  <c r="D219" i="12" s="1"/>
  <c r="A220" i="12"/>
  <c r="B220" i="12" s="1"/>
  <c r="A221" i="12"/>
  <c r="D221" i="12" s="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I218" i="11" s="1"/>
  <c r="A219" i="11"/>
  <c r="N219" i="11" s="1"/>
  <c r="A220" i="11"/>
  <c r="E220" i="11" s="1"/>
  <c r="A221" i="11"/>
  <c r="N221" i="11" s="1"/>
  <c r="A222" i="11"/>
  <c r="M222" i="11" s="1"/>
  <c r="A223" i="11"/>
  <c r="N223" i="11" s="1"/>
  <c r="A224" i="11"/>
  <c r="M224" i="11" s="1"/>
  <c r="A225" i="11"/>
  <c r="N225" i="11" s="1"/>
  <c r="A9" i="11"/>
  <c r="A8" i="11"/>
  <c r="A7" i="11"/>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N218" i="10" s="1"/>
  <c r="A219" i="10"/>
  <c r="L219" i="10" s="1"/>
  <c r="A220" i="10"/>
  <c r="G220" i="10" s="1"/>
  <c r="A221" i="10"/>
  <c r="A222" i="10"/>
  <c r="L222" i="10" s="1"/>
  <c r="A223" i="10"/>
  <c r="L223" i="10" s="1"/>
  <c r="A224" i="10"/>
  <c r="L224" i="10" s="1"/>
  <c r="A225" i="10"/>
  <c r="A10" i="10"/>
  <c r="A9" i="10"/>
  <c r="A8" i="10"/>
  <c r="A7" i="10"/>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10" i="8"/>
  <c r="A9" i="8"/>
  <c r="A8" i="8"/>
  <c r="A7" i="8"/>
  <c r="A225" i="6"/>
  <c r="M225" i="6" s="1"/>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L218" i="6" s="1"/>
  <c r="A219" i="6"/>
  <c r="N219" i="6" s="1"/>
  <c r="A220" i="6"/>
  <c r="L220" i="6" s="1"/>
  <c r="A221" i="6"/>
  <c r="G221" i="6" s="1"/>
  <c r="A222" i="6"/>
  <c r="L222" i="6" s="1"/>
  <c r="A223" i="6"/>
  <c r="N223" i="6" s="1"/>
  <c r="A224" i="6"/>
  <c r="L224" i="6" s="1"/>
  <c r="A10" i="6"/>
  <c r="A9" i="6"/>
  <c r="A8" i="6"/>
  <c r="A7" i="6"/>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I218" i="7" s="1"/>
  <c r="A219" i="7"/>
  <c r="I219" i="7" s="1"/>
  <c r="A220" i="7"/>
  <c r="I220" i="7" s="1"/>
  <c r="A221" i="7"/>
  <c r="A222" i="7"/>
  <c r="I222" i="7" s="1"/>
  <c r="A223" i="7"/>
  <c r="I223" i="7" s="1"/>
  <c r="A224" i="7"/>
  <c r="I224" i="7" s="1"/>
  <c r="A225" i="7"/>
  <c r="G225" i="7" s="1"/>
  <c r="A10" i="7"/>
  <c r="A9" i="7"/>
  <c r="A8" i="7"/>
  <c r="A7" i="7"/>
  <c r="I225" i="3"/>
  <c r="N223" i="3"/>
  <c r="I223" i="3"/>
  <c r="C223" i="3"/>
  <c r="N222" i="3"/>
  <c r="C221"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P218" i="3" s="1"/>
  <c r="A219" i="3"/>
  <c r="O219" i="3" s="1"/>
  <c r="A220" i="3"/>
  <c r="N220" i="3" s="1"/>
  <c r="A12" i="3"/>
  <c r="A13" i="3"/>
  <c r="A11" i="3"/>
  <c r="A10" i="3"/>
  <c r="A9" i="3"/>
  <c r="A8" i="3"/>
  <c r="A7" i="3"/>
  <c r="R229" i="2"/>
  <c r="L229" i="2"/>
  <c r="D229" i="2"/>
  <c r="Q227" i="2"/>
  <c r="C227" i="2"/>
  <c r="Q226" i="2"/>
  <c r="I226" i="2"/>
  <c r="C226" i="2"/>
  <c r="Q225" i="2"/>
  <c r="I225" i="2"/>
  <c r="C22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R222" i="2" s="1"/>
  <c r="A223" i="2"/>
  <c r="R223" i="2" s="1"/>
  <c r="A224" i="2"/>
  <c r="S224" i="2" s="1"/>
  <c r="A15" i="2"/>
  <c r="A14" i="2"/>
  <c r="A13" i="2"/>
  <c r="A12" i="2"/>
  <c r="A11" i="2"/>
  <c r="I221" i="3" l="1"/>
  <c r="O225" i="3"/>
  <c r="R228" i="2"/>
  <c r="N221" i="3"/>
  <c r="B225" i="3"/>
  <c r="D226" i="2"/>
  <c r="L226" i="2"/>
  <c r="R226" i="2"/>
  <c r="D223" i="3"/>
  <c r="E223" i="3" s="1"/>
  <c r="J223" i="3"/>
  <c r="O223" i="3"/>
  <c r="L225" i="6"/>
  <c r="E226" i="2"/>
  <c r="M226" i="2"/>
  <c r="S226" i="2"/>
  <c r="F223" i="3"/>
  <c r="H223" i="3" s="1"/>
  <c r="L223" i="3"/>
  <c r="P223" i="3"/>
  <c r="B226" i="2"/>
  <c r="H226" i="2"/>
  <c r="B223" i="3"/>
  <c r="G223" i="3"/>
  <c r="M223" i="3"/>
  <c r="D225" i="2"/>
  <c r="F225" i="2" s="1"/>
  <c r="L225" i="2"/>
  <c r="R225" i="2"/>
  <c r="E229" i="2"/>
  <c r="G229" i="2" s="1"/>
  <c r="M229" i="2"/>
  <c r="N229" i="2" s="1"/>
  <c r="O229" i="2" s="1"/>
  <c r="S229" i="2"/>
  <c r="E225" i="2"/>
  <c r="M225" i="2"/>
  <c r="N225" i="2" s="1"/>
  <c r="O225" i="2" s="1"/>
  <c r="S225" i="2"/>
  <c r="B229" i="2"/>
  <c r="H229" i="2"/>
  <c r="P229" i="2"/>
  <c r="D224" i="10"/>
  <c r="E219" i="11"/>
  <c r="F219" i="12"/>
  <c r="B225" i="2"/>
  <c r="H225" i="2"/>
  <c r="J225" i="2" s="1"/>
  <c r="K225" i="2" s="1"/>
  <c r="C229" i="2"/>
  <c r="I229" i="2"/>
  <c r="C222" i="3"/>
  <c r="D225" i="6"/>
  <c r="F224" i="12"/>
  <c r="G223" i="6"/>
  <c r="D227" i="2"/>
  <c r="R227" i="2"/>
  <c r="M218" i="6"/>
  <c r="G218" i="10"/>
  <c r="F221" i="12"/>
  <c r="H224" i="12"/>
  <c r="B224" i="14"/>
  <c r="G224" i="14" s="1"/>
  <c r="S222" i="2"/>
  <c r="G226" i="2"/>
  <c r="I227" i="2"/>
  <c r="M222" i="7"/>
  <c r="O219" i="6"/>
  <c r="I219" i="10"/>
  <c r="O221" i="11"/>
  <c r="H221" i="12"/>
  <c r="C224" i="14"/>
  <c r="G225" i="11"/>
  <c r="E224" i="2"/>
  <c r="L227" i="2"/>
  <c r="P224" i="3"/>
  <c r="E222" i="6"/>
  <c r="L220" i="10"/>
  <c r="K223" i="11"/>
  <c r="D222" i="12"/>
  <c r="D219" i="14"/>
  <c r="D224" i="14"/>
  <c r="E223" i="2"/>
  <c r="P224" i="2"/>
  <c r="C228" i="2"/>
  <c r="D221" i="3"/>
  <c r="E221" i="3" s="1"/>
  <c r="J221" i="3"/>
  <c r="O221" i="3"/>
  <c r="C225" i="3"/>
  <c r="J225" i="3"/>
  <c r="K225" i="3" s="1"/>
  <c r="Q225" i="3"/>
  <c r="C218" i="7"/>
  <c r="O219" i="7"/>
  <c r="G223" i="7"/>
  <c r="C219" i="6"/>
  <c r="E220" i="6"/>
  <c r="I222" i="6"/>
  <c r="K223" i="6"/>
  <c r="N223" i="12" s="1"/>
  <c r="M224" i="6"/>
  <c r="F225" i="6"/>
  <c r="N225" i="6"/>
  <c r="K218" i="10"/>
  <c r="M219" i="10"/>
  <c r="H222" i="10"/>
  <c r="E218" i="11"/>
  <c r="G219" i="11"/>
  <c r="C221" i="11"/>
  <c r="I222" i="11"/>
  <c r="O223" i="11"/>
  <c r="K225" i="11"/>
  <c r="H219" i="12"/>
  <c r="J220" i="12"/>
  <c r="F222" i="12"/>
  <c r="H223" i="12"/>
  <c r="C220" i="14"/>
  <c r="D223" i="14"/>
  <c r="F224" i="14"/>
  <c r="D222" i="2"/>
  <c r="M223" i="2"/>
  <c r="F226" i="2"/>
  <c r="H228" i="2"/>
  <c r="F221" i="3"/>
  <c r="L221" i="3"/>
  <c r="P221" i="3"/>
  <c r="D225" i="3"/>
  <c r="M225" i="3"/>
  <c r="G218" i="7"/>
  <c r="O223" i="7"/>
  <c r="E218" i="6"/>
  <c r="G219" i="6"/>
  <c r="I220" i="6"/>
  <c r="M220" i="12" s="1"/>
  <c r="M222" i="6"/>
  <c r="O223" i="6"/>
  <c r="H225" i="6"/>
  <c r="O218" i="10"/>
  <c r="C220" i="10"/>
  <c r="B223" i="10"/>
  <c r="M218" i="11"/>
  <c r="K219" i="11"/>
  <c r="G221" i="11"/>
  <c r="C223" i="11"/>
  <c r="O225" i="11"/>
  <c r="B219" i="12"/>
  <c r="J219" i="12"/>
  <c r="B221" i="12"/>
  <c r="J221" i="12"/>
  <c r="H222" i="12"/>
  <c r="B224" i="12"/>
  <c r="J224" i="12"/>
  <c r="B221" i="14"/>
  <c r="G221" i="14" s="1"/>
  <c r="B225" i="14"/>
  <c r="G225" i="14" s="1"/>
  <c r="G219" i="7"/>
  <c r="I224" i="6"/>
  <c r="M224" i="12" s="1"/>
  <c r="F220" i="12"/>
  <c r="I222" i="2"/>
  <c r="S223" i="2"/>
  <c r="M228" i="2"/>
  <c r="B221" i="3"/>
  <c r="G221" i="3"/>
  <c r="M221" i="3"/>
  <c r="G225" i="3"/>
  <c r="N225" i="3"/>
  <c r="M218" i="7"/>
  <c r="E222" i="7"/>
  <c r="I218" i="6"/>
  <c r="M218" i="12" s="1"/>
  <c r="K219" i="6"/>
  <c r="M220" i="6"/>
  <c r="C223" i="6"/>
  <c r="E224" i="6"/>
  <c r="B225" i="6"/>
  <c r="J225" i="6"/>
  <c r="C218" i="10"/>
  <c r="E219" i="10"/>
  <c r="J223" i="10"/>
  <c r="C219" i="11"/>
  <c r="O219" i="11"/>
  <c r="K221" i="11"/>
  <c r="G223" i="11"/>
  <c r="C225" i="11"/>
  <c r="B222" i="12"/>
  <c r="F221" i="14"/>
  <c r="F225" i="14"/>
  <c r="N221" i="7"/>
  <c r="J221" i="7"/>
  <c r="F221" i="7"/>
  <c r="B221" i="7"/>
  <c r="L221" i="7"/>
  <c r="H221" i="7"/>
  <c r="D221" i="7"/>
  <c r="O225" i="7"/>
  <c r="N217" i="6"/>
  <c r="J217" i="6"/>
  <c r="F217" i="6"/>
  <c r="B217" i="6"/>
  <c r="M217" i="6"/>
  <c r="I217" i="6"/>
  <c r="E217" i="6"/>
  <c r="L217" i="6"/>
  <c r="H217" i="6"/>
  <c r="D217" i="6"/>
  <c r="E222" i="2"/>
  <c r="P222" i="2"/>
  <c r="B223" i="2"/>
  <c r="H223" i="2"/>
  <c r="P223" i="2"/>
  <c r="B224" i="2"/>
  <c r="L224" i="2"/>
  <c r="Q224" i="2"/>
  <c r="J226" i="2"/>
  <c r="K226" i="2" s="1"/>
  <c r="L224" i="7"/>
  <c r="H224" i="7"/>
  <c r="D224" i="7"/>
  <c r="N224" i="7"/>
  <c r="J224" i="7"/>
  <c r="F224" i="7"/>
  <c r="B224" i="7"/>
  <c r="L220" i="7"/>
  <c r="H220" i="7"/>
  <c r="D220" i="7"/>
  <c r="N220" i="7"/>
  <c r="J220" i="7"/>
  <c r="F220" i="7"/>
  <c r="B220" i="7"/>
  <c r="D218" i="7"/>
  <c r="H218" i="7"/>
  <c r="O218" i="7"/>
  <c r="C220" i="7"/>
  <c r="K220" i="7"/>
  <c r="E221" i="7"/>
  <c r="M221" i="7"/>
  <c r="G222" i="7"/>
  <c r="O222" i="7"/>
  <c r="C224" i="7"/>
  <c r="K224" i="7"/>
  <c r="E225" i="7"/>
  <c r="K217" i="6"/>
  <c r="C221" i="6"/>
  <c r="M225" i="10"/>
  <c r="I225" i="10"/>
  <c r="E225" i="10"/>
  <c r="O225" i="10"/>
  <c r="K225" i="10"/>
  <c r="G225" i="10"/>
  <c r="C225" i="10"/>
  <c r="L225" i="10"/>
  <c r="D225" i="10"/>
  <c r="J225" i="10"/>
  <c r="B225" i="10"/>
  <c r="H225" i="10"/>
  <c r="M221" i="10"/>
  <c r="I221" i="10"/>
  <c r="E221" i="10"/>
  <c r="O221" i="10"/>
  <c r="K221" i="10"/>
  <c r="G221" i="10"/>
  <c r="C221" i="10"/>
  <c r="L221" i="10"/>
  <c r="D221" i="10"/>
  <c r="J221" i="10"/>
  <c r="B221" i="10"/>
  <c r="H221" i="10"/>
  <c r="F225" i="10"/>
  <c r="C221" i="7"/>
  <c r="K221" i="7"/>
  <c r="G217" i="6"/>
  <c r="O221" i="6"/>
  <c r="B222" i="2"/>
  <c r="L222" i="2"/>
  <c r="Q222" i="2"/>
  <c r="C223" i="2"/>
  <c r="I223" i="2"/>
  <c r="Q223" i="2"/>
  <c r="C224" i="2"/>
  <c r="H224" i="2"/>
  <c r="M224" i="2"/>
  <c r="R224" i="2"/>
  <c r="N223" i="7"/>
  <c r="J223" i="7"/>
  <c r="F223" i="7"/>
  <c r="B223" i="7"/>
  <c r="L223" i="7"/>
  <c r="H223" i="7"/>
  <c r="D223" i="7"/>
  <c r="N219" i="7"/>
  <c r="J219" i="7"/>
  <c r="F219" i="7"/>
  <c r="B219" i="7"/>
  <c r="L219" i="7"/>
  <c r="H219" i="7"/>
  <c r="D219" i="7"/>
  <c r="E218" i="7"/>
  <c r="C219" i="7"/>
  <c r="K219" i="7"/>
  <c r="E220" i="7"/>
  <c r="M220" i="7"/>
  <c r="G221" i="7"/>
  <c r="O221" i="7"/>
  <c r="C223" i="7"/>
  <c r="K223" i="7"/>
  <c r="E224" i="7"/>
  <c r="M224" i="7"/>
  <c r="O217" i="6"/>
  <c r="F221" i="10"/>
  <c r="N225" i="10"/>
  <c r="N225" i="7"/>
  <c r="J225" i="7"/>
  <c r="F225" i="7"/>
  <c r="B225" i="7"/>
  <c r="M225" i="7"/>
  <c r="I225" i="7"/>
  <c r="L225" i="7"/>
  <c r="H225" i="7"/>
  <c r="D225" i="7"/>
  <c r="C225" i="7"/>
  <c r="N221" i="6"/>
  <c r="J221" i="6"/>
  <c r="F221" i="6"/>
  <c r="B221" i="6"/>
  <c r="M221" i="6"/>
  <c r="I221" i="6"/>
  <c r="M221" i="12" s="1"/>
  <c r="E221" i="6"/>
  <c r="L221" i="6"/>
  <c r="O221" i="12" s="1"/>
  <c r="H221" i="6"/>
  <c r="L221" i="12" s="1"/>
  <c r="D221" i="6"/>
  <c r="C222" i="2"/>
  <c r="H222" i="2"/>
  <c r="M222" i="2"/>
  <c r="D223" i="2"/>
  <c r="L223" i="2"/>
  <c r="N223" i="2" s="1"/>
  <c r="O223" i="2" s="1"/>
  <c r="D224" i="2"/>
  <c r="I224" i="2"/>
  <c r="N226" i="2"/>
  <c r="O226" i="2" s="1"/>
  <c r="J229" i="2"/>
  <c r="K229" i="2" s="1"/>
  <c r="L222" i="7"/>
  <c r="H222" i="7"/>
  <c r="D222" i="7"/>
  <c r="N222" i="7"/>
  <c r="J222" i="7"/>
  <c r="F222" i="7"/>
  <c r="B222" i="7"/>
  <c r="L218" i="7"/>
  <c r="N218" i="7"/>
  <c r="J218" i="7"/>
  <c r="B218" i="7"/>
  <c r="F218" i="7"/>
  <c r="K218" i="7"/>
  <c r="E219" i="7"/>
  <c r="M219" i="7"/>
  <c r="G220" i="7"/>
  <c r="O220" i="7"/>
  <c r="I221" i="7"/>
  <c r="C222" i="7"/>
  <c r="K222" i="7"/>
  <c r="E223" i="7"/>
  <c r="M223" i="7"/>
  <c r="G224" i="7"/>
  <c r="O224" i="7"/>
  <c r="K225" i="7"/>
  <c r="C217" i="6"/>
  <c r="K221" i="6"/>
  <c r="N221" i="12" s="1"/>
  <c r="N221" i="10"/>
  <c r="I218" i="12"/>
  <c r="E218" i="12"/>
  <c r="H218" i="12"/>
  <c r="D218" i="12"/>
  <c r="O218" i="12"/>
  <c r="K218" i="12"/>
  <c r="G218" i="12"/>
  <c r="C218" i="12"/>
  <c r="J218" i="12"/>
  <c r="F218" i="12"/>
  <c r="O225" i="12"/>
  <c r="K225" i="12"/>
  <c r="G225" i="12"/>
  <c r="C225" i="12"/>
  <c r="J225" i="12"/>
  <c r="F225" i="12"/>
  <c r="B225" i="12"/>
  <c r="I225" i="12"/>
  <c r="E225" i="12"/>
  <c r="D225" i="12"/>
  <c r="L225" i="12"/>
  <c r="B218" i="12"/>
  <c r="N219" i="12"/>
  <c r="B218" i="6"/>
  <c r="F218" i="6"/>
  <c r="J218" i="6"/>
  <c r="N218" i="6"/>
  <c r="D219" i="6"/>
  <c r="H219" i="6"/>
  <c r="L219" i="12" s="1"/>
  <c r="L219" i="6"/>
  <c r="B220" i="6"/>
  <c r="F220" i="6"/>
  <c r="J220" i="6"/>
  <c r="N220" i="6"/>
  <c r="B222" i="6"/>
  <c r="F222" i="6"/>
  <c r="J222" i="6"/>
  <c r="N222" i="6"/>
  <c r="D223" i="6"/>
  <c r="H223" i="6"/>
  <c r="L223" i="12" s="1"/>
  <c r="L223" i="6"/>
  <c r="O223" i="12" s="1"/>
  <c r="B224" i="6"/>
  <c r="F224" i="6"/>
  <c r="J224" i="6"/>
  <c r="N224" i="6"/>
  <c r="C225" i="6"/>
  <c r="G225" i="6"/>
  <c r="K225" i="6"/>
  <c r="N225" i="12" s="1"/>
  <c r="O225" i="6"/>
  <c r="O224" i="10"/>
  <c r="K224" i="10"/>
  <c r="G224" i="10"/>
  <c r="C224" i="10"/>
  <c r="M224" i="10"/>
  <c r="I224" i="10"/>
  <c r="E224" i="10"/>
  <c r="O220" i="10"/>
  <c r="K220" i="10"/>
  <c r="M220" i="10"/>
  <c r="D218" i="10"/>
  <c r="H218" i="10"/>
  <c r="L218" i="10"/>
  <c r="B219" i="10"/>
  <c r="F219" i="10"/>
  <c r="J219" i="10"/>
  <c r="N219" i="10"/>
  <c r="D220" i="10"/>
  <c r="H220" i="10"/>
  <c r="N220" i="10"/>
  <c r="B222" i="10"/>
  <c r="J222" i="10"/>
  <c r="D223" i="10"/>
  <c r="F224" i="10"/>
  <c r="N224" i="10"/>
  <c r="L224" i="11"/>
  <c r="H224" i="11"/>
  <c r="D224" i="11"/>
  <c r="O224" i="11"/>
  <c r="K224" i="11"/>
  <c r="G224" i="11"/>
  <c r="C224" i="11"/>
  <c r="N224" i="11"/>
  <c r="J224" i="11"/>
  <c r="F224" i="11"/>
  <c r="B224" i="11"/>
  <c r="L220" i="11"/>
  <c r="H220" i="11"/>
  <c r="D220" i="11"/>
  <c r="O220" i="11"/>
  <c r="K220" i="11"/>
  <c r="G220" i="11"/>
  <c r="C220" i="11"/>
  <c r="N220" i="11"/>
  <c r="J220" i="11"/>
  <c r="F220" i="11"/>
  <c r="B220" i="11"/>
  <c r="I220" i="11"/>
  <c r="C218" i="6"/>
  <c r="G218" i="6"/>
  <c r="K218" i="6"/>
  <c r="N218" i="12" s="1"/>
  <c r="O218" i="6"/>
  <c r="E219" i="6"/>
  <c r="I219" i="6"/>
  <c r="M219" i="12" s="1"/>
  <c r="M219" i="6"/>
  <c r="C220" i="6"/>
  <c r="G220" i="6"/>
  <c r="K220" i="6"/>
  <c r="N220" i="12" s="1"/>
  <c r="O220" i="6"/>
  <c r="C222" i="6"/>
  <c r="G222" i="6"/>
  <c r="K222" i="6"/>
  <c r="N222" i="12" s="1"/>
  <c r="O222" i="6"/>
  <c r="E223" i="6"/>
  <c r="I223" i="6"/>
  <c r="M223" i="6"/>
  <c r="C224" i="6"/>
  <c r="G224" i="6"/>
  <c r="K224" i="6"/>
  <c r="N224" i="12" s="1"/>
  <c r="O224" i="6"/>
  <c r="M223" i="10"/>
  <c r="I223" i="10"/>
  <c r="E223" i="10"/>
  <c r="O223" i="10"/>
  <c r="K223" i="10"/>
  <c r="G223" i="10"/>
  <c r="C223" i="10"/>
  <c r="E218" i="10"/>
  <c r="I218" i="10"/>
  <c r="M218" i="10"/>
  <c r="C219" i="10"/>
  <c r="G219" i="10"/>
  <c r="K219" i="10"/>
  <c r="O219" i="10"/>
  <c r="E220" i="10"/>
  <c r="I220" i="10"/>
  <c r="D222" i="10"/>
  <c r="F223" i="10"/>
  <c r="N223" i="10"/>
  <c r="H224" i="10"/>
  <c r="M220" i="11"/>
  <c r="E224" i="11"/>
  <c r="D218" i="14"/>
  <c r="C218" i="14"/>
  <c r="F218" i="14"/>
  <c r="B218" i="14"/>
  <c r="D222" i="14"/>
  <c r="C222" i="14"/>
  <c r="F222" i="14"/>
  <c r="B222" i="14"/>
  <c r="G222" i="14" s="1"/>
  <c r="D218" i="6"/>
  <c r="H218" i="6"/>
  <c r="L218" i="12" s="1"/>
  <c r="B219" i="6"/>
  <c r="F219" i="6"/>
  <c r="J219" i="6"/>
  <c r="D220" i="6"/>
  <c r="H220" i="6"/>
  <c r="L220" i="12" s="1"/>
  <c r="D222" i="6"/>
  <c r="H222" i="6"/>
  <c r="L222" i="12" s="1"/>
  <c r="B223" i="6"/>
  <c r="F223" i="6"/>
  <c r="J223" i="6"/>
  <c r="D224" i="6"/>
  <c r="H224" i="6"/>
  <c r="L224" i="12" s="1"/>
  <c r="E225" i="6"/>
  <c r="I225" i="6"/>
  <c r="M225" i="12" s="1"/>
  <c r="O222" i="10"/>
  <c r="K222" i="10"/>
  <c r="G222" i="10"/>
  <c r="C222" i="10"/>
  <c r="M222" i="10"/>
  <c r="I222" i="10"/>
  <c r="E222" i="10"/>
  <c r="B218" i="10"/>
  <c r="F218" i="10"/>
  <c r="J218" i="10"/>
  <c r="D219" i="10"/>
  <c r="H219" i="10"/>
  <c r="B220" i="10"/>
  <c r="F220" i="10"/>
  <c r="J220" i="10"/>
  <c r="F222" i="10"/>
  <c r="N222" i="10"/>
  <c r="H223" i="10"/>
  <c r="B224" i="10"/>
  <c r="J224" i="10"/>
  <c r="L222" i="11"/>
  <c r="H222" i="11"/>
  <c r="D222" i="11"/>
  <c r="O222" i="11"/>
  <c r="K222" i="11"/>
  <c r="G222" i="11"/>
  <c r="C222" i="11"/>
  <c r="N222" i="11"/>
  <c r="J222" i="11"/>
  <c r="F222" i="11"/>
  <c r="B222" i="11"/>
  <c r="L218" i="11"/>
  <c r="H218" i="11"/>
  <c r="D218" i="11"/>
  <c r="O218" i="11"/>
  <c r="K218" i="11"/>
  <c r="G218" i="11"/>
  <c r="C218" i="11"/>
  <c r="N218" i="11"/>
  <c r="J218" i="11"/>
  <c r="F218" i="11"/>
  <c r="B218" i="11"/>
  <c r="E222" i="11"/>
  <c r="I224" i="11"/>
  <c r="O219" i="12"/>
  <c r="M222" i="12"/>
  <c r="E218" i="14"/>
  <c r="D219" i="11"/>
  <c r="H219" i="11"/>
  <c r="L219" i="11"/>
  <c r="D221" i="11"/>
  <c r="H221" i="11"/>
  <c r="L221" i="11"/>
  <c r="D223" i="11"/>
  <c r="H223" i="11"/>
  <c r="L223" i="11"/>
  <c r="D225" i="11"/>
  <c r="H225" i="11"/>
  <c r="L225" i="11"/>
  <c r="E219" i="12"/>
  <c r="I219" i="12"/>
  <c r="C220" i="12"/>
  <c r="G220" i="12"/>
  <c r="K220" i="12"/>
  <c r="O220" i="12"/>
  <c r="E221" i="12"/>
  <c r="I221" i="12"/>
  <c r="C222" i="12"/>
  <c r="G222" i="12"/>
  <c r="K222" i="12"/>
  <c r="O222" i="12"/>
  <c r="E223" i="12"/>
  <c r="I223" i="12"/>
  <c r="M223" i="12"/>
  <c r="C224" i="12"/>
  <c r="G224" i="12"/>
  <c r="K224" i="12"/>
  <c r="O224" i="12"/>
  <c r="E219" i="14"/>
  <c r="D220" i="14"/>
  <c r="C221" i="14"/>
  <c r="E223" i="14"/>
  <c r="C225" i="14"/>
  <c r="I219" i="11"/>
  <c r="M219" i="11"/>
  <c r="E221" i="11"/>
  <c r="I221" i="11"/>
  <c r="M221" i="11"/>
  <c r="E223" i="11"/>
  <c r="I223" i="11"/>
  <c r="M223" i="11"/>
  <c r="E225" i="11"/>
  <c r="I225" i="11"/>
  <c r="M225" i="11"/>
  <c r="D220" i="12"/>
  <c r="H220" i="12"/>
  <c r="B223" i="12"/>
  <c r="F223" i="12"/>
  <c r="J223" i="12"/>
  <c r="B219" i="14"/>
  <c r="F219" i="14"/>
  <c r="E220" i="14"/>
  <c r="D221" i="14"/>
  <c r="B223" i="14"/>
  <c r="F223" i="14"/>
  <c r="D225" i="14"/>
  <c r="B219" i="11"/>
  <c r="F219" i="11"/>
  <c r="J219" i="11"/>
  <c r="B221" i="11"/>
  <c r="F221" i="11"/>
  <c r="J221" i="11"/>
  <c r="B223" i="11"/>
  <c r="F223" i="11"/>
  <c r="J223" i="11"/>
  <c r="B225" i="11"/>
  <c r="F225" i="11"/>
  <c r="J225" i="11"/>
  <c r="C219" i="12"/>
  <c r="G219" i="12"/>
  <c r="K219" i="12"/>
  <c r="E220" i="12"/>
  <c r="I220" i="12"/>
  <c r="C221" i="12"/>
  <c r="G221" i="12"/>
  <c r="K221" i="12"/>
  <c r="E222" i="12"/>
  <c r="I222" i="12"/>
  <c r="C223" i="12"/>
  <c r="G223" i="12"/>
  <c r="K223" i="12"/>
  <c r="E224" i="12"/>
  <c r="I224" i="12"/>
  <c r="B220" i="14"/>
  <c r="G220" i="14" s="1"/>
  <c r="I222" i="3"/>
  <c r="L219" i="3"/>
  <c r="D220" i="3"/>
  <c r="B218" i="3"/>
  <c r="F219" i="3"/>
  <c r="J220" i="3"/>
  <c r="F222" i="3"/>
  <c r="P222" i="3"/>
  <c r="Q218" i="3"/>
  <c r="G218" i="3"/>
  <c r="O220" i="3"/>
  <c r="M218" i="3"/>
  <c r="P219" i="3"/>
  <c r="L222" i="3"/>
  <c r="F224" i="3"/>
  <c r="C218" i="3"/>
  <c r="I218" i="3"/>
  <c r="N218" i="3"/>
  <c r="B219" i="3"/>
  <c r="G219" i="3"/>
  <c r="M219" i="3"/>
  <c r="Q219" i="3"/>
  <c r="F220" i="3"/>
  <c r="L220" i="3"/>
  <c r="P220" i="3"/>
  <c r="I224" i="3"/>
  <c r="D218" i="3"/>
  <c r="J218" i="3"/>
  <c r="O218" i="3"/>
  <c r="C219" i="3"/>
  <c r="I219" i="3"/>
  <c r="N219" i="3"/>
  <c r="B220" i="3"/>
  <c r="G220" i="3"/>
  <c r="M220" i="3"/>
  <c r="Q220" i="3"/>
  <c r="L224" i="3"/>
  <c r="F218" i="3"/>
  <c r="H218" i="3" s="1"/>
  <c r="L218" i="3"/>
  <c r="D219" i="3"/>
  <c r="J219" i="3"/>
  <c r="C220" i="3"/>
  <c r="I220" i="3"/>
  <c r="C224" i="3"/>
  <c r="N224" i="3"/>
  <c r="D222" i="3"/>
  <c r="E222" i="3" s="1"/>
  <c r="J222" i="3"/>
  <c r="O222" i="3"/>
  <c r="K223" i="3"/>
  <c r="B224" i="3"/>
  <c r="G224" i="3"/>
  <c r="M224" i="3"/>
  <c r="Q224" i="3"/>
  <c r="F225" i="3"/>
  <c r="L225" i="3"/>
  <c r="K221" i="3"/>
  <c r="B222" i="3"/>
  <c r="G222" i="3"/>
  <c r="M222" i="3"/>
  <c r="D224" i="3"/>
  <c r="J224" i="3"/>
  <c r="I228" i="2"/>
  <c r="J228" i="2" s="1"/>
  <c r="K228" i="2" s="1"/>
  <c r="S228" i="2"/>
  <c r="E227" i="2"/>
  <c r="G227" i="2" s="1"/>
  <c r="M227" i="2"/>
  <c r="N227" i="2" s="1"/>
  <c r="O227" i="2" s="1"/>
  <c r="S227" i="2"/>
  <c r="E228" i="2"/>
  <c r="D228" i="2"/>
  <c r="P228" i="2"/>
  <c r="B227" i="2"/>
  <c r="H227" i="2"/>
  <c r="J227" i="2" s="1"/>
  <c r="K227" i="2" s="1"/>
  <c r="B228" i="2"/>
  <c r="L228" i="2"/>
  <c r="F223" i="2"/>
  <c r="F227" i="2"/>
  <c r="F229" i="2"/>
  <c r="F212" i="18"/>
  <c r="F92" i="18"/>
  <c r="F66" i="18"/>
  <c r="F6" i="18"/>
  <c r="F53" i="18"/>
  <c r="F210" i="18"/>
  <c r="F205" i="18"/>
  <c r="F194" i="18"/>
  <c r="F52" i="18"/>
  <c r="G225" i="2" l="1"/>
  <c r="G223" i="2"/>
  <c r="J222" i="2"/>
  <c r="K222" i="2" s="1"/>
  <c r="E225" i="3"/>
  <c r="G223" i="14"/>
  <c r="E224" i="3"/>
  <c r="N228" i="2"/>
  <c r="O228" i="2" s="1"/>
  <c r="G222" i="2"/>
  <c r="H221" i="3"/>
  <c r="H225" i="3"/>
  <c r="J224" i="2"/>
  <c r="K224" i="2" s="1"/>
  <c r="F222" i="2"/>
  <c r="G218" i="14"/>
  <c r="G219" i="14"/>
  <c r="N222" i="2"/>
  <c r="O222" i="2" s="1"/>
  <c r="J223" i="2"/>
  <c r="K223" i="2" s="1"/>
  <c r="K222" i="3"/>
  <c r="N224" i="2"/>
  <c r="O224" i="2" s="1"/>
  <c r="G224" i="2"/>
  <c r="F224" i="2"/>
  <c r="E220" i="3"/>
  <c r="K224" i="3"/>
  <c r="K219" i="3"/>
  <c r="H219" i="3"/>
  <c r="H220" i="3"/>
  <c r="H222" i="3"/>
  <c r="H224" i="3"/>
  <c r="K220" i="3"/>
  <c r="K218" i="3"/>
  <c r="E219" i="3"/>
  <c r="E218" i="3"/>
  <c r="G228" i="2"/>
  <c r="F228" i="2"/>
  <c r="L4" i="21"/>
  <c r="L3" i="21"/>
  <c r="F27" i="18"/>
  <c r="B215" i="14" l="1"/>
  <c r="C216" i="14"/>
  <c r="D217" i="14"/>
  <c r="B213" i="13"/>
  <c r="B214" i="13"/>
  <c r="D215" i="13"/>
  <c r="B216" i="13"/>
  <c r="A214" i="12"/>
  <c r="B214" i="12" s="1"/>
  <c r="B215" i="12"/>
  <c r="C216" i="12"/>
  <c r="B217" i="12"/>
  <c r="D213" i="11"/>
  <c r="B214" i="11"/>
  <c r="C215" i="11"/>
  <c r="D216" i="11"/>
  <c r="D217" i="11"/>
  <c r="B214" i="10"/>
  <c r="C215" i="10"/>
  <c r="B216" i="10"/>
  <c r="B217" i="10"/>
  <c r="B54" i="8"/>
  <c r="D55" i="8"/>
  <c r="B56" i="8"/>
  <c r="B212" i="6"/>
  <c r="C213" i="6"/>
  <c r="D214" i="6"/>
  <c r="B215" i="6"/>
  <c r="B216" i="6"/>
  <c r="B214" i="7"/>
  <c r="B215" i="7"/>
  <c r="D216" i="7"/>
  <c r="B217" i="7"/>
  <c r="B215" i="2"/>
  <c r="B216" i="2"/>
  <c r="D217" i="2"/>
  <c r="B219" i="2"/>
  <c r="B220" i="2"/>
  <c r="D221" i="2"/>
  <c r="L216" i="10" l="1"/>
  <c r="G215" i="13"/>
  <c r="I216" i="10"/>
  <c r="G216" i="10"/>
  <c r="N216" i="11"/>
  <c r="L215" i="2"/>
  <c r="O216" i="10"/>
  <c r="E216" i="10"/>
  <c r="K217" i="11"/>
  <c r="J216" i="12"/>
  <c r="I214" i="12"/>
  <c r="I216" i="12"/>
  <c r="I214" i="7"/>
  <c r="G216" i="11"/>
  <c r="B216" i="12"/>
  <c r="H214" i="12"/>
  <c r="E216" i="14"/>
  <c r="M215" i="6"/>
  <c r="N215" i="10"/>
  <c r="I215" i="6"/>
  <c r="M215" i="10"/>
  <c r="K216" i="10"/>
  <c r="D216" i="10"/>
  <c r="E215" i="10"/>
  <c r="F217" i="11"/>
  <c r="I214" i="11"/>
  <c r="G213" i="11"/>
  <c r="C214" i="12"/>
  <c r="F215" i="13"/>
  <c r="B216" i="14"/>
  <c r="K213" i="11"/>
  <c r="K214" i="6"/>
  <c r="M215" i="11"/>
  <c r="F213" i="11"/>
  <c r="B215" i="13"/>
  <c r="F217" i="14"/>
  <c r="K216" i="7"/>
  <c r="F214" i="6"/>
  <c r="J215" i="11"/>
  <c r="M213" i="11"/>
  <c r="B213" i="11"/>
  <c r="M218" i="2"/>
  <c r="I217" i="2"/>
  <c r="Q215" i="2"/>
  <c r="E215" i="2"/>
  <c r="M216" i="6"/>
  <c r="E215" i="6"/>
  <c r="M216" i="10"/>
  <c r="H216" i="10"/>
  <c r="C216" i="10"/>
  <c r="I215" i="10"/>
  <c r="M214" i="10"/>
  <c r="N217" i="11"/>
  <c r="I217" i="11"/>
  <c r="C217" i="11"/>
  <c r="O213" i="11"/>
  <c r="J213" i="11"/>
  <c r="E213" i="11"/>
  <c r="G214" i="12"/>
  <c r="C217" i="14"/>
  <c r="S218" i="2"/>
  <c r="S217" i="2"/>
  <c r="I215" i="2"/>
  <c r="O217" i="11"/>
  <c r="J217" i="11"/>
  <c r="E217" i="11"/>
  <c r="E218" i="2"/>
  <c r="E217" i="2"/>
  <c r="G217" i="2" s="1"/>
  <c r="M215" i="2"/>
  <c r="N215" i="2" s="1"/>
  <c r="O215" i="2" s="1"/>
  <c r="D215" i="2"/>
  <c r="F215" i="10"/>
  <c r="I214" i="10"/>
  <c r="M217" i="11"/>
  <c r="G217" i="11"/>
  <c r="B217" i="11"/>
  <c r="M214" i="11"/>
  <c r="N213" i="11"/>
  <c r="I213" i="11"/>
  <c r="C213" i="11"/>
  <c r="D214" i="12"/>
  <c r="I213" i="6"/>
  <c r="L217" i="10"/>
  <c r="Q219" i="2"/>
  <c r="R218" i="2"/>
  <c r="L218" i="2"/>
  <c r="D218" i="2"/>
  <c r="L215" i="6"/>
  <c r="H215" i="6"/>
  <c r="D215" i="6"/>
  <c r="O214" i="6"/>
  <c r="J214" i="6"/>
  <c r="E214" i="6"/>
  <c r="N213" i="6"/>
  <c r="F213" i="6"/>
  <c r="M212" i="6"/>
  <c r="K217" i="10"/>
  <c r="M216" i="11"/>
  <c r="F216" i="11"/>
  <c r="S221" i="2"/>
  <c r="I219" i="2"/>
  <c r="Q218" i="2"/>
  <c r="I218" i="2"/>
  <c r="C218" i="2"/>
  <c r="R217" i="2"/>
  <c r="Q216" i="2"/>
  <c r="F216" i="7"/>
  <c r="H214" i="7"/>
  <c r="O215" i="6"/>
  <c r="K215" i="6"/>
  <c r="G215" i="6"/>
  <c r="C215" i="6"/>
  <c r="N214" i="6"/>
  <c r="I214" i="6"/>
  <c r="C214" i="6"/>
  <c r="M213" i="6"/>
  <c r="E213" i="6"/>
  <c r="I212" i="6"/>
  <c r="G217" i="10"/>
  <c r="N216" i="10"/>
  <c r="J216" i="10"/>
  <c r="F216" i="10"/>
  <c r="J215" i="10"/>
  <c r="B215" i="10"/>
  <c r="E214" i="10"/>
  <c r="K216" i="11"/>
  <c r="C216" i="11"/>
  <c r="F216" i="12"/>
  <c r="I215" i="12"/>
  <c r="E215" i="13"/>
  <c r="B217" i="14"/>
  <c r="P218" i="2"/>
  <c r="H218" i="2"/>
  <c r="B218" i="2"/>
  <c r="B216" i="3"/>
  <c r="N215" i="6"/>
  <c r="J215" i="6"/>
  <c r="F215" i="6"/>
  <c r="M214" i="6"/>
  <c r="G214" i="6"/>
  <c r="B214" i="6"/>
  <c r="J213" i="6"/>
  <c r="B213" i="6"/>
  <c r="E212" i="6"/>
  <c r="E217" i="10"/>
  <c r="I216" i="11"/>
  <c r="B216" i="11"/>
  <c r="E216" i="12"/>
  <c r="E215" i="12"/>
  <c r="C215" i="13"/>
  <c r="J55" i="8"/>
  <c r="F55" i="8"/>
  <c r="E55" i="8"/>
  <c r="B214" i="3"/>
  <c r="I214" i="3"/>
  <c r="Q214" i="3"/>
  <c r="L214" i="3"/>
  <c r="D214" i="3"/>
  <c r="M214" i="3"/>
  <c r="P214" i="3"/>
  <c r="R221" i="2"/>
  <c r="E221" i="2"/>
  <c r="G221" i="2" s="1"/>
  <c r="Q220" i="2"/>
  <c r="P219" i="2"/>
  <c r="H219" i="2"/>
  <c r="Q217" i="2"/>
  <c r="C217" i="2"/>
  <c r="F217" i="2" s="1"/>
  <c r="M216" i="2"/>
  <c r="D213" i="3"/>
  <c r="J211" i="3"/>
  <c r="L217" i="7"/>
  <c r="H217" i="7"/>
  <c r="D217" i="7"/>
  <c r="O216" i="7"/>
  <c r="J216" i="7"/>
  <c r="E216" i="7"/>
  <c r="M215" i="7"/>
  <c r="M214" i="7"/>
  <c r="E214" i="7"/>
  <c r="I216" i="6"/>
  <c r="O217" i="10"/>
  <c r="I217" i="10"/>
  <c r="D217" i="10"/>
  <c r="F215" i="11"/>
  <c r="H217" i="12"/>
  <c r="D217" i="12"/>
  <c r="D216" i="13"/>
  <c r="E213" i="13"/>
  <c r="M217" i="7"/>
  <c r="I217" i="7"/>
  <c r="E217" i="7"/>
  <c r="I217" i="12"/>
  <c r="E217" i="12"/>
  <c r="E216" i="13"/>
  <c r="Q221" i="2"/>
  <c r="C221" i="2"/>
  <c r="F221" i="2" s="1"/>
  <c r="M220" i="2"/>
  <c r="M219" i="2"/>
  <c r="E219" i="2"/>
  <c r="N218" i="2"/>
  <c r="O218" i="2" s="1"/>
  <c r="M217" i="2"/>
  <c r="B217" i="2"/>
  <c r="I216" i="2"/>
  <c r="P215" i="2"/>
  <c r="H215" i="2"/>
  <c r="C217" i="3"/>
  <c r="J215" i="3"/>
  <c r="O217" i="7"/>
  <c r="K217" i="7"/>
  <c r="G217" i="7"/>
  <c r="C217" i="7"/>
  <c r="N216" i="7"/>
  <c r="I216" i="7"/>
  <c r="C216" i="7"/>
  <c r="I215" i="7"/>
  <c r="L214" i="7"/>
  <c r="D214" i="7"/>
  <c r="E216" i="6"/>
  <c r="M217" i="10"/>
  <c r="H217" i="10"/>
  <c r="C217" i="10"/>
  <c r="L217" i="11"/>
  <c r="H217" i="11"/>
  <c r="O216" i="11"/>
  <c r="J216" i="11"/>
  <c r="E216" i="11"/>
  <c r="N215" i="11"/>
  <c r="B215" i="11"/>
  <c r="L213" i="11"/>
  <c r="H213" i="11"/>
  <c r="K217" i="12"/>
  <c r="G217" i="12"/>
  <c r="C217" i="12"/>
  <c r="K214" i="12"/>
  <c r="E214" i="12"/>
  <c r="G216" i="13"/>
  <c r="C216" i="13"/>
  <c r="D213" i="13"/>
  <c r="E217" i="14"/>
  <c r="F216" i="14"/>
  <c r="E215" i="14"/>
  <c r="G215" i="14" s="1"/>
  <c r="I221" i="2"/>
  <c r="M221" i="2"/>
  <c r="B221" i="2"/>
  <c r="L219" i="2"/>
  <c r="D219" i="2"/>
  <c r="E216" i="2"/>
  <c r="N217" i="7"/>
  <c r="J217" i="7"/>
  <c r="F217" i="7"/>
  <c r="M216" i="7"/>
  <c r="G216" i="7"/>
  <c r="B216" i="7"/>
  <c r="E215" i="7"/>
  <c r="J217" i="12"/>
  <c r="F217" i="12"/>
  <c r="F216" i="13"/>
  <c r="E214" i="13"/>
  <c r="I54" i="8"/>
  <c r="E56" i="8"/>
  <c r="I55" i="8"/>
  <c r="C55" i="8"/>
  <c r="H54" i="8"/>
  <c r="I56" i="8"/>
  <c r="H56" i="8"/>
  <c r="D56" i="8"/>
  <c r="G55" i="8"/>
  <c r="B55" i="8"/>
  <c r="E54" i="8"/>
  <c r="D54" i="8"/>
  <c r="D215" i="14"/>
  <c r="D216" i="14"/>
  <c r="C215" i="14"/>
  <c r="F215" i="14"/>
  <c r="D214" i="13"/>
  <c r="G213" i="13"/>
  <c r="C213" i="13"/>
  <c r="G214" i="13"/>
  <c r="C214" i="13"/>
  <c r="F213" i="13"/>
  <c r="F214" i="13"/>
  <c r="H215" i="12"/>
  <c r="D215" i="12"/>
  <c r="H216" i="12"/>
  <c r="D216" i="12"/>
  <c r="K215" i="12"/>
  <c r="G215" i="12"/>
  <c r="C215" i="12"/>
  <c r="J214" i="12"/>
  <c r="F214" i="12"/>
  <c r="K216" i="12"/>
  <c r="G216" i="12"/>
  <c r="J215" i="12"/>
  <c r="F215" i="12"/>
  <c r="I215" i="11"/>
  <c r="E215" i="11"/>
  <c r="L215" i="11"/>
  <c r="H215" i="11"/>
  <c r="D215" i="11"/>
  <c r="O214" i="11"/>
  <c r="K214" i="11"/>
  <c r="G214" i="11"/>
  <c r="C214" i="11"/>
  <c r="E214" i="11"/>
  <c r="L214" i="11"/>
  <c r="H214" i="11"/>
  <c r="D214" i="11"/>
  <c r="L216" i="11"/>
  <c r="H216" i="11"/>
  <c r="O215" i="11"/>
  <c r="K215" i="11"/>
  <c r="G215" i="11"/>
  <c r="N214" i="11"/>
  <c r="J214" i="11"/>
  <c r="F214" i="11"/>
  <c r="L214" i="10"/>
  <c r="H214" i="10"/>
  <c r="D214" i="10"/>
  <c r="N217" i="10"/>
  <c r="J217" i="10"/>
  <c r="F217" i="10"/>
  <c r="L215" i="10"/>
  <c r="H215" i="10"/>
  <c r="D215" i="10"/>
  <c r="O214" i="10"/>
  <c r="K214" i="10"/>
  <c r="G214" i="10"/>
  <c r="C214" i="10"/>
  <c r="O215" i="10"/>
  <c r="K215" i="10"/>
  <c r="G215" i="10"/>
  <c r="N214" i="10"/>
  <c r="J214" i="10"/>
  <c r="F214" i="10"/>
  <c r="C56" i="8"/>
  <c r="G54" i="8"/>
  <c r="C54" i="8"/>
  <c r="G56" i="8"/>
  <c r="J56" i="8"/>
  <c r="F56" i="8"/>
  <c r="H55" i="8"/>
  <c r="J54" i="8"/>
  <c r="F54" i="8"/>
  <c r="L216" i="6"/>
  <c r="H216" i="6"/>
  <c r="D216" i="6"/>
  <c r="L212" i="6"/>
  <c r="H212" i="6"/>
  <c r="D212" i="6"/>
  <c r="O216" i="6"/>
  <c r="K216" i="6"/>
  <c r="G216" i="6"/>
  <c r="C216" i="6"/>
  <c r="L213" i="6"/>
  <c r="H213" i="6"/>
  <c r="D213" i="6"/>
  <c r="O212" i="6"/>
  <c r="K212" i="6"/>
  <c r="G212" i="6"/>
  <c r="C212" i="6"/>
  <c r="N216" i="6"/>
  <c r="J216" i="6"/>
  <c r="F216" i="6"/>
  <c r="L214" i="6"/>
  <c r="H214" i="6"/>
  <c r="O213" i="6"/>
  <c r="K213" i="6"/>
  <c r="G213" i="6"/>
  <c r="N212" i="6"/>
  <c r="J212" i="6"/>
  <c r="F212" i="6"/>
  <c r="L215" i="7"/>
  <c r="H215" i="7"/>
  <c r="D215" i="7"/>
  <c r="O214" i="7"/>
  <c r="K214" i="7"/>
  <c r="G214" i="7"/>
  <c r="C214" i="7"/>
  <c r="L216" i="7"/>
  <c r="H216" i="7"/>
  <c r="O215" i="7"/>
  <c r="K215" i="7"/>
  <c r="G215" i="7"/>
  <c r="C215" i="7"/>
  <c r="N214" i="7"/>
  <c r="J214" i="7"/>
  <c r="F214" i="7"/>
  <c r="N215" i="7"/>
  <c r="J215" i="7"/>
  <c r="F215" i="7"/>
  <c r="L217" i="3"/>
  <c r="O214" i="3"/>
  <c r="G214" i="3"/>
  <c r="C214" i="3"/>
  <c r="N211" i="3"/>
  <c r="N214" i="3"/>
  <c r="J214" i="3"/>
  <c r="F214" i="3"/>
  <c r="I220" i="2"/>
  <c r="E220" i="2"/>
  <c r="P220" i="2"/>
  <c r="L220" i="2"/>
  <c r="H220" i="2"/>
  <c r="J220" i="2" s="1"/>
  <c r="K220" i="2" s="1"/>
  <c r="D220" i="2"/>
  <c r="S219" i="2"/>
  <c r="C219" i="2"/>
  <c r="P216" i="2"/>
  <c r="L216" i="2"/>
  <c r="H216" i="2"/>
  <c r="D216" i="2"/>
  <c r="S215" i="2"/>
  <c r="C215" i="2"/>
  <c r="P221" i="2"/>
  <c r="L221" i="2"/>
  <c r="H221" i="2"/>
  <c r="S220" i="2"/>
  <c r="C220" i="2"/>
  <c r="R219" i="2"/>
  <c r="P217" i="2"/>
  <c r="L217" i="2"/>
  <c r="H217" i="2"/>
  <c r="S216" i="2"/>
  <c r="C216" i="2"/>
  <c r="R215" i="2"/>
  <c r="R220" i="2"/>
  <c r="R216" i="2"/>
  <c r="B205" i="14"/>
  <c r="B206" i="14"/>
  <c r="D207" i="14"/>
  <c r="B208" i="14"/>
  <c r="B209" i="14"/>
  <c r="B210" i="14"/>
  <c r="D211" i="14"/>
  <c r="B212" i="14"/>
  <c r="B213" i="14"/>
  <c r="B214" i="14"/>
  <c r="B211" i="13"/>
  <c r="C212" i="13"/>
  <c r="A211" i="12"/>
  <c r="B211" i="12" s="1"/>
  <c r="A212" i="12"/>
  <c r="B212" i="12" s="1"/>
  <c r="A213" i="12"/>
  <c r="D213" i="12" s="1"/>
  <c r="B212" i="11"/>
  <c r="B213" i="10"/>
  <c r="B213" i="7"/>
  <c r="G218" i="2" l="1"/>
  <c r="F215" i="2"/>
  <c r="G216" i="14"/>
  <c r="F211" i="3"/>
  <c r="J218" i="2"/>
  <c r="K218" i="2" s="1"/>
  <c r="J217" i="2"/>
  <c r="K217" i="2" s="1"/>
  <c r="F215" i="3"/>
  <c r="J215" i="2"/>
  <c r="K215" i="2" s="1"/>
  <c r="G215" i="2"/>
  <c r="D208" i="14"/>
  <c r="F218" i="2"/>
  <c r="N217" i="2"/>
  <c r="O217" i="2" s="1"/>
  <c r="N216" i="3"/>
  <c r="G219" i="2"/>
  <c r="F219" i="2"/>
  <c r="N220" i="2"/>
  <c r="O220" i="2" s="1"/>
  <c r="K214" i="3"/>
  <c r="F216" i="3"/>
  <c r="F207" i="14"/>
  <c r="E208" i="14"/>
  <c r="G208" i="14" s="1"/>
  <c r="E207" i="14"/>
  <c r="N221" i="2"/>
  <c r="O221" i="2" s="1"/>
  <c r="J217" i="3"/>
  <c r="L213" i="3"/>
  <c r="Q216" i="3"/>
  <c r="C208" i="14"/>
  <c r="F213" i="3"/>
  <c r="C213" i="3"/>
  <c r="E213" i="3" s="1"/>
  <c r="P213" i="3"/>
  <c r="D216" i="3"/>
  <c r="P216" i="3"/>
  <c r="K213" i="12"/>
  <c r="J216" i="2"/>
  <c r="K216" i="2" s="1"/>
  <c r="J213" i="3"/>
  <c r="G213" i="3"/>
  <c r="E214" i="3"/>
  <c r="G216" i="3"/>
  <c r="C216" i="3"/>
  <c r="J216" i="3"/>
  <c r="L213" i="10"/>
  <c r="F211" i="14"/>
  <c r="J221" i="2"/>
  <c r="K221" i="2" s="1"/>
  <c r="N216" i="2"/>
  <c r="O216" i="2" s="1"/>
  <c r="N213" i="3"/>
  <c r="O213" i="3"/>
  <c r="M216" i="3"/>
  <c r="L216" i="3"/>
  <c r="G217" i="14"/>
  <c r="I216" i="3"/>
  <c r="O216" i="3"/>
  <c r="J219" i="2"/>
  <c r="K219" i="2" s="1"/>
  <c r="H214" i="3"/>
  <c r="F212" i="3"/>
  <c r="L212" i="3"/>
  <c r="P212" i="3"/>
  <c r="J212" i="3"/>
  <c r="B212" i="3"/>
  <c r="G212" i="3"/>
  <c r="M212" i="3"/>
  <c r="Q212" i="3"/>
  <c r="O212" i="3"/>
  <c r="C212" i="3"/>
  <c r="I212" i="3"/>
  <c r="N212" i="3"/>
  <c r="D212" i="3"/>
  <c r="B217" i="3"/>
  <c r="Q217" i="3"/>
  <c r="M217" i="3"/>
  <c r="I217" i="3"/>
  <c r="D213" i="10"/>
  <c r="F213" i="12"/>
  <c r="I211" i="12"/>
  <c r="E211" i="14"/>
  <c r="F208" i="14"/>
  <c r="C207" i="14"/>
  <c r="N217" i="3"/>
  <c r="G217" i="3"/>
  <c r="P217" i="3"/>
  <c r="B215" i="3"/>
  <c r="G215" i="3"/>
  <c r="O215" i="3"/>
  <c r="I215" i="3"/>
  <c r="K215" i="3" s="1"/>
  <c r="P215" i="3"/>
  <c r="D215" i="3"/>
  <c r="C215" i="3"/>
  <c r="L215" i="3"/>
  <c r="Q215" i="3"/>
  <c r="M215" i="3"/>
  <c r="O217" i="3"/>
  <c r="N215" i="3"/>
  <c r="B211" i="3"/>
  <c r="D211" i="3"/>
  <c r="M211" i="3"/>
  <c r="G211" i="3"/>
  <c r="O211" i="3"/>
  <c r="C211" i="3"/>
  <c r="Q211" i="3"/>
  <c r="I211" i="3"/>
  <c r="K211" i="3" s="1"/>
  <c r="P211" i="3"/>
  <c r="L211" i="3"/>
  <c r="E212" i="12"/>
  <c r="F217" i="3"/>
  <c r="D217" i="3"/>
  <c r="E217" i="3" s="1"/>
  <c r="N219" i="2"/>
  <c r="O219" i="2" s="1"/>
  <c r="B213" i="3"/>
  <c r="M213" i="3"/>
  <c r="Q213" i="3"/>
  <c r="I213" i="3"/>
  <c r="M213" i="10"/>
  <c r="I212" i="12"/>
  <c r="F216" i="2"/>
  <c r="G216" i="2"/>
  <c r="F220" i="2"/>
  <c r="G220" i="2"/>
  <c r="I213" i="10"/>
  <c r="C213" i="12"/>
  <c r="D212" i="14"/>
  <c r="E214" i="14"/>
  <c r="G214" i="14" s="1"/>
  <c r="I213" i="7"/>
  <c r="I213" i="12"/>
  <c r="E213" i="10"/>
  <c r="I212" i="11"/>
  <c r="G213" i="12"/>
  <c r="B213" i="12"/>
  <c r="F212" i="13"/>
  <c r="C212" i="14"/>
  <c r="E212" i="11"/>
  <c r="E212" i="13"/>
  <c r="L212" i="11"/>
  <c r="M212" i="11"/>
  <c r="D212" i="11"/>
  <c r="J213" i="12"/>
  <c r="E213" i="12"/>
  <c r="B212" i="13"/>
  <c r="E212" i="14"/>
  <c r="G212" i="14" s="1"/>
  <c r="M213" i="7"/>
  <c r="E213" i="7"/>
  <c r="L213" i="7"/>
  <c r="D213" i="7"/>
  <c r="H213" i="10"/>
  <c r="H212" i="11"/>
  <c r="H211" i="12"/>
  <c r="F212" i="14"/>
  <c r="C211" i="14"/>
  <c r="E209" i="14"/>
  <c r="G209" i="14" s="1"/>
  <c r="B207" i="14"/>
  <c r="E205" i="14"/>
  <c r="G205" i="14" s="1"/>
  <c r="E211" i="12"/>
  <c r="E211" i="13"/>
  <c r="E213" i="14"/>
  <c r="G213" i="14" s="1"/>
  <c r="B211" i="14"/>
  <c r="D209" i="14"/>
  <c r="D205" i="14"/>
  <c r="H213" i="7"/>
  <c r="D211" i="12"/>
  <c r="D213" i="14"/>
  <c r="E206" i="14"/>
  <c r="G206" i="14" s="1"/>
  <c r="D214" i="14"/>
  <c r="C213" i="14"/>
  <c r="D210" i="14"/>
  <c r="C209" i="14"/>
  <c r="D206" i="14"/>
  <c r="C205" i="14"/>
  <c r="C214" i="14"/>
  <c r="F213" i="14"/>
  <c r="C210" i="14"/>
  <c r="F209" i="14"/>
  <c r="C206" i="14"/>
  <c r="F205" i="14"/>
  <c r="E210" i="14"/>
  <c r="G210" i="14" s="1"/>
  <c r="F214" i="14"/>
  <c r="F210" i="14"/>
  <c r="F206" i="14"/>
  <c r="D211" i="13"/>
  <c r="D212" i="13"/>
  <c r="G211" i="13"/>
  <c r="C211" i="13"/>
  <c r="G212" i="13"/>
  <c r="F211" i="13"/>
  <c r="H212" i="12"/>
  <c r="D212" i="12"/>
  <c r="K211" i="12"/>
  <c r="G211" i="12"/>
  <c r="C211" i="12"/>
  <c r="H213" i="12"/>
  <c r="K212" i="12"/>
  <c r="G212" i="12"/>
  <c r="C212" i="12"/>
  <c r="J211" i="12"/>
  <c r="F211" i="12"/>
  <c r="J212" i="12"/>
  <c r="F212" i="12"/>
  <c r="O212" i="11"/>
  <c r="K212" i="11"/>
  <c r="G212" i="11"/>
  <c r="C212" i="11"/>
  <c r="N212" i="11"/>
  <c r="J212" i="11"/>
  <c r="F212" i="11"/>
  <c r="O213" i="10"/>
  <c r="K213" i="10"/>
  <c r="G213" i="10"/>
  <c r="C213" i="10"/>
  <c r="N213" i="10"/>
  <c r="J213" i="10"/>
  <c r="F213" i="10"/>
  <c r="O213" i="7"/>
  <c r="K213" i="7"/>
  <c r="G213" i="7"/>
  <c r="C213" i="7"/>
  <c r="N213" i="7"/>
  <c r="J213" i="7"/>
  <c r="F213" i="7"/>
  <c r="B7" i="13"/>
  <c r="B9" i="13"/>
  <c r="B11" i="13"/>
  <c r="B13" i="13"/>
  <c r="B15" i="13"/>
  <c r="B17" i="13"/>
  <c r="B19" i="13"/>
  <c r="B21" i="13"/>
  <c r="B23" i="13"/>
  <c r="B25" i="13"/>
  <c r="B27" i="13"/>
  <c r="B29" i="13"/>
  <c r="B31" i="13"/>
  <c r="D89" i="13"/>
  <c r="C90" i="13"/>
  <c r="C91" i="13"/>
  <c r="C92" i="13"/>
  <c r="C93" i="13"/>
  <c r="C94" i="13"/>
  <c r="C95" i="13"/>
  <c r="C96" i="13"/>
  <c r="C97" i="13"/>
  <c r="C98" i="13"/>
  <c r="C99" i="13"/>
  <c r="C100" i="13"/>
  <c r="C102" i="13"/>
  <c r="C103" i="13"/>
  <c r="C104" i="13"/>
  <c r="C106" i="13"/>
  <c r="C107" i="13"/>
  <c r="C108" i="13"/>
  <c r="C110" i="13"/>
  <c r="C111" i="13"/>
  <c r="C112" i="13"/>
  <c r="C114" i="13"/>
  <c r="C115" i="13"/>
  <c r="C116" i="13"/>
  <c r="C118" i="13"/>
  <c r="C119" i="13"/>
  <c r="C120" i="13"/>
  <c r="C122" i="13"/>
  <c r="C123" i="13"/>
  <c r="C124" i="13"/>
  <c r="C126" i="13"/>
  <c r="C127" i="13"/>
  <c r="C128" i="13"/>
  <c r="C130" i="13"/>
  <c r="C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E211" i="3" l="1"/>
  <c r="H211" i="3"/>
  <c r="H216" i="3"/>
  <c r="E216" i="3"/>
  <c r="G211" i="14"/>
  <c r="K213" i="3"/>
  <c r="H215" i="3"/>
  <c r="K216" i="3"/>
  <c r="H213" i="3"/>
  <c r="K217" i="3"/>
  <c r="G207" i="14"/>
  <c r="E212" i="3"/>
  <c r="H217" i="3"/>
  <c r="H212" i="3"/>
  <c r="E215" i="3"/>
  <c r="K212" i="3"/>
  <c r="D108" i="13"/>
  <c r="D90" i="13"/>
  <c r="D100" i="13"/>
  <c r="B90" i="13"/>
  <c r="C150" i="13"/>
  <c r="C156" i="13"/>
  <c r="B114" i="13"/>
  <c r="D198" i="13"/>
  <c r="C182" i="13"/>
  <c r="C184" i="13"/>
  <c r="D189" i="13"/>
  <c r="D161" i="13"/>
  <c r="C189" i="13"/>
  <c r="C161" i="13"/>
  <c r="D210" i="13"/>
  <c r="C152" i="13"/>
  <c r="D178" i="13"/>
  <c r="D120" i="13"/>
  <c r="D194" i="13"/>
  <c r="D182" i="13"/>
  <c r="C180" i="13"/>
  <c r="C178" i="13"/>
  <c r="C148" i="13"/>
  <c r="C141" i="13"/>
  <c r="C138" i="13"/>
  <c r="C210" i="13"/>
  <c r="C181" i="13"/>
  <c r="D177" i="13"/>
  <c r="C170" i="13"/>
  <c r="C157" i="13"/>
  <c r="C149" i="13"/>
  <c r="C134" i="13"/>
  <c r="D205" i="13"/>
  <c r="C202" i="13"/>
  <c r="C193" i="13"/>
  <c r="C188" i="13"/>
  <c r="C146" i="13"/>
  <c r="D112" i="13"/>
  <c r="C205" i="13"/>
  <c r="C200" i="13"/>
  <c r="C198" i="13"/>
  <c r="C196" i="13"/>
  <c r="C194" i="13"/>
  <c r="C177" i="13"/>
  <c r="C172" i="13"/>
  <c r="C165" i="13"/>
  <c r="C154" i="13"/>
  <c r="C132" i="13"/>
  <c r="B106" i="13"/>
  <c r="D209" i="13"/>
  <c r="D173" i="13"/>
  <c r="D166" i="13"/>
  <c r="D162" i="13"/>
  <c r="D145" i="13"/>
  <c r="C209" i="13"/>
  <c r="C204" i="13"/>
  <c r="C197" i="13"/>
  <c r="D193" i="13"/>
  <c r="C186" i="13"/>
  <c r="C173" i="13"/>
  <c r="C168" i="13"/>
  <c r="C166" i="13"/>
  <c r="C164" i="13"/>
  <c r="C162" i="13"/>
  <c r="D157" i="13"/>
  <c r="D150" i="13"/>
  <c r="D146" i="13"/>
  <c r="C145" i="13"/>
  <c r="C136" i="13"/>
  <c r="D116" i="13"/>
  <c r="D94" i="13"/>
  <c r="D206" i="13"/>
  <c r="D201" i="13"/>
  <c r="D190" i="13"/>
  <c r="D185" i="13"/>
  <c r="D174" i="13"/>
  <c r="D169" i="13"/>
  <c r="D158" i="13"/>
  <c r="D153" i="13"/>
  <c r="C140" i="13"/>
  <c r="C133" i="13"/>
  <c r="D128" i="13"/>
  <c r="B122" i="13"/>
  <c r="B94" i="13"/>
  <c r="D91" i="13"/>
  <c r="C208" i="13"/>
  <c r="C206" i="13"/>
  <c r="D202" i="13"/>
  <c r="C201" i="13"/>
  <c r="D197" i="13"/>
  <c r="C192" i="13"/>
  <c r="C190" i="13"/>
  <c r="D186" i="13"/>
  <c r="C185" i="13"/>
  <c r="D181" i="13"/>
  <c r="C176" i="13"/>
  <c r="C174" i="13"/>
  <c r="D170" i="13"/>
  <c r="C169" i="13"/>
  <c r="D165" i="13"/>
  <c r="C160" i="13"/>
  <c r="C158" i="13"/>
  <c r="D154" i="13"/>
  <c r="C153" i="13"/>
  <c r="D149" i="13"/>
  <c r="C144" i="13"/>
  <c r="D141" i="13"/>
  <c r="D134" i="13"/>
  <c r="B130" i="13"/>
  <c r="D124" i="13"/>
  <c r="D104" i="13"/>
  <c r="B98" i="13"/>
  <c r="D95" i="13"/>
  <c r="D142" i="13"/>
  <c r="D137" i="13"/>
  <c r="C142" i="13"/>
  <c r="D138" i="13"/>
  <c r="C137" i="13"/>
  <c r="D133" i="13"/>
  <c r="B126" i="13"/>
  <c r="B118" i="13"/>
  <c r="B110" i="13"/>
  <c r="B102" i="13"/>
  <c r="B97" i="13"/>
  <c r="B93" i="13"/>
  <c r="D175" i="13"/>
  <c r="D163" i="13"/>
  <c r="D143" i="13"/>
  <c r="D139" i="13"/>
  <c r="D135" i="13"/>
  <c r="D131" i="13"/>
  <c r="D127" i="13"/>
  <c r="D123" i="13"/>
  <c r="D119" i="13"/>
  <c r="D115" i="13"/>
  <c r="D111" i="13"/>
  <c r="D107" i="13"/>
  <c r="D103" i="13"/>
  <c r="D99" i="13"/>
  <c r="D96" i="13"/>
  <c r="B95" i="13"/>
  <c r="D92" i="13"/>
  <c r="B91" i="13"/>
  <c r="D207" i="13"/>
  <c r="D203" i="13"/>
  <c r="D199" i="13"/>
  <c r="D195" i="13"/>
  <c r="D191" i="13"/>
  <c r="D187" i="13"/>
  <c r="D183" i="13"/>
  <c r="D179" i="13"/>
  <c r="D171" i="13"/>
  <c r="D167" i="13"/>
  <c r="D159" i="13"/>
  <c r="D155" i="13"/>
  <c r="D151" i="13"/>
  <c r="D147" i="13"/>
  <c r="D208" i="13"/>
  <c r="C207" i="13"/>
  <c r="D204" i="13"/>
  <c r="C203" i="13"/>
  <c r="D200" i="13"/>
  <c r="C199" i="13"/>
  <c r="D196" i="13"/>
  <c r="C195" i="13"/>
  <c r="D192" i="13"/>
  <c r="C191" i="13"/>
  <c r="D188" i="13"/>
  <c r="C187" i="13"/>
  <c r="D184" i="13"/>
  <c r="C183" i="13"/>
  <c r="D180" i="13"/>
  <c r="C179" i="13"/>
  <c r="D176" i="13"/>
  <c r="C175" i="13"/>
  <c r="D172" i="13"/>
  <c r="C171" i="13"/>
  <c r="D168" i="13"/>
  <c r="C167" i="13"/>
  <c r="D164" i="13"/>
  <c r="C163" i="13"/>
  <c r="D160" i="13"/>
  <c r="C159" i="13"/>
  <c r="D156" i="13"/>
  <c r="C155" i="13"/>
  <c r="D152" i="13"/>
  <c r="C151" i="13"/>
  <c r="D148" i="13"/>
  <c r="C147" i="13"/>
  <c r="D144" i="13"/>
  <c r="C143" i="13"/>
  <c r="D140" i="13"/>
  <c r="C139" i="13"/>
  <c r="D136" i="13"/>
  <c r="C135" i="13"/>
  <c r="D132" i="13"/>
  <c r="B131" i="13"/>
  <c r="B127" i="13"/>
  <c r="B123" i="13"/>
  <c r="B119" i="13"/>
  <c r="B115" i="13"/>
  <c r="B111" i="13"/>
  <c r="B107" i="13"/>
  <c r="B103" i="13"/>
  <c r="B99" i="13"/>
  <c r="D97" i="13"/>
  <c r="B96" i="13"/>
  <c r="D93" i="13"/>
  <c r="B92" i="13"/>
  <c r="C88" i="13"/>
  <c r="D88" i="13"/>
  <c r="B88" i="13"/>
  <c r="C80" i="13"/>
  <c r="D80" i="13"/>
  <c r="B80" i="13"/>
  <c r="C72" i="13"/>
  <c r="D72" i="13"/>
  <c r="B72" i="13"/>
  <c r="C64" i="13"/>
  <c r="D64" i="13"/>
  <c r="B64" i="13"/>
  <c r="C56" i="13"/>
  <c r="D56" i="13"/>
  <c r="B56" i="13"/>
  <c r="C48" i="13"/>
  <c r="D48" i="13"/>
  <c r="B48" i="13"/>
  <c r="C40" i="13"/>
  <c r="D40" i="13"/>
  <c r="B40" i="13"/>
  <c r="C32" i="13"/>
  <c r="D32" i="13"/>
  <c r="B32" i="13"/>
  <c r="C24" i="13"/>
  <c r="D24" i="13"/>
  <c r="B24" i="13"/>
  <c r="C12" i="13"/>
  <c r="D12" i="13"/>
  <c r="B12" i="13"/>
  <c r="C16" i="13"/>
  <c r="D16" i="13"/>
  <c r="B16" i="13"/>
  <c r="C84" i="13"/>
  <c r="D84" i="13"/>
  <c r="B84" i="13"/>
  <c r="C76" i="13"/>
  <c r="D76" i="13"/>
  <c r="B76" i="13"/>
  <c r="C68" i="13"/>
  <c r="D68" i="13"/>
  <c r="B68" i="13"/>
  <c r="C60" i="13"/>
  <c r="D60" i="13"/>
  <c r="B60" i="13"/>
  <c r="C52" i="13"/>
  <c r="D52" i="13"/>
  <c r="B52" i="13"/>
  <c r="C44" i="13"/>
  <c r="D44" i="13"/>
  <c r="B44" i="13"/>
  <c r="C36" i="13"/>
  <c r="D36" i="13"/>
  <c r="B36" i="13"/>
  <c r="C28" i="13"/>
  <c r="D28" i="13"/>
  <c r="B28" i="13"/>
  <c r="C20" i="13"/>
  <c r="D20" i="13"/>
  <c r="B20" i="13"/>
  <c r="C8" i="13"/>
  <c r="D8" i="13"/>
  <c r="B8" i="13"/>
  <c r="C129" i="13"/>
  <c r="B129" i="13"/>
  <c r="D129" i="13"/>
  <c r="C125" i="13"/>
  <c r="B125" i="13"/>
  <c r="D125" i="13"/>
  <c r="C121" i="13"/>
  <c r="B121" i="13"/>
  <c r="D121" i="13"/>
  <c r="C117" i="13"/>
  <c r="B117" i="13"/>
  <c r="D117" i="13"/>
  <c r="C113" i="13"/>
  <c r="B113" i="13"/>
  <c r="D113" i="13"/>
  <c r="C109" i="13"/>
  <c r="B109" i="13"/>
  <c r="D109" i="13"/>
  <c r="C105" i="13"/>
  <c r="B105" i="13"/>
  <c r="D105" i="13"/>
  <c r="C101" i="13"/>
  <c r="B101" i="13"/>
  <c r="D101" i="13"/>
  <c r="C87" i="13"/>
  <c r="D87" i="13"/>
  <c r="B87" i="13"/>
  <c r="C83" i="13"/>
  <c r="D83" i="13"/>
  <c r="B83" i="13"/>
  <c r="C79" i="13"/>
  <c r="D79" i="13"/>
  <c r="B79" i="13"/>
  <c r="C75" i="13"/>
  <c r="D75" i="13"/>
  <c r="B75" i="13"/>
  <c r="C71" i="13"/>
  <c r="D71" i="13"/>
  <c r="B71" i="13"/>
  <c r="C67" i="13"/>
  <c r="D67" i="13"/>
  <c r="B67" i="13"/>
  <c r="C63" i="13"/>
  <c r="D63" i="13"/>
  <c r="B63" i="13"/>
  <c r="C59" i="13"/>
  <c r="D59" i="13"/>
  <c r="B59" i="13"/>
  <c r="C55" i="13"/>
  <c r="D55" i="13"/>
  <c r="B55" i="13"/>
  <c r="C51" i="13"/>
  <c r="D51" i="13"/>
  <c r="B51" i="13"/>
  <c r="C47" i="13"/>
  <c r="D47" i="13"/>
  <c r="B47" i="13"/>
  <c r="C43" i="13"/>
  <c r="D43" i="13"/>
  <c r="B43" i="13"/>
  <c r="C39" i="13"/>
  <c r="D39" i="13"/>
  <c r="B39" i="13"/>
  <c r="C35" i="13"/>
  <c r="D35" i="13"/>
  <c r="B35" i="13"/>
  <c r="B128" i="13"/>
  <c r="B124" i="13"/>
  <c r="B120" i="13"/>
  <c r="B116" i="13"/>
  <c r="B112" i="13"/>
  <c r="B108" i="13"/>
  <c r="B104" i="13"/>
  <c r="B100" i="13"/>
  <c r="C86" i="13"/>
  <c r="D86" i="13"/>
  <c r="B86" i="13"/>
  <c r="C82" i="13"/>
  <c r="D82" i="13"/>
  <c r="B82" i="13"/>
  <c r="C78" i="13"/>
  <c r="D78" i="13"/>
  <c r="B78" i="13"/>
  <c r="C74" i="13"/>
  <c r="D74" i="13"/>
  <c r="B74" i="13"/>
  <c r="C70" i="13"/>
  <c r="D70" i="13"/>
  <c r="B70" i="13"/>
  <c r="C66" i="13"/>
  <c r="D66" i="13"/>
  <c r="B66" i="13"/>
  <c r="C62" i="13"/>
  <c r="D62" i="13"/>
  <c r="B62" i="13"/>
  <c r="C58" i="13"/>
  <c r="D58" i="13"/>
  <c r="B58" i="13"/>
  <c r="C54" i="13"/>
  <c r="D54" i="13"/>
  <c r="B54" i="13"/>
  <c r="C50" i="13"/>
  <c r="D50" i="13"/>
  <c r="B50" i="13"/>
  <c r="C46" i="13"/>
  <c r="D46" i="13"/>
  <c r="B46" i="13"/>
  <c r="C42" i="13"/>
  <c r="D42" i="13"/>
  <c r="B42" i="13"/>
  <c r="C38" i="13"/>
  <c r="D38" i="13"/>
  <c r="B38" i="13"/>
  <c r="C34" i="13"/>
  <c r="D34" i="13"/>
  <c r="B34" i="13"/>
  <c r="C30" i="13"/>
  <c r="D30" i="13"/>
  <c r="B30" i="13"/>
  <c r="C26" i="13"/>
  <c r="D26" i="13"/>
  <c r="B26" i="13"/>
  <c r="C22" i="13"/>
  <c r="D22" i="13"/>
  <c r="B22" i="13"/>
  <c r="C18" i="13"/>
  <c r="D18" i="13"/>
  <c r="B18" i="13"/>
  <c r="C14" i="13"/>
  <c r="D14" i="13"/>
  <c r="B14" i="13"/>
  <c r="C10" i="13"/>
  <c r="D10" i="13"/>
  <c r="B10" i="13"/>
  <c r="C6" i="13"/>
  <c r="D6" i="13"/>
  <c r="B6" i="13"/>
  <c r="D130" i="13"/>
  <c r="D126" i="13"/>
  <c r="D122" i="13"/>
  <c r="D118" i="13"/>
  <c r="D114" i="13"/>
  <c r="D110" i="13"/>
  <c r="D106" i="13"/>
  <c r="D102" i="13"/>
  <c r="D98" i="13"/>
  <c r="C89" i="13"/>
  <c r="B89" i="13"/>
  <c r="C85" i="13"/>
  <c r="D85" i="13"/>
  <c r="B85" i="13"/>
  <c r="C81" i="13"/>
  <c r="D81" i="13"/>
  <c r="B81" i="13"/>
  <c r="C77" i="13"/>
  <c r="D77" i="13"/>
  <c r="B77" i="13"/>
  <c r="C73" i="13"/>
  <c r="D73" i="13"/>
  <c r="B73" i="13"/>
  <c r="C69" i="13"/>
  <c r="D69" i="13"/>
  <c r="B69" i="13"/>
  <c r="C65" i="13"/>
  <c r="D65" i="13"/>
  <c r="B65" i="13"/>
  <c r="C61" i="13"/>
  <c r="D61" i="13"/>
  <c r="B61" i="13"/>
  <c r="C57" i="13"/>
  <c r="D57" i="13"/>
  <c r="B57" i="13"/>
  <c r="C53" i="13"/>
  <c r="D53" i="13"/>
  <c r="B53" i="13"/>
  <c r="C49" i="13"/>
  <c r="D49" i="13"/>
  <c r="B49" i="13"/>
  <c r="C45" i="13"/>
  <c r="D45" i="13"/>
  <c r="B45" i="13"/>
  <c r="C41" i="13"/>
  <c r="D41" i="13"/>
  <c r="B41" i="13"/>
  <c r="C37" i="13"/>
  <c r="D37" i="13"/>
  <c r="B37" i="13"/>
  <c r="C33" i="13"/>
  <c r="D33" i="13"/>
  <c r="B33" i="13"/>
  <c r="C31" i="13"/>
  <c r="D31" i="13"/>
  <c r="C29" i="13"/>
  <c r="D29" i="13"/>
  <c r="C27" i="13"/>
  <c r="D27" i="13"/>
  <c r="C25" i="13"/>
  <c r="D25" i="13"/>
  <c r="C23" i="13"/>
  <c r="D23" i="13"/>
  <c r="C21" i="13"/>
  <c r="D21" i="13"/>
  <c r="C19" i="13"/>
  <c r="D19" i="13"/>
  <c r="C17" i="13"/>
  <c r="D17" i="13"/>
  <c r="C15" i="13"/>
  <c r="D15" i="13"/>
  <c r="C13" i="13"/>
  <c r="D13" i="13"/>
  <c r="C11" i="13"/>
  <c r="D11" i="13"/>
  <c r="C9" i="13"/>
  <c r="D9" i="13"/>
  <c r="C7" i="13"/>
  <c r="D7"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A210" i="12"/>
  <c r="D189" i="11"/>
  <c r="F190" i="11"/>
  <c r="D191" i="11"/>
  <c r="L193" i="11"/>
  <c r="N194" i="11"/>
  <c r="H195" i="11"/>
  <c r="D197" i="11"/>
  <c r="F198" i="11"/>
  <c r="D199" i="11"/>
  <c r="F200" i="11"/>
  <c r="F201" i="11"/>
  <c r="H202" i="11"/>
  <c r="C203" i="11"/>
  <c r="C205" i="11"/>
  <c r="D206" i="11"/>
  <c r="C207" i="11"/>
  <c r="C209" i="11"/>
  <c r="H210" i="11"/>
  <c r="C211" i="11"/>
  <c r="O190" i="10"/>
  <c r="E191" i="10"/>
  <c r="G192" i="10"/>
  <c r="E193" i="10"/>
  <c r="G194" i="10"/>
  <c r="M195" i="10"/>
  <c r="O196" i="10"/>
  <c r="I197" i="10"/>
  <c r="O198" i="10"/>
  <c r="E199" i="10"/>
  <c r="G200" i="10"/>
  <c r="E201" i="10"/>
  <c r="G202" i="10"/>
  <c r="M203" i="10"/>
  <c r="O204" i="10"/>
  <c r="I205" i="10"/>
  <c r="O206" i="10"/>
  <c r="E207" i="10"/>
  <c r="E209" i="10"/>
  <c r="G210" i="10"/>
  <c r="D211" i="10"/>
  <c r="I212" i="10"/>
  <c r="B145" i="14"/>
  <c r="C189" i="14"/>
  <c r="B190" i="14"/>
  <c r="E191" i="14"/>
  <c r="E193" i="14"/>
  <c r="D194" i="14"/>
  <c r="C195" i="14"/>
  <c r="C197" i="14"/>
  <c r="B198" i="14"/>
  <c r="E199" i="14"/>
  <c r="D202" i="14"/>
  <c r="C203" i="14"/>
  <c r="F214" i="18"/>
  <c r="F81" i="18"/>
  <c r="F61" i="18"/>
  <c r="F151" i="18"/>
  <c r="K211" i="6"/>
  <c r="H190" i="7"/>
  <c r="N191" i="7"/>
  <c r="H192" i="7"/>
  <c r="F195" i="7"/>
  <c r="L196" i="7"/>
  <c r="J197" i="7"/>
  <c r="H198" i="7"/>
  <c r="N199" i="7"/>
  <c r="D200" i="7"/>
  <c r="D202" i="7"/>
  <c r="F203" i="7"/>
  <c r="L204" i="7"/>
  <c r="J205" i="7"/>
  <c r="H206" i="7"/>
  <c r="J207" i="7"/>
  <c r="F208" i="7"/>
  <c r="E209" i="7"/>
  <c r="F210" i="7"/>
  <c r="B211" i="7"/>
  <c r="D212" i="7"/>
  <c r="C189" i="3"/>
  <c r="G190" i="3"/>
  <c r="I196" i="3"/>
  <c r="C197" i="3"/>
  <c r="I200" i="3"/>
  <c r="L202" i="3"/>
  <c r="B208" i="3"/>
  <c r="B210" i="3" l="1"/>
  <c r="M210" i="3"/>
  <c r="I210" i="3"/>
  <c r="Q210" i="3"/>
  <c r="L210" i="3"/>
  <c r="D210" i="3"/>
  <c r="P210" i="3"/>
  <c r="G210" i="3"/>
  <c r="J210" i="3"/>
  <c r="C210" i="3"/>
  <c r="E210" i="3" s="1"/>
  <c r="F210" i="3"/>
  <c r="O210" i="3"/>
  <c r="N210" i="3"/>
  <c r="O214" i="12"/>
  <c r="M215" i="12"/>
  <c r="N216" i="12"/>
  <c r="L217" i="12"/>
  <c r="M216" i="12"/>
  <c r="M217" i="12"/>
  <c r="N217" i="12"/>
  <c r="M214" i="12"/>
  <c r="O217" i="12"/>
  <c r="L214" i="12"/>
  <c r="O216" i="12"/>
  <c r="O215" i="12"/>
  <c r="N214" i="12"/>
  <c r="L216" i="12"/>
  <c r="L215" i="12"/>
  <c r="N215" i="12"/>
  <c r="N211" i="12"/>
  <c r="I213" i="2"/>
  <c r="C209" i="3"/>
  <c r="E208" i="2"/>
  <c r="N204" i="3"/>
  <c r="B209" i="2"/>
  <c r="C205" i="3"/>
  <c r="C207" i="2"/>
  <c r="I203" i="3"/>
  <c r="M205" i="2"/>
  <c r="C201" i="3"/>
  <c r="Q197" i="2"/>
  <c r="C193" i="3"/>
  <c r="R211" i="2"/>
  <c r="I207" i="3"/>
  <c r="E203" i="2"/>
  <c r="D199" i="3"/>
  <c r="H199" i="2"/>
  <c r="N195" i="3"/>
  <c r="R195" i="2"/>
  <c r="N191" i="3"/>
  <c r="C214" i="2"/>
  <c r="L210" i="2"/>
  <c r="P206" i="3"/>
  <c r="M202" i="2"/>
  <c r="G198" i="3"/>
  <c r="C198" i="2"/>
  <c r="C194" i="3"/>
  <c r="L207" i="7"/>
  <c r="I201" i="10"/>
  <c r="E198" i="14"/>
  <c r="G198" i="14" s="1"/>
  <c r="F209" i="11"/>
  <c r="M211" i="7"/>
  <c r="J200" i="11"/>
  <c r="E211" i="7"/>
  <c r="C194" i="14"/>
  <c r="K194" i="10"/>
  <c r="B207" i="11"/>
  <c r="O212" i="7"/>
  <c r="D192" i="7"/>
  <c r="E190" i="14"/>
  <c r="G190" i="14" s="1"/>
  <c r="C211" i="10"/>
  <c r="F205" i="11"/>
  <c r="G212" i="7"/>
  <c r="K208" i="7"/>
  <c r="C202" i="14"/>
  <c r="F211" i="11"/>
  <c r="B203" i="11"/>
  <c r="C204" i="3"/>
  <c r="C192" i="3"/>
  <c r="J192" i="3"/>
  <c r="F208" i="3"/>
  <c r="J196" i="3"/>
  <c r="K196" i="3" s="1"/>
  <c r="E204" i="14"/>
  <c r="D204" i="14"/>
  <c r="E196" i="14"/>
  <c r="D196" i="14"/>
  <c r="E188" i="14"/>
  <c r="D188" i="14"/>
  <c r="O208" i="3"/>
  <c r="J200" i="3"/>
  <c r="K200" i="3" s="1"/>
  <c r="F192" i="3"/>
  <c r="C208" i="3"/>
  <c r="J208" i="3"/>
  <c r="C196" i="3"/>
  <c r="B196" i="3"/>
  <c r="N196" i="3"/>
  <c r="C200" i="14"/>
  <c r="B200" i="14"/>
  <c r="F200" i="14"/>
  <c r="C192" i="14"/>
  <c r="B192" i="14"/>
  <c r="F192" i="14"/>
  <c r="D202" i="3"/>
  <c r="P202" i="3"/>
  <c r="D190" i="3"/>
  <c r="C190" i="3"/>
  <c r="N208" i="3"/>
  <c r="G202" i="3"/>
  <c r="I199" i="3"/>
  <c r="F196" i="3"/>
  <c r="O192" i="3"/>
  <c r="B192" i="3"/>
  <c r="P190" i="3"/>
  <c r="E208" i="11"/>
  <c r="H208" i="11"/>
  <c r="L208" i="11"/>
  <c r="E204" i="11"/>
  <c r="H204" i="11"/>
  <c r="L204" i="11"/>
  <c r="N196" i="11"/>
  <c r="B196" i="11"/>
  <c r="F192" i="11"/>
  <c r="J192" i="11"/>
  <c r="D204" i="11"/>
  <c r="C200" i="3"/>
  <c r="F200" i="3"/>
  <c r="O200" i="3"/>
  <c r="O204" i="3"/>
  <c r="N200" i="3"/>
  <c r="I192" i="3"/>
  <c r="I208" i="3"/>
  <c r="C202" i="3"/>
  <c r="B200" i="3"/>
  <c r="O196" i="3"/>
  <c r="N192" i="3"/>
  <c r="L190" i="3"/>
  <c r="C210" i="7"/>
  <c r="J210" i="7"/>
  <c r="N210" i="7"/>
  <c r="B210" i="7"/>
  <c r="D194" i="7"/>
  <c r="H194" i="7"/>
  <c r="H194" i="12" s="1"/>
  <c r="H202" i="7"/>
  <c r="H202" i="12" s="1"/>
  <c r="D208" i="11"/>
  <c r="N212" i="7"/>
  <c r="F212" i="7"/>
  <c r="L211" i="7"/>
  <c r="D211" i="7"/>
  <c r="J208" i="7"/>
  <c r="B207" i="7"/>
  <c r="H200" i="7"/>
  <c r="H200" i="12" s="1"/>
  <c r="J195" i="7"/>
  <c r="B191" i="7"/>
  <c r="O211" i="10"/>
  <c r="M210" i="10"/>
  <c r="C206" i="10"/>
  <c r="I193" i="10"/>
  <c r="B211" i="11"/>
  <c r="B209" i="11"/>
  <c r="N207" i="11"/>
  <c r="H206" i="11"/>
  <c r="B205" i="11"/>
  <c r="N203" i="11"/>
  <c r="N201" i="11"/>
  <c r="H199" i="11"/>
  <c r="K212" i="7"/>
  <c r="C212" i="7"/>
  <c r="I211" i="7"/>
  <c r="O208" i="7"/>
  <c r="G208" i="7"/>
  <c r="F203" i="14"/>
  <c r="F195" i="14"/>
  <c r="K211" i="10"/>
  <c r="H210" i="10"/>
  <c r="C198" i="10"/>
  <c r="N211" i="11"/>
  <c r="N209" i="11"/>
  <c r="J207" i="11"/>
  <c r="N205" i="11"/>
  <c r="J203" i="11"/>
  <c r="J201" i="11"/>
  <c r="J212" i="7"/>
  <c r="B212" i="7"/>
  <c r="H211" i="7"/>
  <c r="N208" i="7"/>
  <c r="J203" i="7"/>
  <c r="B199" i="7"/>
  <c r="B203" i="14"/>
  <c r="D199" i="14"/>
  <c r="B195" i="14"/>
  <c r="D191" i="14"/>
  <c r="G211" i="10"/>
  <c r="I209" i="10"/>
  <c r="K202" i="10"/>
  <c r="C190" i="10"/>
  <c r="J211" i="11"/>
  <c r="J209" i="11"/>
  <c r="F207" i="11"/>
  <c r="J205" i="11"/>
  <c r="F203" i="11"/>
  <c r="H191" i="11"/>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09" i="7"/>
  <c r="K209" i="12" s="1"/>
  <c r="H209" i="7"/>
  <c r="H209" i="12" s="1"/>
  <c r="D209" i="7"/>
  <c r="N205" i="7"/>
  <c r="Q208" i="3"/>
  <c r="M208" i="3"/>
  <c r="D208" i="3"/>
  <c r="Q204" i="3"/>
  <c r="M204" i="3"/>
  <c r="D204" i="3"/>
  <c r="L203" i="3"/>
  <c r="G203" i="3"/>
  <c r="C203" i="3"/>
  <c r="O202" i="3"/>
  <c r="J202" i="3"/>
  <c r="F202" i="3"/>
  <c r="B202" i="3"/>
  <c r="Q200" i="3"/>
  <c r="M200" i="3"/>
  <c r="D200" i="3"/>
  <c r="P199" i="3"/>
  <c r="L199" i="3"/>
  <c r="G199" i="3"/>
  <c r="N197" i="3"/>
  <c r="I197" i="3"/>
  <c r="Q196" i="3"/>
  <c r="M196" i="3"/>
  <c r="D196" i="3"/>
  <c r="Q192" i="3"/>
  <c r="M192" i="3"/>
  <c r="D192"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J196" i="12" s="1"/>
  <c r="O196" i="7"/>
  <c r="E192" i="7"/>
  <c r="I192" i="7"/>
  <c r="I192" i="12" s="1"/>
  <c r="M192" i="7"/>
  <c r="B192" i="7"/>
  <c r="F192" i="7"/>
  <c r="J192" i="7"/>
  <c r="N192" i="7"/>
  <c r="C192" i="7"/>
  <c r="G192" i="7"/>
  <c r="K192" i="7"/>
  <c r="J192" i="12" s="1"/>
  <c r="O192" i="7"/>
  <c r="M212" i="7"/>
  <c r="I212" i="7"/>
  <c r="E212" i="7"/>
  <c r="O211" i="7"/>
  <c r="K211" i="7"/>
  <c r="G211" i="7"/>
  <c r="C211" i="7"/>
  <c r="M210" i="7"/>
  <c r="I210" i="7"/>
  <c r="E210" i="7"/>
  <c r="O209" i="7"/>
  <c r="K209" i="7"/>
  <c r="J209" i="12" s="1"/>
  <c r="G209" i="7"/>
  <c r="C209" i="7"/>
  <c r="M208" i="7"/>
  <c r="I208" i="7"/>
  <c r="I208" i="12" s="1"/>
  <c r="D208" i="7"/>
  <c r="L206" i="7"/>
  <c r="K206" i="12" s="1"/>
  <c r="H204" i="7"/>
  <c r="H204" i="12" s="1"/>
  <c r="B201" i="7"/>
  <c r="L198" i="7"/>
  <c r="K198" i="12" s="1"/>
  <c r="H196" i="7"/>
  <c r="H196" i="12" s="1"/>
  <c r="B193" i="7"/>
  <c r="L190" i="7"/>
  <c r="K190" i="12" s="1"/>
  <c r="M212" i="10"/>
  <c r="O197" i="3"/>
  <c r="J197" i="3"/>
  <c r="F197" i="3"/>
  <c r="B197" i="3"/>
  <c r="O189" i="3"/>
  <c r="B189" i="3"/>
  <c r="C205" i="7"/>
  <c r="G205" i="7"/>
  <c r="K205" i="7"/>
  <c r="J205" i="12" s="1"/>
  <c r="O205" i="7"/>
  <c r="D205" i="7"/>
  <c r="H205" i="7"/>
  <c r="H205" i="12" s="1"/>
  <c r="L205" i="7"/>
  <c r="K205" i="12" s="1"/>
  <c r="E205" i="7"/>
  <c r="I205" i="7"/>
  <c r="I205" i="12" s="1"/>
  <c r="M205" i="7"/>
  <c r="C197" i="7"/>
  <c r="G197" i="7"/>
  <c r="K197" i="7"/>
  <c r="J197" i="12" s="1"/>
  <c r="O197" i="7"/>
  <c r="D197" i="7"/>
  <c r="H197" i="7"/>
  <c r="H197" i="12" s="1"/>
  <c r="L197" i="7"/>
  <c r="K197" i="12" s="1"/>
  <c r="E197" i="7"/>
  <c r="I197" i="7"/>
  <c r="I197" i="12" s="1"/>
  <c r="M197" i="7"/>
  <c r="F201" i="7"/>
  <c r="N197" i="7"/>
  <c r="F193" i="7"/>
  <c r="P208" i="3"/>
  <c r="L208" i="3"/>
  <c r="G208" i="3"/>
  <c r="P204" i="3"/>
  <c r="L204" i="3"/>
  <c r="G204" i="3"/>
  <c r="O203" i="3"/>
  <c r="J203" i="3"/>
  <c r="K203" i="3" s="1"/>
  <c r="F203" i="3"/>
  <c r="N202" i="3"/>
  <c r="I202" i="3"/>
  <c r="P200" i="3"/>
  <c r="L200" i="3"/>
  <c r="G200" i="3"/>
  <c r="O199" i="3"/>
  <c r="J199" i="3"/>
  <c r="F199" i="3"/>
  <c r="Q197" i="3"/>
  <c r="M197" i="3"/>
  <c r="D197" i="3"/>
  <c r="E197" i="3" s="1"/>
  <c r="P196" i="3"/>
  <c r="L196" i="3"/>
  <c r="G196" i="3"/>
  <c r="I194" i="3"/>
  <c r="P192" i="3"/>
  <c r="L192" i="3"/>
  <c r="G192" i="3"/>
  <c r="O191" i="3"/>
  <c r="J191" i="3"/>
  <c r="F191" i="3"/>
  <c r="N190" i="3"/>
  <c r="I190" i="3"/>
  <c r="Q189" i="3"/>
  <c r="M189" i="3"/>
  <c r="D189" i="3"/>
  <c r="E189" i="3" s="1"/>
  <c r="C207" i="7"/>
  <c r="G207" i="7"/>
  <c r="K207" i="7"/>
  <c r="J207" i="12" s="1"/>
  <c r="O207" i="7"/>
  <c r="D207" i="7"/>
  <c r="E207" i="7"/>
  <c r="I207" i="7"/>
  <c r="I207" i="12" s="1"/>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K195" i="12" s="1"/>
  <c r="E195" i="7"/>
  <c r="I195" i="7"/>
  <c r="I195" i="12" s="1"/>
  <c r="M195" i="7"/>
  <c r="C191" i="7"/>
  <c r="G191" i="7"/>
  <c r="K191" i="7"/>
  <c r="J191" i="12" s="1"/>
  <c r="O191" i="7"/>
  <c r="D191" i="7"/>
  <c r="H191" i="7"/>
  <c r="H191" i="12" s="1"/>
  <c r="L191" i="7"/>
  <c r="K191" i="12" s="1"/>
  <c r="E191" i="7"/>
  <c r="I191" i="7"/>
  <c r="I191" i="12" s="1"/>
  <c r="M191" i="7"/>
  <c r="L212" i="7"/>
  <c r="H212" i="7"/>
  <c r="N211" i="7"/>
  <c r="J211" i="7"/>
  <c r="F211" i="7"/>
  <c r="L210" i="7"/>
  <c r="K210" i="12" s="1"/>
  <c r="H210" i="7"/>
  <c r="H210" i="12" s="1"/>
  <c r="D210" i="7"/>
  <c r="N209" i="7"/>
  <c r="J209" i="7"/>
  <c r="F209" i="7"/>
  <c r="B209" i="7"/>
  <c r="L208" i="7"/>
  <c r="H208" i="7"/>
  <c r="H208" i="12" s="1"/>
  <c r="B208" i="7"/>
  <c r="H207" i="7"/>
  <c r="F205" i="7"/>
  <c r="D204" i="7"/>
  <c r="B203" i="7"/>
  <c r="N201" i="7"/>
  <c r="L200" i="7"/>
  <c r="K200" i="12" s="1"/>
  <c r="J199" i="7"/>
  <c r="F197" i="7"/>
  <c r="D196" i="7"/>
  <c r="B195" i="7"/>
  <c r="N193" i="7"/>
  <c r="L192" i="7"/>
  <c r="K192" i="12" s="1"/>
  <c r="J191" i="7"/>
  <c r="Q202" i="3"/>
  <c r="M202" i="3"/>
  <c r="P197" i="3"/>
  <c r="L197" i="3"/>
  <c r="G197" i="3"/>
  <c r="Q194"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I194" i="12" s="1"/>
  <c r="M194" i="7"/>
  <c r="B194" i="7"/>
  <c r="F194" i="7"/>
  <c r="J194" i="7"/>
  <c r="N194" i="7"/>
  <c r="C194" i="7"/>
  <c r="G194" i="7"/>
  <c r="K194" i="7"/>
  <c r="J194" i="12" s="1"/>
  <c r="O194" i="7"/>
  <c r="E190" i="7"/>
  <c r="I190" i="7"/>
  <c r="I190" i="12" s="1"/>
  <c r="M190" i="7"/>
  <c r="B190" i="7"/>
  <c r="F190" i="7"/>
  <c r="J190" i="7"/>
  <c r="N190" i="7"/>
  <c r="C190" i="7"/>
  <c r="G190" i="7"/>
  <c r="K190" i="7"/>
  <c r="J190" i="12" s="1"/>
  <c r="O190" i="7"/>
  <c r="O210" i="7"/>
  <c r="K210" i="7"/>
  <c r="J210" i="12" s="1"/>
  <c r="G210" i="7"/>
  <c r="M209" i="7"/>
  <c r="I209" i="7"/>
  <c r="N207" i="7"/>
  <c r="F207" i="7"/>
  <c r="D206" i="7"/>
  <c r="B205" i="7"/>
  <c r="N203" i="7"/>
  <c r="L202" i="7"/>
  <c r="K202" i="12" s="1"/>
  <c r="J201" i="7"/>
  <c r="F199" i="7"/>
  <c r="D198" i="7"/>
  <c r="B197" i="7"/>
  <c r="N195" i="7"/>
  <c r="L194" i="7"/>
  <c r="K194" i="12" s="1"/>
  <c r="J193" i="7"/>
  <c r="F191" i="7"/>
  <c r="D190" i="7"/>
  <c r="B201" i="14"/>
  <c r="F201" i="14"/>
  <c r="C201" i="14"/>
  <c r="D201" i="14"/>
  <c r="D197" i="14"/>
  <c r="E197" i="14"/>
  <c r="B197" i="14"/>
  <c r="F197" i="14"/>
  <c r="B193" i="14"/>
  <c r="G193" i="14" s="1"/>
  <c r="F193" i="14"/>
  <c r="C193" i="14"/>
  <c r="D193" i="14"/>
  <c r="D189" i="14"/>
  <c r="E189" i="14"/>
  <c r="B189" i="14"/>
  <c r="F189" i="14"/>
  <c r="E201" i="14"/>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12" i="10"/>
  <c r="G208" i="10"/>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1" i="10"/>
  <c r="J211" i="10"/>
  <c r="F211" i="10"/>
  <c r="B211" i="10"/>
  <c r="L210" i="10"/>
  <c r="M205" i="10"/>
  <c r="I203" i="10"/>
  <c r="M197" i="10"/>
  <c r="I195" i="10"/>
  <c r="L210" i="11"/>
  <c r="L202" i="11"/>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1" i="10"/>
  <c r="I211" i="10"/>
  <c r="E211" i="10"/>
  <c r="O210" i="10"/>
  <c r="K210" i="10"/>
  <c r="C210" i="10"/>
  <c r="M207" i="10"/>
  <c r="K206" i="10"/>
  <c r="E203" i="10"/>
  <c r="C202" i="10"/>
  <c r="M199" i="10"/>
  <c r="K198" i="10"/>
  <c r="E195" i="10"/>
  <c r="C194" i="10"/>
  <c r="M191" i="10"/>
  <c r="K190" i="10"/>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1" i="10"/>
  <c r="H211" i="10"/>
  <c r="N210" i="10"/>
  <c r="J210" i="10"/>
  <c r="M209" i="10"/>
  <c r="I207" i="10"/>
  <c r="G206" i="10"/>
  <c r="E205" i="10"/>
  <c r="O202" i="10"/>
  <c r="M201" i="10"/>
  <c r="I199" i="10"/>
  <c r="G198" i="10"/>
  <c r="E197" i="10"/>
  <c r="O194" i="10"/>
  <c r="M193" i="10"/>
  <c r="I191" i="10"/>
  <c r="G190" i="10"/>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C209" i="12"/>
  <c r="G209" i="12"/>
  <c r="D209" i="12"/>
  <c r="E209" i="12"/>
  <c r="I209" i="12"/>
  <c r="B209" i="12"/>
  <c r="F209" i="12"/>
  <c r="C205" i="12"/>
  <c r="G205" i="12"/>
  <c r="D205" i="12"/>
  <c r="E205" i="12"/>
  <c r="F205" i="12"/>
  <c r="C201" i="12"/>
  <c r="G201" i="12"/>
  <c r="D201" i="12"/>
  <c r="E201" i="12"/>
  <c r="B201" i="12"/>
  <c r="F201" i="12"/>
  <c r="B197" i="12"/>
  <c r="F197" i="12"/>
  <c r="C197" i="12"/>
  <c r="D197" i="12"/>
  <c r="G197" i="12"/>
  <c r="E197" i="12"/>
  <c r="B193" i="12"/>
  <c r="F193" i="12"/>
  <c r="C193" i="12"/>
  <c r="G193" i="12"/>
  <c r="D193" i="12"/>
  <c r="E193" i="12"/>
  <c r="B189" i="12"/>
  <c r="F189" i="12"/>
  <c r="C189" i="12"/>
  <c r="G189" i="12"/>
  <c r="D189" i="12"/>
  <c r="E189" i="12"/>
  <c r="F207" i="13"/>
  <c r="G207" i="13"/>
  <c r="E207" i="13"/>
  <c r="F203" i="13"/>
  <c r="G203" i="13"/>
  <c r="E203" i="13"/>
  <c r="F199" i="13"/>
  <c r="G199" i="13"/>
  <c r="E199" i="13"/>
  <c r="F195" i="13"/>
  <c r="G195" i="13"/>
  <c r="E195" i="13"/>
  <c r="F191" i="13"/>
  <c r="G191" i="13"/>
  <c r="E191" i="13"/>
  <c r="F187" i="13"/>
  <c r="G187" i="13"/>
  <c r="E187" i="13"/>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E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G196" i="12"/>
  <c r="K196" i="12"/>
  <c r="D192" i="12"/>
  <c r="H192" i="12"/>
  <c r="E192" i="12"/>
  <c r="B192" i="12"/>
  <c r="F192" i="12"/>
  <c r="C192" i="12"/>
  <c r="G192" i="12"/>
  <c r="D188" i="12"/>
  <c r="E188" i="12"/>
  <c r="B188" i="12"/>
  <c r="F188" i="12"/>
  <c r="G188" i="12"/>
  <c r="C188" i="12"/>
  <c r="E210" i="13"/>
  <c r="F210" i="13"/>
  <c r="G210" i="13"/>
  <c r="E206" i="13"/>
  <c r="F206" i="13"/>
  <c r="G206" i="13"/>
  <c r="E202" i="13"/>
  <c r="F202" i="13"/>
  <c r="G202" i="13"/>
  <c r="E198" i="13"/>
  <c r="F198" i="13"/>
  <c r="G198" i="13"/>
  <c r="E194" i="13"/>
  <c r="F194" i="13"/>
  <c r="G194" i="13"/>
  <c r="E190" i="13"/>
  <c r="F190" i="13"/>
  <c r="G190" i="13"/>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C207" i="12"/>
  <c r="G207" i="12"/>
  <c r="K207" i="12"/>
  <c r="D207" i="12"/>
  <c r="H207" i="12"/>
  <c r="E207" i="12"/>
  <c r="B207" i="12"/>
  <c r="C203" i="12"/>
  <c r="G203" i="12"/>
  <c r="D203" i="12"/>
  <c r="E203" i="12"/>
  <c r="B203" i="12"/>
  <c r="F203" i="12"/>
  <c r="C199" i="12"/>
  <c r="G199" i="12"/>
  <c r="D199" i="12"/>
  <c r="E199" i="12"/>
  <c r="B199" i="12"/>
  <c r="B195" i="12"/>
  <c r="F195" i="12"/>
  <c r="C195" i="12"/>
  <c r="G195" i="12"/>
  <c r="D195" i="12"/>
  <c r="E195" i="12"/>
  <c r="B191" i="12"/>
  <c r="F191" i="12"/>
  <c r="C191" i="12"/>
  <c r="G191" i="12"/>
  <c r="D191" i="12"/>
  <c r="E191" i="12"/>
  <c r="F209" i="13"/>
  <c r="G209" i="13"/>
  <c r="E209" i="13"/>
  <c r="F205" i="13"/>
  <c r="G205" i="13"/>
  <c r="E205" i="13"/>
  <c r="F201" i="13"/>
  <c r="G201" i="13"/>
  <c r="E201" i="13"/>
  <c r="F197" i="13"/>
  <c r="G197" i="13"/>
  <c r="F193" i="13"/>
  <c r="G193" i="13"/>
  <c r="E193" i="13"/>
  <c r="F189" i="13"/>
  <c r="G189" i="13"/>
  <c r="E189" i="13"/>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E210" i="12"/>
  <c r="I210" i="12"/>
  <c r="B210" i="12"/>
  <c r="F210" i="12"/>
  <c r="C210" i="12"/>
  <c r="G210" i="12"/>
  <c r="D210" i="12"/>
  <c r="E206" i="12"/>
  <c r="B206" i="12"/>
  <c r="F206" i="12"/>
  <c r="C206" i="12"/>
  <c r="G206" i="12"/>
  <c r="H206" i="12"/>
  <c r="E202" i="12"/>
  <c r="B202" i="12"/>
  <c r="F202" i="12"/>
  <c r="C202" i="12"/>
  <c r="G202" i="12"/>
  <c r="D202" i="12"/>
  <c r="E198" i="12"/>
  <c r="B198" i="12"/>
  <c r="F198" i="12"/>
  <c r="C198" i="12"/>
  <c r="G198" i="12"/>
  <c r="H198" i="12"/>
  <c r="D194" i="12"/>
  <c r="E194" i="12"/>
  <c r="B194" i="12"/>
  <c r="F194" i="12"/>
  <c r="C194" i="12"/>
  <c r="G194" i="12"/>
  <c r="D190" i="12"/>
  <c r="H190" i="12"/>
  <c r="E190" i="12"/>
  <c r="B190" i="12"/>
  <c r="F190" i="12"/>
  <c r="C190" i="12"/>
  <c r="G190" i="12"/>
  <c r="E208" i="13"/>
  <c r="F208" i="13"/>
  <c r="G208" i="13"/>
  <c r="E204" i="13"/>
  <c r="F204" i="13"/>
  <c r="G204" i="13"/>
  <c r="E200" i="13"/>
  <c r="F200" i="13"/>
  <c r="G200" i="13"/>
  <c r="E196" i="13"/>
  <c r="F196" i="13"/>
  <c r="G196" i="13"/>
  <c r="E192" i="13"/>
  <c r="F192" i="13"/>
  <c r="G192" i="13"/>
  <c r="E188" i="13"/>
  <c r="F188" i="13"/>
  <c r="G188" i="13"/>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O213" i="12"/>
  <c r="L213" i="12"/>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N213" i="12"/>
  <c r="M212" i="12"/>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O212" i="12"/>
  <c r="L212" i="12"/>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M213" i="12"/>
  <c r="N212" i="12"/>
  <c r="M211" i="6"/>
  <c r="I211" i="6"/>
  <c r="M211" i="12" s="1"/>
  <c r="Q213" i="2"/>
  <c r="D205" i="2"/>
  <c r="I197" i="2"/>
  <c r="H208" i="2"/>
  <c r="C212" i="2"/>
  <c r="R212" i="2"/>
  <c r="I204" i="2"/>
  <c r="L204" i="2"/>
  <c r="M200" i="2"/>
  <c r="P200" i="2"/>
  <c r="C196" i="2"/>
  <c r="D196" i="2"/>
  <c r="R196" i="2"/>
  <c r="B200" i="2"/>
  <c r="D212" i="2"/>
  <c r="E211" i="2"/>
  <c r="P207" i="2"/>
  <c r="L199" i="2"/>
  <c r="S209" i="2"/>
  <c r="H207" i="2"/>
  <c r="R203" i="2"/>
  <c r="C199" i="2"/>
  <c r="E195" i="2"/>
  <c r="D206" i="2"/>
  <c r="L206" i="2"/>
  <c r="R206" i="2"/>
  <c r="E206" i="2"/>
  <c r="M206" i="2"/>
  <c r="S206" i="2"/>
  <c r="B194" i="2"/>
  <c r="H194" i="2"/>
  <c r="P194" i="2"/>
  <c r="C194" i="2"/>
  <c r="I194" i="2"/>
  <c r="Q194" i="2"/>
  <c r="C206" i="2"/>
  <c r="S202"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H214" i="2"/>
  <c r="P213" i="2"/>
  <c r="H213" i="2"/>
  <c r="Q212" i="2"/>
  <c r="M211" i="2"/>
  <c r="D211" i="2"/>
  <c r="R209" i="2"/>
  <c r="S208" i="2"/>
  <c r="P206" i="2"/>
  <c r="B206" i="2"/>
  <c r="L205" i="2"/>
  <c r="C205" i="2"/>
  <c r="Q203" i="2"/>
  <c r="I203" i="2"/>
  <c r="R202" i="2"/>
  <c r="D202" i="2"/>
  <c r="E201" i="2"/>
  <c r="S199" i="2"/>
  <c r="B199" i="2"/>
  <c r="H198" i="2"/>
  <c r="P197" i="2"/>
  <c r="H197" i="2"/>
  <c r="Q196" i="2"/>
  <c r="M195" i="2"/>
  <c r="D195" i="2"/>
  <c r="L194" i="2"/>
  <c r="B210" i="2"/>
  <c r="H210" i="2"/>
  <c r="P210" i="2"/>
  <c r="C210" i="2"/>
  <c r="I210" i="2"/>
  <c r="Q210" i="2"/>
  <c r="Q20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Q214" i="2"/>
  <c r="M213" i="2"/>
  <c r="D213" i="2"/>
  <c r="L212" i="2"/>
  <c r="S210" i="2"/>
  <c r="E210" i="2"/>
  <c r="P208" i="2"/>
  <c r="B208" i="2"/>
  <c r="L207" i="2"/>
  <c r="I206" i="2"/>
  <c r="Q205" i="2"/>
  <c r="I205" i="2"/>
  <c r="R204" i="2"/>
  <c r="D204" i="2"/>
  <c r="S201" i="2"/>
  <c r="B201" i="2"/>
  <c r="H200" i="2"/>
  <c r="P199" i="2"/>
  <c r="Q198" i="2"/>
  <c r="M197" i="2"/>
  <c r="D197" i="2"/>
  <c r="L196" i="2"/>
  <c r="S194" i="2"/>
  <c r="E194" i="2"/>
  <c r="D214" i="2"/>
  <c r="L214" i="2"/>
  <c r="R214" i="2"/>
  <c r="E214" i="2"/>
  <c r="M214" i="2"/>
  <c r="S214" i="2"/>
  <c r="B202" i="2"/>
  <c r="H202" i="2"/>
  <c r="P202" i="2"/>
  <c r="C202" i="2"/>
  <c r="I202" i="2"/>
  <c r="Q202" i="2"/>
  <c r="D198" i="2"/>
  <c r="L198" i="2"/>
  <c r="R198" i="2"/>
  <c r="E198" i="2"/>
  <c r="M198" i="2"/>
  <c r="S198" i="2"/>
  <c r="I214" i="2"/>
  <c r="M210" i="2"/>
  <c r="E202" i="2"/>
  <c r="I198" i="2"/>
  <c r="M194" i="2"/>
  <c r="B211" i="2"/>
  <c r="S211" i="2"/>
  <c r="C211" i="2"/>
  <c r="H211" i="2"/>
  <c r="L211" i="2"/>
  <c r="P211" i="2"/>
  <c r="D207" i="2"/>
  <c r="I207" i="2"/>
  <c r="M207" i="2"/>
  <c r="Q207" i="2"/>
  <c r="E207" i="2"/>
  <c r="R207" i="2"/>
  <c r="B203" i="2"/>
  <c r="S203" i="2"/>
  <c r="C203" i="2"/>
  <c r="H203" i="2"/>
  <c r="L203" i="2"/>
  <c r="P203" i="2"/>
  <c r="D199" i="2"/>
  <c r="I199" i="2"/>
  <c r="M199" i="2"/>
  <c r="Q199" i="2"/>
  <c r="E199" i="2"/>
  <c r="R199" i="2"/>
  <c r="B195" i="2"/>
  <c r="S195" i="2"/>
  <c r="C195" i="2"/>
  <c r="H195" i="2"/>
  <c r="L195" i="2"/>
  <c r="P195"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N205" i="2" l="1"/>
  <c r="O205" i="2" s="1"/>
  <c r="J213" i="2"/>
  <c r="K213" i="2" s="1"/>
  <c r="M198" i="3"/>
  <c r="L198" i="3"/>
  <c r="Q203" i="3"/>
  <c r="B203" i="3"/>
  <c r="Q198" i="3"/>
  <c r="F198" i="3"/>
  <c r="H198" i="3" s="1"/>
  <c r="N198" i="3"/>
  <c r="K210" i="3"/>
  <c r="B201" i="3"/>
  <c r="N196" i="2"/>
  <c r="O196" i="2" s="1"/>
  <c r="Q201" i="3"/>
  <c r="F209" i="3"/>
  <c r="P205" i="3"/>
  <c r="J207" i="3"/>
  <c r="K207" i="3" s="1"/>
  <c r="D209" i="3"/>
  <c r="E209" i="3" s="1"/>
  <c r="O205" i="3"/>
  <c r="G201" i="3"/>
  <c r="G209" i="3"/>
  <c r="D205" i="3"/>
  <c r="E205" i="3" s="1"/>
  <c r="M209" i="3"/>
  <c r="F201" i="3"/>
  <c r="H201" i="3" s="1"/>
  <c r="O209" i="3"/>
  <c r="L195" i="3"/>
  <c r="N205" i="3"/>
  <c r="I209" i="3"/>
  <c r="J201" i="3"/>
  <c r="H210" i="3"/>
  <c r="L201" i="3"/>
  <c r="G205" i="3"/>
  <c r="L209" i="3"/>
  <c r="D201" i="3"/>
  <c r="E201" i="3" s="1"/>
  <c r="M205" i="3"/>
  <c r="Q209" i="3"/>
  <c r="O201" i="3"/>
  <c r="I201" i="3"/>
  <c r="N209" i="3"/>
  <c r="F205" i="3"/>
  <c r="H205" i="3" s="1"/>
  <c r="F198" i="2"/>
  <c r="N210" i="2"/>
  <c r="O210" i="2" s="1"/>
  <c r="P201" i="3"/>
  <c r="L205" i="3"/>
  <c r="P209" i="3"/>
  <c r="M201" i="3"/>
  <c r="Q205" i="3"/>
  <c r="B209" i="3"/>
  <c r="J209" i="3"/>
  <c r="E202" i="3"/>
  <c r="F205" i="2"/>
  <c r="L193" i="3"/>
  <c r="N194" i="3"/>
  <c r="I193" i="3"/>
  <c r="F206" i="3"/>
  <c r="B195" i="3"/>
  <c r="P193" i="3"/>
  <c r="M206" i="3"/>
  <c r="O195" i="3"/>
  <c r="I206" i="3"/>
  <c r="B194" i="3"/>
  <c r="O206" i="3"/>
  <c r="D195" i="3"/>
  <c r="N207" i="3"/>
  <c r="J197" i="2"/>
  <c r="K197" i="2" s="1"/>
  <c r="M194" i="3"/>
  <c r="Q206" i="3"/>
  <c r="D193" i="3"/>
  <c r="E193" i="3" s="1"/>
  <c r="N206" i="3"/>
  <c r="O193" i="3"/>
  <c r="J194" i="3"/>
  <c r="K194" i="3" s="1"/>
  <c r="P207" i="3"/>
  <c r="L206" i="3"/>
  <c r="D206" i="3"/>
  <c r="M191" i="3"/>
  <c r="F194" i="3"/>
  <c r="B206" i="3"/>
  <c r="B205" i="3"/>
  <c r="B204" i="3"/>
  <c r="J204" i="3"/>
  <c r="D194" i="3"/>
  <c r="E194" i="3" s="1"/>
  <c r="C206" i="3"/>
  <c r="I191" i="3"/>
  <c r="K191" i="3" s="1"/>
  <c r="B191" i="3"/>
  <c r="N203" i="3"/>
  <c r="I204" i="3"/>
  <c r="Q199" i="3"/>
  <c r="D203" i="3"/>
  <c r="E203" i="3" s="1"/>
  <c r="P191" i="3"/>
  <c r="O194" i="3"/>
  <c r="C199" i="3"/>
  <c r="E199" i="3" s="1"/>
  <c r="N201" i="3"/>
  <c r="P203" i="3"/>
  <c r="I205" i="3"/>
  <c r="J206" i="3"/>
  <c r="J205" i="3"/>
  <c r="P194" i="3"/>
  <c r="F204" i="3"/>
  <c r="H204" i="3" s="1"/>
  <c r="M195" i="3"/>
  <c r="Q191" i="3"/>
  <c r="M199" i="3"/>
  <c r="P198" i="3"/>
  <c r="G206" i="3"/>
  <c r="M203" i="3"/>
  <c r="G194" i="3"/>
  <c r="N199" i="3"/>
  <c r="D191" i="3"/>
  <c r="E191" i="3" s="1"/>
  <c r="B199" i="3"/>
  <c r="L194" i="3"/>
  <c r="J199" i="2"/>
  <c r="K199" i="2" s="1"/>
  <c r="F214" i="2"/>
  <c r="O207" i="3"/>
  <c r="B193" i="3"/>
  <c r="N193" i="3"/>
  <c r="P195" i="3"/>
  <c r="J198" i="3"/>
  <c r="C207" i="3"/>
  <c r="D198" i="3"/>
  <c r="Q207" i="3"/>
  <c r="Q195" i="3"/>
  <c r="M193" i="3"/>
  <c r="F195" i="3"/>
  <c r="F193" i="3"/>
  <c r="H193" i="3" s="1"/>
  <c r="C195" i="3"/>
  <c r="O198" i="3"/>
  <c r="G207" i="3"/>
  <c r="C198" i="3"/>
  <c r="D207" i="3"/>
  <c r="Q193" i="3"/>
  <c r="J195" i="3"/>
  <c r="I198" i="3"/>
  <c r="F207" i="3"/>
  <c r="J193" i="3"/>
  <c r="G195" i="3"/>
  <c r="B198" i="3"/>
  <c r="L207" i="3"/>
  <c r="I195" i="3"/>
  <c r="B207" i="3"/>
  <c r="M207" i="3"/>
  <c r="H191" i="3"/>
  <c r="H199" i="3"/>
  <c r="J207" i="2"/>
  <c r="K207" i="2" s="1"/>
  <c r="N199" i="2"/>
  <c r="O199" i="2" s="1"/>
  <c r="H203" i="3"/>
  <c r="F213" i="2"/>
  <c r="F195" i="2"/>
  <c r="F200" i="2"/>
  <c r="E190" i="3"/>
  <c r="F208" i="2"/>
  <c r="J204" i="2"/>
  <c r="K204" i="2" s="1"/>
  <c r="K208" i="3"/>
  <c r="K192" i="3"/>
  <c r="N206" i="2"/>
  <c r="O206" i="2" s="1"/>
  <c r="G200" i="14"/>
  <c r="H200" i="3"/>
  <c r="F211" i="2"/>
  <c r="G197" i="2"/>
  <c r="J200" i="2"/>
  <c r="K200" i="2" s="1"/>
  <c r="H208" i="3"/>
  <c r="H202" i="3"/>
  <c r="K190" i="3"/>
  <c r="H196" i="3"/>
  <c r="E204" i="3"/>
  <c r="G188" i="14"/>
  <c r="G204" i="14"/>
  <c r="H192" i="3"/>
  <c r="G195" i="14"/>
  <c r="E196" i="3"/>
  <c r="G192" i="14"/>
  <c r="E200" i="3"/>
  <c r="K199" i="3"/>
  <c r="K202" i="3"/>
  <c r="J208" i="2"/>
  <c r="K208" i="2" s="1"/>
  <c r="G196" i="14"/>
  <c r="G203" i="14"/>
  <c r="G201" i="14"/>
  <c r="E192" i="3"/>
  <c r="E208" i="3"/>
  <c r="K189" i="3"/>
  <c r="K197" i="3"/>
  <c r="H189" i="3"/>
  <c r="F210" i="2"/>
  <c r="J203" i="2"/>
  <c r="K203" i="2" s="1"/>
  <c r="G213" i="2"/>
  <c r="N200" i="2"/>
  <c r="O200" i="2" s="1"/>
  <c r="G206" i="2"/>
  <c r="G202" i="14"/>
  <c r="G189" i="14"/>
  <c r="G197" i="14"/>
  <c r="H197" i="3"/>
  <c r="J210" i="2"/>
  <c r="K210" i="2" s="1"/>
  <c r="G202" i="2"/>
  <c r="F212" i="2"/>
  <c r="G205" i="2"/>
  <c r="G194" i="14"/>
  <c r="F194" i="2"/>
  <c r="J205" i="2"/>
  <c r="K205" i="2" s="1"/>
  <c r="F199" i="2"/>
  <c r="N207" i="2"/>
  <c r="O207" i="2" s="1"/>
  <c r="G198" i="2"/>
  <c r="G212" i="2"/>
  <c r="N197" i="2"/>
  <c r="O197" i="2" s="1"/>
  <c r="G195" i="2"/>
  <c r="F196" i="2"/>
  <c r="G214" i="2"/>
  <c r="F197" i="2"/>
  <c r="G207" i="2"/>
  <c r="J202" i="2"/>
  <c r="K202" i="2" s="1"/>
  <c r="G194" i="2"/>
  <c r="G211" i="2"/>
  <c r="J198" i="2"/>
  <c r="K198" i="2" s="1"/>
  <c r="G196" i="2"/>
  <c r="G210" i="2"/>
  <c r="N195" i="2"/>
  <c r="O195" i="2" s="1"/>
  <c r="N198" i="2"/>
  <c r="O198" i="2" s="1"/>
  <c r="N214" i="2"/>
  <c r="O214" i="2" s="1"/>
  <c r="F204" i="2"/>
  <c r="N204" i="2"/>
  <c r="O204" i="2" s="1"/>
  <c r="J196" i="2"/>
  <c r="K196" i="2" s="1"/>
  <c r="J212" i="2"/>
  <c r="K212" i="2" s="1"/>
  <c r="F202" i="2"/>
  <c r="N201" i="2"/>
  <c r="O201" i="2" s="1"/>
  <c r="N209" i="2"/>
  <c r="O209" i="2" s="1"/>
  <c r="G199" i="2"/>
  <c r="N213" i="2"/>
  <c r="O213" i="2" s="1"/>
  <c r="J206" i="2"/>
  <c r="K206" i="2" s="1"/>
  <c r="N203" i="2"/>
  <c r="O203" i="2" s="1"/>
  <c r="N211" i="2"/>
  <c r="O211" i="2" s="1"/>
  <c r="N212" i="2"/>
  <c r="O212" i="2" s="1"/>
  <c r="J201" i="2"/>
  <c r="K201" i="2" s="1"/>
  <c r="J209" i="2"/>
  <c r="K209" i="2" s="1"/>
  <c r="F206" i="2"/>
  <c r="F203" i="2"/>
  <c r="J214" i="2"/>
  <c r="K214" i="2" s="1"/>
  <c r="G204" i="2"/>
  <c r="G200" i="2"/>
  <c r="G208" i="2"/>
  <c r="J195" i="2"/>
  <c r="K195" i="2" s="1"/>
  <c r="J211" i="2"/>
  <c r="K211" i="2" s="1"/>
  <c r="N208" i="2"/>
  <c r="O208" i="2" s="1"/>
  <c r="N194" i="2"/>
  <c r="O194" i="2" s="1"/>
  <c r="G201" i="2"/>
  <c r="F201" i="2"/>
  <c r="G209" i="2"/>
  <c r="F209" i="2"/>
  <c r="J194" i="2"/>
  <c r="K194" i="2" s="1"/>
  <c r="F207" i="2"/>
  <c r="F193" i="18"/>
  <c r="K206" i="3" l="1"/>
  <c r="K209" i="3"/>
  <c r="H194" i="3"/>
  <c r="K201" i="3"/>
  <c r="H209" i="3"/>
  <c r="K204" i="3"/>
  <c r="H206" i="3"/>
  <c r="K198" i="3"/>
  <c r="K195" i="3"/>
  <c r="K193" i="3"/>
  <c r="E195" i="3"/>
  <c r="E198" i="3"/>
  <c r="H195" i="3"/>
  <c r="E207" i="3"/>
  <c r="K205" i="3"/>
  <c r="H207" i="3"/>
  <c r="E206" i="3"/>
  <c r="F198" i="18"/>
  <c r="F19" i="18"/>
  <c r="F118" i="18"/>
  <c r="F99" i="18"/>
  <c r="F128" i="18"/>
  <c r="F167" i="18"/>
  <c r="F9" i="18"/>
  <c r="F158" i="18"/>
  <c r="F23" i="18"/>
  <c r="F84" i="18"/>
  <c r="F162" i="18"/>
  <c r="F208" i="18"/>
  <c r="F100" i="18"/>
  <c r="F12" i="18"/>
  <c r="F217" i="18"/>
  <c r="F91" i="18"/>
  <c r="F154" i="18"/>
  <c r="F35" i="18"/>
  <c r="F78" i="18"/>
  <c r="F121" i="18"/>
  <c r="F149" i="18"/>
  <c r="F57" i="18"/>
  <c r="F195" i="18"/>
  <c r="F104" i="18"/>
  <c r="F10" i="18"/>
  <c r="F82" i="18"/>
  <c r="F173" i="18"/>
  <c r="F49" i="18"/>
  <c r="F184" i="18"/>
  <c r="F67" i="18"/>
  <c r="F101" i="18"/>
  <c r="F134" i="18"/>
  <c r="F56" i="18"/>
  <c r="F96" i="18"/>
  <c r="F48" i="18"/>
  <c r="F69" i="18"/>
  <c r="F93" i="18"/>
  <c r="F132" i="18"/>
  <c r="F175" i="18"/>
  <c r="F200" i="18"/>
  <c r="F189" i="18"/>
  <c r="F95" i="18"/>
  <c r="F201" i="18"/>
  <c r="F176" i="18"/>
  <c r="F145" i="18"/>
  <c r="F187" i="18"/>
  <c r="F74" i="18"/>
  <c r="F47" i="18"/>
  <c r="F22" i="18"/>
  <c r="F90" i="18"/>
  <c r="F77" i="18"/>
  <c r="F199" i="18"/>
  <c r="F114" i="18"/>
  <c r="F44" i="18"/>
  <c r="F50" i="18"/>
  <c r="F28" i="18"/>
  <c r="F13" i="18"/>
  <c r="F42" i="18"/>
  <c r="F211" i="18"/>
  <c r="F179" i="18"/>
  <c r="F21" i="18"/>
  <c r="F36" i="18"/>
  <c r="F141" i="18"/>
  <c r="F112" i="18"/>
  <c r="F75" i="18"/>
  <c r="F171" i="18"/>
  <c r="F116" i="18"/>
  <c r="F157" i="18"/>
  <c r="F17" i="18"/>
  <c r="F196" i="18"/>
  <c r="F191" i="18"/>
  <c r="F153" i="18"/>
  <c r="F197" i="18"/>
  <c r="F38" i="18"/>
  <c r="F168" i="18"/>
  <c r="F86" i="18"/>
  <c r="F181" i="18"/>
  <c r="F20" i="18"/>
  <c r="F68" i="18"/>
  <c r="F18" i="18"/>
  <c r="F164" i="18"/>
  <c r="F188" i="18"/>
  <c r="F115" i="18"/>
  <c r="F97" i="18"/>
  <c r="F117" i="18"/>
  <c r="F70" i="18"/>
  <c r="F143" i="18"/>
  <c r="F15" i="18"/>
  <c r="F111" i="18"/>
  <c r="F43" i="18"/>
  <c r="F89" i="18"/>
  <c r="F216" i="18"/>
  <c r="F135" i="18"/>
  <c r="F103" i="18"/>
  <c r="F206" i="18"/>
  <c r="F8" i="18"/>
  <c r="F59" i="18"/>
  <c r="F109" i="18"/>
  <c r="F129" i="18"/>
  <c r="F58" i="18"/>
  <c r="F37" i="18"/>
  <c r="F119" i="18"/>
  <c r="F136" i="18"/>
  <c r="F159" i="18"/>
  <c r="F102" i="18"/>
  <c r="F76" i="18"/>
  <c r="F24" i="18"/>
  <c r="F139" i="18"/>
  <c r="F106" i="18"/>
  <c r="F192" i="18"/>
  <c r="F83" i="18"/>
  <c r="F142" i="18"/>
  <c r="F169" i="18"/>
  <c r="F155" i="18"/>
  <c r="F14" i="18"/>
  <c r="F147" i="18"/>
  <c r="F131" i="18"/>
  <c r="F161" i="18"/>
  <c r="F79" i="18"/>
  <c r="F33" i="18"/>
  <c r="F71" i="18"/>
  <c r="F126" i="18"/>
  <c r="F185" i="18"/>
  <c r="F29" i="18"/>
  <c r="F31" i="18"/>
  <c r="F144" i="18"/>
  <c r="F122" i="18"/>
  <c r="F108" i="18"/>
  <c r="F11" i="18"/>
  <c r="F34" i="18"/>
  <c r="F146" i="18"/>
  <c r="F55" i="18"/>
  <c r="F41" i="18"/>
  <c r="F130" i="18"/>
  <c r="F73" i="18"/>
  <c r="F54" i="18"/>
  <c r="F98" i="18"/>
  <c r="F45" i="18"/>
  <c r="F46" i="18"/>
  <c r="F113" i="18"/>
  <c r="F64" i="18"/>
  <c r="F163" i="18"/>
  <c r="F85" i="18"/>
  <c r="F65" i="18"/>
  <c r="F88" i="18"/>
  <c r="F110" i="18"/>
  <c r="F209" i="18"/>
  <c r="F138" i="18"/>
  <c r="F127" i="18"/>
  <c r="F80" i="18"/>
  <c r="F125" i="18"/>
  <c r="F123" i="18"/>
  <c r="F178" i="18"/>
  <c r="F172" i="18"/>
  <c r="F204" i="18"/>
  <c r="F133" i="18"/>
  <c r="F182" i="18"/>
  <c r="F7" i="18"/>
  <c r="F32" i="18"/>
  <c r="F40" i="18"/>
  <c r="F202" i="18"/>
  <c r="F174" i="18"/>
  <c r="F170" i="18"/>
  <c r="F62" i="18"/>
  <c r="F51" i="18"/>
  <c r="F152" i="18"/>
  <c r="F150" i="18"/>
  <c r="F213" i="18"/>
  <c r="F107" i="18"/>
  <c r="F72" i="18"/>
  <c r="F87" i="18"/>
  <c r="F137" i="18"/>
  <c r="F160" i="18"/>
  <c r="F30" i="18"/>
  <c r="F215" i="18"/>
  <c r="F120" i="18"/>
  <c r="F180" i="18"/>
  <c r="F207" i="18"/>
  <c r="F94" i="18"/>
  <c r="F63" i="18"/>
  <c r="F190" i="18"/>
  <c r="F183" i="18"/>
  <c r="F177" i="18"/>
  <c r="F26" i="18"/>
  <c r="F166" i="18"/>
  <c r="F124" i="18"/>
  <c r="F140" i="18"/>
  <c r="F186" i="18"/>
  <c r="F16" i="18"/>
  <c r="F60" i="18"/>
  <c r="F39" i="18"/>
  <c r="F25" i="18"/>
  <c r="F156" i="18"/>
  <c r="E215"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57" i="18"/>
  <c r="E86" i="18"/>
  <c r="E145" i="18"/>
  <c r="E12" i="18"/>
  <c r="E183" i="18"/>
  <c r="E112" i="18"/>
  <c r="E72" i="18"/>
  <c r="E44" i="18"/>
  <c r="E210" i="18"/>
  <c r="E211" i="18"/>
  <c r="E153" i="18"/>
  <c r="E94" i="18"/>
  <c r="E191" i="18"/>
  <c r="E204" i="18"/>
  <c r="E135" i="18"/>
  <c r="E78" i="18"/>
  <c r="E25" i="18"/>
  <c r="E14" i="18"/>
  <c r="E160" i="18"/>
  <c r="E189" i="18"/>
  <c r="E198" i="18"/>
  <c r="E87" i="18"/>
  <c r="E133" i="18"/>
  <c r="E130" i="18"/>
  <c r="E65" i="18"/>
  <c r="E102" i="18"/>
  <c r="E170" i="18"/>
  <c r="E53" i="18"/>
  <c r="E36" i="18"/>
  <c r="E131" i="18"/>
  <c r="E128" i="18"/>
  <c r="E111" i="18"/>
  <c r="E185" i="18"/>
  <c r="E28" i="18"/>
  <c r="E216" i="18"/>
  <c r="E156" i="18"/>
  <c r="E169" i="18"/>
  <c r="E13" i="18"/>
  <c r="E136" i="18"/>
  <c r="E93" i="18"/>
  <c r="E107" i="18"/>
  <c r="E95" i="18"/>
  <c r="E10" i="18"/>
  <c r="E201" i="18"/>
  <c r="E176" i="18"/>
  <c r="E171" i="18"/>
  <c r="E187" i="18"/>
  <c r="E120" i="18"/>
  <c r="E106" i="18"/>
  <c r="E152" i="18"/>
  <c r="E129" i="18"/>
  <c r="E119" i="18"/>
  <c r="E164" i="18"/>
  <c r="E139" i="18"/>
  <c r="E24" i="18"/>
  <c r="E202" i="18"/>
  <c r="E184" i="18"/>
  <c r="E11" i="18"/>
  <c r="E188" i="18"/>
  <c r="E137" i="18"/>
  <c r="E117" i="18"/>
  <c r="E18" i="18"/>
  <c r="E124" i="18"/>
  <c r="E98" i="18"/>
  <c r="E77" i="18"/>
  <c r="E114" i="18"/>
  <c r="E41" i="18"/>
  <c r="E173" i="18"/>
  <c r="E110" i="18"/>
  <c r="E150" i="18"/>
  <c r="E167" i="18"/>
  <c r="E207" i="18"/>
  <c r="E180" i="18"/>
  <c r="E121" i="18"/>
  <c r="E159" i="18"/>
  <c r="E181" i="18"/>
  <c r="E141" i="18"/>
  <c r="E56" i="18"/>
  <c r="E186" i="18"/>
  <c r="E50" i="18"/>
  <c r="E206" i="18"/>
  <c r="E84" i="18"/>
  <c r="E82" i="18"/>
  <c r="E155" i="18"/>
  <c r="E134" i="18"/>
  <c r="E69" i="18"/>
  <c r="E138" i="18"/>
  <c r="E109" i="18"/>
  <c r="E75" i="18"/>
  <c r="E70" i="18"/>
  <c r="E39" i="18"/>
  <c r="E17" i="18"/>
  <c r="E42" i="18"/>
  <c r="E122" i="18"/>
  <c r="E8" i="18"/>
  <c r="E108" i="18"/>
  <c r="E190" i="18"/>
  <c r="E101" i="18"/>
  <c r="E48" i="18"/>
  <c r="E15" i="18"/>
  <c r="E118" i="18"/>
  <c r="E125" i="18"/>
  <c r="E126" i="18"/>
  <c r="E116" i="18"/>
  <c r="E40" i="18"/>
  <c r="E96" i="18"/>
  <c r="E182" i="18"/>
  <c r="E154" i="18"/>
  <c r="E74" i="18"/>
  <c r="E83" i="18"/>
  <c r="E157" i="18"/>
  <c r="E143" i="18"/>
  <c r="E178" i="18"/>
  <c r="E142" i="18"/>
  <c r="E99" i="18"/>
  <c r="E30" i="18"/>
  <c r="E196" i="18"/>
  <c r="E104" i="18"/>
  <c r="E26" i="18"/>
  <c r="E89" i="18"/>
  <c r="E33" i="18"/>
  <c r="E208" i="18"/>
  <c r="E209" i="18"/>
  <c r="E76" i="18"/>
  <c r="E140" i="18"/>
  <c r="E58" i="18"/>
  <c r="E172" i="18"/>
  <c r="E20" i="18"/>
  <c r="E97" i="18"/>
  <c r="E148" i="18"/>
  <c r="F148" i="18"/>
  <c r="E43" i="18"/>
  <c r="E19" i="18"/>
  <c r="E147" i="18"/>
  <c r="E38" i="18"/>
  <c r="E16" i="18"/>
  <c r="E162" i="18"/>
  <c r="E197" i="18"/>
  <c r="E144" i="18"/>
  <c r="E73" i="18"/>
  <c r="E163" i="18"/>
  <c r="E71" i="18"/>
  <c r="E29" i="18"/>
  <c r="E113" i="18"/>
  <c r="E21" i="18"/>
  <c r="E179" i="18"/>
  <c r="E31" i="18"/>
  <c r="E85" i="18"/>
  <c r="E103" i="18"/>
  <c r="E68" i="18"/>
  <c r="E55" i="18"/>
  <c r="E34" i="18"/>
  <c r="E146" i="18"/>
  <c r="E168" i="18"/>
  <c r="E37" i="18"/>
  <c r="E49" i="18"/>
  <c r="E127" i="18"/>
  <c r="E35" i="18"/>
  <c r="E166" i="18"/>
  <c r="E174" i="18"/>
  <c r="E22" i="18"/>
  <c r="E60" i="18"/>
  <c r="E200" i="18"/>
  <c r="E123" i="18"/>
  <c r="E54" i="18"/>
  <c r="E91" i="18"/>
  <c r="E59" i="18"/>
  <c r="E175" i="18"/>
  <c r="E46" i="18"/>
  <c r="E23" i="18"/>
  <c r="E9" i="18"/>
  <c r="E149" i="18"/>
  <c r="E45" i="18"/>
  <c r="E67" i="18"/>
  <c r="E100" i="18"/>
  <c r="E64" i="18"/>
  <c r="E132" i="18"/>
  <c r="E158" i="18"/>
  <c r="E32" i="18"/>
  <c r="E199" i="18"/>
  <c r="E7" i="18"/>
  <c r="E161" i="18"/>
  <c r="E115" i="18"/>
  <c r="E213" i="18"/>
  <c r="E63" i="18"/>
  <c r="E80" i="18"/>
  <c r="E47" i="18"/>
  <c r="E194"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E19" i="13"/>
  <c r="E20" i="13"/>
  <c r="E21" i="13"/>
  <c r="F35" i="13"/>
  <c r="E37" i="13"/>
  <c r="F43" i="13"/>
  <c r="E49" i="13"/>
  <c r="E54" i="13"/>
  <c r="G58" i="13"/>
  <c r="F59" i="13"/>
  <c r="E61" i="13"/>
  <c r="F63" i="13"/>
  <c r="F64" i="13"/>
  <c r="G72" i="13"/>
  <c r="E73" i="13"/>
  <c r="G74" i="13"/>
  <c r="F76" i="13"/>
  <c r="F77" i="13"/>
  <c r="E78" i="13"/>
  <c r="E89" i="13"/>
  <c r="E93" i="13"/>
  <c r="F102" i="13"/>
  <c r="F106" i="13"/>
  <c r="E114" i="13"/>
  <c r="G123" i="13"/>
  <c r="F128" i="13"/>
  <c r="E133" i="13"/>
  <c r="F141" i="13"/>
  <c r="E142" i="13"/>
  <c r="E147" i="13"/>
  <c r="F148" i="13"/>
  <c r="E152" i="13"/>
  <c r="F153" i="13"/>
  <c r="E163" i="13"/>
  <c r="F164" i="13"/>
  <c r="F165" i="13"/>
  <c r="E170" i="13"/>
  <c r="G171" i="13"/>
  <c r="F172" i="13"/>
  <c r="G173" i="13"/>
  <c r="E174" i="13"/>
  <c r="G177" i="13"/>
  <c r="E180" i="13"/>
  <c r="F184"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I4" i="21" s="1"/>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149" i="2"/>
  <c r="I150" i="2"/>
  <c r="I151" i="2"/>
  <c r="Q152" i="2"/>
  <c r="C154" i="2"/>
  <c r="E155" i="2"/>
  <c r="J3" i="21" s="1"/>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56" i="2"/>
  <c r="C257" i="2"/>
  <c r="D257" i="2"/>
  <c r="F257" i="2"/>
  <c r="G257" i="2"/>
  <c r="C258" i="2"/>
  <c r="D258" i="2"/>
  <c r="F258" i="2"/>
  <c r="G258" i="2"/>
  <c r="C259" i="2"/>
  <c r="D259" i="2"/>
  <c r="F259" i="2"/>
  <c r="G259" i="2"/>
  <c r="C260" i="2"/>
  <c r="D260" i="2"/>
  <c r="F260" i="2"/>
  <c r="G260"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30" i="7"/>
  <c r="K80" i="7"/>
  <c r="G34" i="7"/>
  <c r="C4" i="21" s="1"/>
  <c r="C256" i="2"/>
  <c r="F256"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59" i="2"/>
  <c r="O32" i="3"/>
  <c r="N69" i="3"/>
  <c r="O93" i="5"/>
  <c r="L145" i="10"/>
  <c r="I33" i="10"/>
  <c r="I18" i="8"/>
  <c r="C84" i="14"/>
  <c r="O73" i="5"/>
  <c r="F167" i="12"/>
  <c r="F161" i="14"/>
  <c r="M167" i="6"/>
  <c r="K132" i="10"/>
  <c r="M109" i="6"/>
  <c r="H260"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58"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G40"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O175" i="12" s="1"/>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E72" i="13"/>
  <c r="E69" i="13"/>
  <c r="G29" i="13"/>
  <c r="F19" i="13"/>
  <c r="G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F124" i="13"/>
  <c r="E98" i="13"/>
  <c r="F80" i="13"/>
  <c r="E13" i="13"/>
  <c r="F15" i="14"/>
  <c r="O151" i="5"/>
  <c r="O133" i="5"/>
  <c r="C123" i="5"/>
  <c r="I114" i="5"/>
  <c r="K107" i="5"/>
  <c r="O97" i="5"/>
  <c r="O89" i="5"/>
  <c r="O81" i="5"/>
  <c r="O75" i="5"/>
  <c r="N69" i="5"/>
  <c r="K63" i="5"/>
  <c r="N44" i="5"/>
  <c r="C34" i="5"/>
  <c r="N23" i="5"/>
  <c r="K166" i="11"/>
  <c r="I94" i="11"/>
  <c r="J92" i="11"/>
  <c r="L88" i="11"/>
  <c r="G53" i="11"/>
  <c r="G74" i="12"/>
  <c r="F96" i="13"/>
  <c r="F90" i="13"/>
  <c r="E141" i="14"/>
  <c r="F99" i="14"/>
  <c r="F93" i="14"/>
  <c r="E78" i="14"/>
  <c r="B71" i="14"/>
  <c r="F69" i="14"/>
  <c r="D62" i="14"/>
  <c r="F60" i="14"/>
  <c r="E41" i="14"/>
  <c r="G41" i="14" s="1"/>
  <c r="B31" i="14"/>
  <c r="F29" i="14"/>
  <c r="D15" i="14"/>
  <c r="C13" i="14"/>
  <c r="I168" i="2"/>
  <c r="C166" i="2"/>
  <c r="D157" i="2"/>
  <c r="C147" i="2"/>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E40" i="13"/>
  <c r="E183" i="14"/>
  <c r="G183" i="14" s="1"/>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F129" i="13"/>
  <c r="F112" i="13"/>
  <c r="E108" i="13"/>
  <c r="F81" i="13"/>
  <c r="E70" i="13"/>
  <c r="E65" i="13"/>
  <c r="F51" i="13"/>
  <c r="F37"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F156" i="13"/>
  <c r="F134" i="13"/>
  <c r="F94" i="13"/>
  <c r="F84" i="13"/>
  <c r="G82" i="13"/>
  <c r="E64" i="13"/>
  <c r="G62" i="13"/>
  <c r="G54" i="13"/>
  <c r="F40" i="13"/>
  <c r="E11"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F182" i="13"/>
  <c r="F178" i="13"/>
  <c r="E138" i="13"/>
  <c r="G126" i="13"/>
  <c r="F118" i="13"/>
  <c r="E102" i="13"/>
  <c r="G102" i="13"/>
  <c r="L183" i="11"/>
  <c r="L163" i="11"/>
  <c r="M154" i="11"/>
  <c r="H144" i="11"/>
  <c r="O134" i="11"/>
  <c r="K129" i="11"/>
  <c r="L127" i="11"/>
  <c r="H64" i="11"/>
  <c r="F34" i="11"/>
  <c r="N32" i="11"/>
  <c r="I32" i="11"/>
  <c r="D32" i="11"/>
  <c r="E178" i="13"/>
  <c r="G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E171" i="13"/>
  <c r="E146" i="13"/>
  <c r="G146" i="13"/>
  <c r="F130" i="13"/>
  <c r="G125" i="13"/>
  <c r="E106" i="13"/>
  <c r="N26" i="5"/>
  <c r="E127" i="12"/>
  <c r="E109" i="12"/>
  <c r="D99" i="12"/>
  <c r="E63" i="12"/>
  <c r="F40" i="12"/>
  <c r="D19" i="12"/>
  <c r="E130" i="13"/>
  <c r="G118" i="13"/>
  <c r="F104" i="13"/>
  <c r="F100" i="13"/>
  <c r="E96" i="13"/>
  <c r="G56" i="13"/>
  <c r="E38" i="13"/>
  <c r="G34" i="13"/>
  <c r="G25" i="13"/>
  <c r="C156" i="14"/>
  <c r="C149" i="14"/>
  <c r="E148" i="14"/>
  <c r="E127" i="14"/>
  <c r="D115" i="14"/>
  <c r="C113" i="14"/>
  <c r="E55" i="14"/>
  <c r="F52" i="14"/>
  <c r="E39" i="14"/>
  <c r="E37" i="14"/>
  <c r="D33" i="14"/>
  <c r="F31" i="14"/>
  <c r="D29" i="14"/>
  <c r="F11" i="14"/>
  <c r="E9" i="14"/>
  <c r="G9" i="14" s="1"/>
  <c r="F116" i="13"/>
  <c r="E112" i="13"/>
  <c r="E100" i="13"/>
  <c r="G94" i="13"/>
  <c r="F92" i="13"/>
  <c r="G86" i="13"/>
  <c r="E83" i="13"/>
  <c r="G80" i="13"/>
  <c r="F73" i="13"/>
  <c r="G69" i="13"/>
  <c r="E56" i="13"/>
  <c r="G50"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F176" i="13"/>
  <c r="F157" i="13"/>
  <c r="G157" i="13"/>
  <c r="C49" i="12"/>
  <c r="F43" i="12"/>
  <c r="E122" i="13"/>
  <c r="F108" i="13"/>
  <c r="E104" i="13"/>
  <c r="E90" i="13"/>
  <c r="F86" i="13"/>
  <c r="F83" i="13"/>
  <c r="I60" i="11"/>
  <c r="I53" i="11"/>
  <c r="E151" i="12"/>
  <c r="F109" i="12"/>
  <c r="E99" i="12"/>
  <c r="E87" i="12"/>
  <c r="F63" i="12"/>
  <c r="G49" i="12"/>
  <c r="E40" i="12"/>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E13" i="5" s="1"/>
  <c r="F13" i="5" s="1"/>
  <c r="G13" i="5" s="1"/>
  <c r="Q13" i="3"/>
  <c r="J189" i="7"/>
  <c r="I162" i="7"/>
  <c r="M162" i="7"/>
  <c r="N148" i="7"/>
  <c r="F148" i="7"/>
  <c r="O47" i="3"/>
  <c r="G47" i="3"/>
  <c r="E47" i="5" s="1"/>
  <c r="F47" i="5" s="1"/>
  <c r="G47" i="5" s="1"/>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K58" i="12" s="1"/>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59" i="2"/>
  <c r="F261" i="2"/>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E179" i="13"/>
  <c r="E168" i="13"/>
  <c r="G154" i="13"/>
  <c r="B25" i="12"/>
  <c r="C25" i="12"/>
  <c r="G18" i="12"/>
  <c r="C18" i="12"/>
  <c r="E181" i="13"/>
  <c r="G181" i="13"/>
  <c r="F166" i="13"/>
  <c r="F162" i="13"/>
  <c r="G141" i="13"/>
  <c r="F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G174" i="13"/>
  <c r="F170" i="13"/>
  <c r="G166" i="13"/>
  <c r="G162" i="13"/>
  <c r="F161" i="13"/>
  <c r="F150" i="13"/>
  <c r="F146" i="13"/>
  <c r="F140" i="13"/>
  <c r="F132" i="13"/>
  <c r="E123" i="13"/>
  <c r="G65" i="12"/>
  <c r="E54" i="12"/>
  <c r="E53" i="12"/>
  <c r="G46" i="12"/>
  <c r="E45" i="12"/>
  <c r="E31" i="12"/>
  <c r="C28" i="12"/>
  <c r="E28" i="12"/>
  <c r="G25" i="12"/>
  <c r="C21" i="12"/>
  <c r="B21" i="12"/>
  <c r="E13" i="12"/>
  <c r="F11" i="12"/>
  <c r="G180" i="13"/>
  <c r="E166" i="13"/>
  <c r="G165" i="13"/>
  <c r="E162" i="13"/>
  <c r="F154" i="13"/>
  <c r="F145" i="13"/>
  <c r="G142" i="13"/>
  <c r="G139" i="13"/>
  <c r="G133" i="13"/>
  <c r="E131" i="13"/>
  <c r="E149" i="13"/>
  <c r="G138" i="13"/>
  <c r="E126" i="13"/>
  <c r="F125" i="13"/>
  <c r="G122" i="13"/>
  <c r="G114" i="13"/>
  <c r="G106" i="13"/>
  <c r="G98" i="13"/>
  <c r="G90" i="13"/>
  <c r="F67" i="13"/>
  <c r="E51" i="13"/>
  <c r="F48" i="13"/>
  <c r="F47" i="13"/>
  <c r="E45" i="13"/>
  <c r="E43" i="13"/>
  <c r="F41" i="13"/>
  <c r="F27" i="13"/>
  <c r="E25" i="13"/>
  <c r="E8" i="13"/>
  <c r="G8" i="13"/>
  <c r="E184" i="14"/>
  <c r="C183" i="14"/>
  <c r="F183" i="14"/>
  <c r="B176" i="14"/>
  <c r="G176" i="14" s="1"/>
  <c r="C176" i="14"/>
  <c r="B167" i="14"/>
  <c r="F167" i="14"/>
  <c r="C151" i="14"/>
  <c r="E151" i="14"/>
  <c r="F3" i="21" s="1"/>
  <c r="B151" i="14"/>
  <c r="G3" i="21" s="1"/>
  <c r="D144" i="14"/>
  <c r="C144" i="14"/>
  <c r="C110" i="14"/>
  <c r="E110" i="14"/>
  <c r="F68" i="13"/>
  <c r="E67" i="13"/>
  <c r="G65" i="13"/>
  <c r="F61" i="13"/>
  <c r="F49" i="13"/>
  <c r="E48" i="13"/>
  <c r="E41" i="13"/>
  <c r="E35" i="13"/>
  <c r="E27" i="13"/>
  <c r="E23" i="13"/>
  <c r="F7" i="13"/>
  <c r="C187" i="14"/>
  <c r="E187" i="14"/>
  <c r="G187" i="14" s="1"/>
  <c r="D172" i="14"/>
  <c r="B172" i="14"/>
  <c r="B169" i="14"/>
  <c r="D169" i="14"/>
  <c r="E154" i="14"/>
  <c r="C154" i="14"/>
  <c r="D146" i="14"/>
  <c r="E146" i="14"/>
  <c r="C131" i="14"/>
  <c r="B131" i="14"/>
  <c r="E131" i="14"/>
  <c r="C122" i="14"/>
  <c r="E122" i="14"/>
  <c r="E81" i="13"/>
  <c r="E75" i="13"/>
  <c r="F65" i="13"/>
  <c r="F56" i="13"/>
  <c r="F44" i="13"/>
  <c r="G42" i="13"/>
  <c r="E24" i="13"/>
  <c r="G24" i="13"/>
  <c r="F11" i="13"/>
  <c r="E9" i="13"/>
  <c r="C177" i="14"/>
  <c r="D177" i="14"/>
  <c r="F172" i="14"/>
  <c r="D171" i="14"/>
  <c r="F169" i="14"/>
  <c r="C143" i="14"/>
  <c r="B143" i="14"/>
  <c r="F143" i="14"/>
  <c r="F140" i="14"/>
  <c r="C128" i="14"/>
  <c r="E128" i="14"/>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B91" i="14"/>
  <c r="C89" i="14"/>
  <c r="E87" i="14"/>
  <c r="G87" i="14" s="1"/>
  <c r="E79" i="14"/>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F4" i="21" s="1"/>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I3" i="21" s="1"/>
  <c r="P151" i="2"/>
  <c r="D3" i="21" s="1"/>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B3" i="21" s="1"/>
  <c r="C155" i="2"/>
  <c r="H3" i="21" s="1"/>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E3" i="21" s="1"/>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Q59" i="3"/>
  <c r="Q58" i="3"/>
  <c r="L58" i="3"/>
  <c r="D58" i="3"/>
  <c r="N56" i="3"/>
  <c r="I56" i="3"/>
  <c r="D56" i="3"/>
  <c r="E56" i="3" s="1"/>
  <c r="Q55" i="3"/>
  <c r="G55" i="3"/>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E43" i="5" s="1"/>
  <c r="F43" i="5" s="1"/>
  <c r="G43" i="5" s="1"/>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N184" i="12" s="1"/>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R168" i="12" s="1"/>
  <c r="C168" i="6"/>
  <c r="J163" i="6"/>
  <c r="E163" i="6"/>
  <c r="I162" i="6"/>
  <c r="M162" i="12" s="1"/>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R127" i="12" s="1"/>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R91" i="12" s="1"/>
  <c r="E91" i="6"/>
  <c r="J89" i="6"/>
  <c r="I88" i="6"/>
  <c r="Q88" i="12" s="1"/>
  <c r="C86" i="6"/>
  <c r="M86" i="6"/>
  <c r="E86" i="6"/>
  <c r="D83" i="6"/>
  <c r="H83" i="6"/>
  <c r="P83" i="12" s="1"/>
  <c r="L83" i="6"/>
  <c r="B83" i="6"/>
  <c r="F83" i="6"/>
  <c r="J83" i="6"/>
  <c r="N83" i="6"/>
  <c r="O79" i="6"/>
  <c r="G79" i="6"/>
  <c r="K75" i="6"/>
  <c r="S75" i="12" s="1"/>
  <c r="D71" i="6"/>
  <c r="H71" i="6"/>
  <c r="L71" i="12" s="1"/>
  <c r="L71" i="6"/>
  <c r="O71" i="12" s="1"/>
  <c r="B71" i="6"/>
  <c r="F71" i="6"/>
  <c r="J71" i="6"/>
  <c r="N71" i="6"/>
  <c r="L65" i="6"/>
  <c r="O65" i="12" s="1"/>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M133" i="12" s="1"/>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S59" i="12" s="1"/>
  <c r="G59" i="6"/>
  <c r="L55" i="6"/>
  <c r="O55" i="12" s="1"/>
  <c r="H55" i="6"/>
  <c r="D55" i="6"/>
  <c r="D51" i="6"/>
  <c r="H51" i="6"/>
  <c r="P51" i="12" s="1"/>
  <c r="L51" i="6"/>
  <c r="O51" i="12" s="1"/>
  <c r="C50" i="6"/>
  <c r="L50" i="5" s="1"/>
  <c r="N50" i="6"/>
  <c r="L48" i="6"/>
  <c r="O48" i="12" s="1"/>
  <c r="M47" i="6"/>
  <c r="H47" i="6"/>
  <c r="P47" i="12" s="1"/>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O35" i="12" s="1"/>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H22" i="6"/>
  <c r="P22" i="12" s="1"/>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R17" i="12" s="1"/>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57" i="2"/>
  <c r="G261" i="2"/>
  <c r="H51" i="8"/>
  <c r="C51" i="8"/>
  <c r="G50" i="8"/>
  <c r="B50" i="8"/>
  <c r="E46" i="8"/>
  <c r="E38" i="8"/>
  <c r="I33" i="8"/>
  <c r="C32" i="8"/>
  <c r="E31" i="8"/>
  <c r="H27" i="8"/>
  <c r="C27" i="8"/>
  <c r="G26" i="8"/>
  <c r="B26" i="8"/>
  <c r="D25" i="8"/>
  <c r="C24" i="8"/>
  <c r="E23" i="8"/>
  <c r="I17" i="8"/>
  <c r="C16" i="8"/>
  <c r="E15" i="8"/>
  <c r="H11" i="8"/>
  <c r="C11" i="8"/>
  <c r="G10" i="8"/>
  <c r="B10" i="8"/>
  <c r="D9" i="8"/>
  <c r="C8" i="8"/>
  <c r="E7" i="8"/>
  <c r="J46" i="8"/>
  <c r="B46" i="8"/>
  <c r="J38" i="8"/>
  <c r="B38" i="8"/>
  <c r="C31" i="8"/>
  <c r="C23" i="8"/>
  <c r="G21" i="8"/>
  <c r="C15" i="8"/>
  <c r="C7"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E183" i="13"/>
  <c r="F180" i="13"/>
  <c r="G176" i="13"/>
  <c r="F174" i="13"/>
  <c r="E173" i="13"/>
  <c r="G167" i="13"/>
  <c r="G158" i="13"/>
  <c r="E155" i="13"/>
  <c r="G151" i="13"/>
  <c r="G147" i="13"/>
  <c r="E144" i="13"/>
  <c r="E136" i="13"/>
  <c r="F136" i="13"/>
  <c r="E128" i="13"/>
  <c r="E120" i="13"/>
  <c r="F120" i="13"/>
  <c r="B17" i="12"/>
  <c r="F17" i="12"/>
  <c r="E160" i="13"/>
  <c r="E117" i="13"/>
  <c r="G117" i="13"/>
  <c r="E109" i="13"/>
  <c r="G109" i="13"/>
  <c r="E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E182" i="13"/>
  <c r="E176" i="13"/>
  <c r="F173" i="13"/>
  <c r="F169" i="13"/>
  <c r="E165" i="13"/>
  <c r="G155" i="13"/>
  <c r="F144" i="13"/>
  <c r="F142" i="13"/>
  <c r="G57" i="12"/>
  <c r="G33" i="12"/>
  <c r="D27" i="12"/>
  <c r="D17" i="12"/>
  <c r="G175" i="13"/>
  <c r="F168" i="13"/>
  <c r="G163" i="13"/>
  <c r="F160" i="13"/>
  <c r="F158" i="13"/>
  <c r="F152" i="13"/>
  <c r="E139" i="13"/>
  <c r="F137" i="13"/>
  <c r="F121" i="13"/>
  <c r="E113" i="13"/>
  <c r="G113" i="13"/>
  <c r="E105" i="13"/>
  <c r="G105" i="13"/>
  <c r="E97" i="13"/>
  <c r="G97" i="13"/>
  <c r="E88" i="13"/>
  <c r="G77" i="13"/>
  <c r="F60" i="13"/>
  <c r="G57" i="13"/>
  <c r="G53" i="13"/>
  <c r="F39" i="13"/>
  <c r="G33" i="13"/>
  <c r="E31" i="13"/>
  <c r="E26" i="13"/>
  <c r="G17" i="13"/>
  <c r="E15" i="13"/>
  <c r="E10" i="13"/>
  <c r="C181" i="14"/>
  <c r="B181" i="14"/>
  <c r="D181" i="14"/>
  <c r="E181" i="14"/>
  <c r="B179" i="14"/>
  <c r="F179" i="14"/>
  <c r="C179" i="14"/>
  <c r="D179" i="14"/>
  <c r="C170" i="14"/>
  <c r="E170" i="14"/>
  <c r="B45" i="14"/>
  <c r="F45" i="14"/>
  <c r="C45" i="14"/>
  <c r="D45" i="14"/>
  <c r="E45" i="14"/>
  <c r="C22" i="14"/>
  <c r="E22" i="14"/>
  <c r="G159" i="13"/>
  <c r="E157" i="13"/>
  <c r="G143" i="13"/>
  <c r="E141" i="13"/>
  <c r="G135" i="13"/>
  <c r="G127" i="13"/>
  <c r="F126" i="13"/>
  <c r="E125" i="13"/>
  <c r="G119" i="13"/>
  <c r="F88" i="13"/>
  <c r="E85" i="13"/>
  <c r="G85" i="13"/>
  <c r="E77" i="13"/>
  <c r="G73" i="13"/>
  <c r="F72" i="13"/>
  <c r="G64" i="13"/>
  <c r="F57" i="13"/>
  <c r="F53" i="13"/>
  <c r="G41" i="13"/>
  <c r="G37" i="13"/>
  <c r="F33" i="13"/>
  <c r="E32" i="13"/>
  <c r="G32" i="13"/>
  <c r="E22" i="13"/>
  <c r="F21" i="13"/>
  <c r="G21" i="13"/>
  <c r="F17" i="13"/>
  <c r="E16" i="13"/>
  <c r="G16" i="13"/>
  <c r="C162" i="14"/>
  <c r="D162" i="14"/>
  <c r="E162" i="14"/>
  <c r="C155" i="14"/>
  <c r="D155" i="14"/>
  <c r="F155" i="14"/>
  <c r="C147" i="14"/>
  <c r="F147" i="14"/>
  <c r="F145" i="14"/>
  <c r="C145" i="14"/>
  <c r="D145" i="14"/>
  <c r="E145" i="14"/>
  <c r="G93" i="13"/>
  <c r="G89" i="13"/>
  <c r="F79" i="13"/>
  <c r="F71" i="13"/>
  <c r="E57" i="13"/>
  <c r="E53" i="13"/>
  <c r="F45" i="13"/>
  <c r="G45" i="13"/>
  <c r="E33" i="13"/>
  <c r="F31" i="13"/>
  <c r="E28" i="13"/>
  <c r="G28" i="13"/>
  <c r="E17" i="13"/>
  <c r="F15" i="13"/>
  <c r="E12" i="13"/>
  <c r="G12" i="13"/>
  <c r="C150" i="14"/>
  <c r="D150" i="14"/>
  <c r="C106" i="14"/>
  <c r="E106" i="14"/>
  <c r="G131" i="13"/>
  <c r="G81" i="13"/>
  <c r="G78" i="13"/>
  <c r="F75" i="13"/>
  <c r="G70" i="13"/>
  <c r="F69" i="13"/>
  <c r="G61" i="13"/>
  <c r="E59" i="13"/>
  <c r="F55" i="13"/>
  <c r="G49" i="13"/>
  <c r="E46" i="13"/>
  <c r="G46"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G48" i="13"/>
  <c r="F36" i="13"/>
  <c r="E30" i="13"/>
  <c r="F25" i="13"/>
  <c r="E14" i="13"/>
  <c r="F9"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G37" i="14" s="1"/>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61" i="2"/>
  <c r="H257" i="2"/>
  <c r="B192" i="2"/>
  <c r="R192" i="2"/>
  <c r="D192" i="2"/>
  <c r="H192" i="2"/>
  <c r="L192" i="2"/>
  <c r="P192" i="2"/>
  <c r="E260"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P160" i="2"/>
  <c r="C160" i="2"/>
  <c r="F160" i="2" s="1"/>
  <c r="H160" i="2"/>
  <c r="M160" i="2"/>
  <c r="S160" i="2"/>
  <c r="D158" i="2"/>
  <c r="H158" i="2"/>
  <c r="L158" i="2"/>
  <c r="P158" i="2"/>
  <c r="B158" i="2"/>
  <c r="M158" i="2"/>
  <c r="R158" i="2"/>
  <c r="E158" i="2"/>
  <c r="Q156" i="2"/>
  <c r="Q154" i="2"/>
  <c r="B152" i="2"/>
  <c r="R152" i="2"/>
  <c r="E152" i="2"/>
  <c r="P152" i="2"/>
  <c r="C152" i="2"/>
  <c r="H152" i="2"/>
  <c r="M152" i="2"/>
  <c r="S152" i="2"/>
  <c r="D150" i="2"/>
  <c r="H150" i="2"/>
  <c r="L150" i="2"/>
  <c r="P150" i="2"/>
  <c r="B150" i="2"/>
  <c r="M150" i="2"/>
  <c r="R150" i="2"/>
  <c r="E150" i="2"/>
  <c r="Q148" i="2"/>
  <c r="Q146" i="2"/>
  <c r="B144" i="2"/>
  <c r="R144" i="2"/>
  <c r="E144" i="2"/>
  <c r="G144" i="2" s="1"/>
  <c r="P144" i="2"/>
  <c r="C144" i="2"/>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58" i="2"/>
  <c r="L164" i="2"/>
  <c r="D162" i="2"/>
  <c r="H162" i="2"/>
  <c r="L162" i="2"/>
  <c r="P162" i="2"/>
  <c r="E162" i="2"/>
  <c r="B162" i="2"/>
  <c r="M162" i="2"/>
  <c r="R162" i="2"/>
  <c r="L156" i="2"/>
  <c r="D154" i="2"/>
  <c r="H154" i="2"/>
  <c r="L154" i="2"/>
  <c r="P154" i="2"/>
  <c r="E154" i="2"/>
  <c r="B154" i="2"/>
  <c r="M154" i="2"/>
  <c r="R154" i="2"/>
  <c r="B148" i="2"/>
  <c r="R148" i="2"/>
  <c r="C148" i="2"/>
  <c r="H148" i="2"/>
  <c r="M148" i="2"/>
  <c r="S148" i="2"/>
  <c r="E148" i="2"/>
  <c r="P148" i="2"/>
  <c r="D146" i="2"/>
  <c r="H146" i="2"/>
  <c r="L146" i="2"/>
  <c r="P146" i="2"/>
  <c r="E146" i="2"/>
  <c r="B146" i="2"/>
  <c r="M146" i="2"/>
  <c r="R146" i="2"/>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H4" i="21" s="1"/>
  <c r="S38" i="2"/>
  <c r="E38" i="2"/>
  <c r="J4" i="21" s="1"/>
  <c r="P38" i="2"/>
  <c r="D4" i="21" s="1"/>
  <c r="B38" i="2"/>
  <c r="H38" i="2"/>
  <c r="B4" i="21" s="1"/>
  <c r="M38" i="2"/>
  <c r="R38" i="2"/>
  <c r="E4" i="21" s="1"/>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61" i="2"/>
  <c r="R23" i="2"/>
  <c r="M23" i="2"/>
  <c r="B23" i="2"/>
  <c r="S21" i="2"/>
  <c r="M21" i="2"/>
  <c r="N21" i="2" s="1"/>
  <c r="O21" i="2" s="1"/>
  <c r="H21" i="2"/>
  <c r="C21" i="2"/>
  <c r="R18" i="2"/>
  <c r="M18" i="2"/>
  <c r="H18" i="2"/>
  <c r="J18" i="2" s="1"/>
  <c r="K18" i="2" s="1"/>
  <c r="R15" i="2"/>
  <c r="M15" i="2"/>
  <c r="S13" i="2"/>
  <c r="M13" i="2"/>
  <c r="N13" i="2" s="1"/>
  <c r="O13" i="2" s="1"/>
  <c r="H13" i="2"/>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G153" i="3"/>
  <c r="E153" i="5" s="1"/>
  <c r="O153" i="3"/>
  <c r="B153" i="3"/>
  <c r="F153" i="3"/>
  <c r="J153" i="3"/>
  <c r="N153" i="3"/>
  <c r="M148" i="3"/>
  <c r="M145" i="3"/>
  <c r="D140" i="3"/>
  <c r="L140" i="3"/>
  <c r="P140" i="3"/>
  <c r="C140" i="3"/>
  <c r="G140" i="3"/>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N111" i="3"/>
  <c r="M110" i="3"/>
  <c r="B110" i="3"/>
  <c r="N109" i="3"/>
  <c r="I109" i="3"/>
  <c r="C109" i="3"/>
  <c r="C106" i="3"/>
  <c r="E106" i="3" s="1"/>
  <c r="G106" i="3"/>
  <c r="O106" i="3"/>
  <c r="M105" i="3"/>
  <c r="G105" i="3"/>
  <c r="E105" i="5" s="1"/>
  <c r="B105" i="3"/>
  <c r="O103" i="3"/>
  <c r="I103" i="3"/>
  <c r="D103" i="3"/>
  <c r="D101" i="3"/>
  <c r="L101" i="3"/>
  <c r="P101" i="3"/>
  <c r="M99" i="3"/>
  <c r="C99" i="3"/>
  <c r="E99" i="3" s="1"/>
  <c r="N98" i="3"/>
  <c r="I98" i="3"/>
  <c r="D98" i="3"/>
  <c r="B95" i="3"/>
  <c r="F95" i="3"/>
  <c r="J95" i="3"/>
  <c r="N95" i="3"/>
  <c r="M94" i="3"/>
  <c r="B94" i="3"/>
  <c r="N93" i="3"/>
  <c r="I93" i="3"/>
  <c r="C93" i="3"/>
  <c r="P91" i="3"/>
  <c r="C90" i="3"/>
  <c r="G90" i="3"/>
  <c r="O90" i="3"/>
  <c r="M89" i="3"/>
  <c r="G89" i="3"/>
  <c r="E89" i="5" s="1"/>
  <c r="B89" i="3"/>
  <c r="O87" i="3"/>
  <c r="I87" i="3"/>
  <c r="D87" i="3"/>
  <c r="P86" i="3"/>
  <c r="J86" i="3"/>
  <c r="D85" i="3"/>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O58" i="3"/>
  <c r="M57" i="3"/>
  <c r="G57" i="3"/>
  <c r="B57" i="3"/>
  <c r="O55" i="3"/>
  <c r="I55" i="3"/>
  <c r="D55" i="3"/>
  <c r="P54" i="3"/>
  <c r="J54" i="3"/>
  <c r="D53" i="3"/>
  <c r="L53" i="3"/>
  <c r="P53" i="3"/>
  <c r="M51" i="3"/>
  <c r="C51" i="3"/>
  <c r="N50" i="3"/>
  <c r="I50" i="3"/>
  <c r="D50" i="3"/>
  <c r="O49" i="3"/>
  <c r="J49" i="3"/>
  <c r="B47" i="3"/>
  <c r="F47" i="3"/>
  <c r="J47" i="3"/>
  <c r="N47" i="3"/>
  <c r="M46" i="3"/>
  <c r="B46" i="3"/>
  <c r="N45" i="3"/>
  <c r="I45" i="3"/>
  <c r="C45" i="3"/>
  <c r="P43" i="3"/>
  <c r="C42" i="3"/>
  <c r="E42" i="3" s="1"/>
  <c r="G42" i="3"/>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H58" i="12" s="1"/>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C3" i="21" s="1"/>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P119" i="12"/>
  <c r="R111" i="12"/>
  <c r="O109" i="6"/>
  <c r="K109" i="6"/>
  <c r="G109" i="6"/>
  <c r="C109" i="6"/>
  <c r="O105" i="6"/>
  <c r="K105" i="6"/>
  <c r="S105" i="12" s="1"/>
  <c r="G105" i="6"/>
  <c r="C105" i="6"/>
  <c r="S103" i="12"/>
  <c r="R103" i="12"/>
  <c r="O101" i="6"/>
  <c r="K101" i="6"/>
  <c r="S101" i="12" s="1"/>
  <c r="G101" i="6"/>
  <c r="C101" i="6"/>
  <c r="O97" i="6"/>
  <c r="K97" i="6"/>
  <c r="S97" i="12" s="1"/>
  <c r="G97" i="6"/>
  <c r="C97" i="6"/>
  <c r="L97" i="5" s="1"/>
  <c r="S95" i="12"/>
  <c r="O93" i="6"/>
  <c r="K93" i="6"/>
  <c r="N93" i="12" s="1"/>
  <c r="G93" i="6"/>
  <c r="C93" i="6"/>
  <c r="O89" i="6"/>
  <c r="K89" i="6"/>
  <c r="N89" i="12" s="1"/>
  <c r="G89" i="6"/>
  <c r="C89" i="6"/>
  <c r="L89" i="5" s="1"/>
  <c r="O85" i="6"/>
  <c r="K85" i="6"/>
  <c r="N85" i="12" s="1"/>
  <c r="G85" i="6"/>
  <c r="C85" i="6"/>
  <c r="L85" i="5" s="1"/>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E166" i="12"/>
  <c r="S164"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G175" i="12"/>
  <c r="G171" i="12"/>
  <c r="O167" i="12"/>
  <c r="G167" i="12"/>
  <c r="G163" i="12"/>
  <c r="D160" i="12"/>
  <c r="G159" i="12"/>
  <c r="D156" i="12"/>
  <c r="O155" i="12"/>
  <c r="G155" i="12"/>
  <c r="D152" i="12"/>
  <c r="G151" i="12"/>
  <c r="F150" i="12"/>
  <c r="B150" i="12"/>
  <c r="D148" i="12"/>
  <c r="G147" i="12"/>
  <c r="F146" i="12"/>
  <c r="B146" i="12"/>
  <c r="P144" i="12"/>
  <c r="L144" i="12"/>
  <c r="D144" i="12"/>
  <c r="G142" i="12"/>
  <c r="E141" i="12"/>
  <c r="D138" i="12"/>
  <c r="B136" i="12"/>
  <c r="F136" i="12"/>
  <c r="E134"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F86" i="12"/>
  <c r="D84" i="12"/>
  <c r="D81" i="12"/>
  <c r="B79" i="12"/>
  <c r="F79" i="12"/>
  <c r="E77" i="12"/>
  <c r="E75" i="12"/>
  <c r="N68" i="12"/>
  <c r="C67" i="12"/>
  <c r="G67" i="12"/>
  <c r="S67" i="12"/>
  <c r="B67" i="12"/>
  <c r="E67" i="12"/>
  <c r="N59" i="12"/>
  <c r="B58" i="12"/>
  <c r="F58" i="12"/>
  <c r="N58" i="12"/>
  <c r="R58" i="12"/>
  <c r="C58" i="12"/>
  <c r="S58" i="12"/>
  <c r="E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E59" i="12"/>
  <c r="B59" i="12"/>
  <c r="Q51" i="12"/>
  <c r="F51" i="12"/>
  <c r="D64" i="12"/>
  <c r="B62" i="12"/>
  <c r="F62" i="12"/>
  <c r="R62" i="12"/>
  <c r="C55" i="12"/>
  <c r="G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B22" i="12"/>
  <c r="F22" i="12"/>
  <c r="G20" i="12"/>
  <c r="D18" i="12"/>
  <c r="B18" i="12"/>
  <c r="F18" i="12"/>
  <c r="G16" i="12"/>
  <c r="D14" i="12"/>
  <c r="B14" i="12"/>
  <c r="F14" i="12"/>
  <c r="G12" i="12"/>
  <c r="D10" i="12"/>
  <c r="B10" i="12"/>
  <c r="F10" i="12"/>
  <c r="G8" i="12"/>
  <c r="C43" i="12"/>
  <c r="G43" i="12"/>
  <c r="S43" i="12"/>
  <c r="D36" i="12"/>
  <c r="L36" i="12"/>
  <c r="P36" i="12"/>
  <c r="E8" i="12"/>
  <c r="F183" i="13"/>
  <c r="F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F185" i="13"/>
  <c r="G183" i="13"/>
  <c r="F181" i="13"/>
  <c r="G179" i="13"/>
  <c r="G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D16" i="12"/>
  <c r="B12" i="12"/>
  <c r="F12" i="12"/>
  <c r="D12" i="12"/>
  <c r="B8" i="12"/>
  <c r="F8" i="12"/>
  <c r="D8" i="12"/>
  <c r="G35" i="12"/>
  <c r="G31" i="12"/>
  <c r="G27" i="12"/>
  <c r="G23" i="12"/>
  <c r="G19" i="12"/>
  <c r="O15" i="12"/>
  <c r="G15" i="12"/>
  <c r="G11" i="12"/>
  <c r="G7" i="12"/>
  <c r="G186" i="13"/>
  <c r="G182" i="13"/>
  <c r="G178" i="13"/>
  <c r="F177" i="13"/>
  <c r="F171" i="13"/>
  <c r="G169" i="13"/>
  <c r="E167" i="13"/>
  <c r="E161" i="13"/>
  <c r="G160" i="13"/>
  <c r="E156" i="13"/>
  <c r="F155" i="13"/>
  <c r="G153" i="13"/>
  <c r="E151" i="13"/>
  <c r="E145" i="13"/>
  <c r="G144" i="13"/>
  <c r="E140" i="13"/>
  <c r="F139" i="13"/>
  <c r="G137" i="13"/>
  <c r="E135" i="13"/>
  <c r="E129" i="13"/>
  <c r="G128" i="13"/>
  <c r="E124" i="13"/>
  <c r="F123" i="13"/>
  <c r="G121" i="13"/>
  <c r="E119" i="13"/>
  <c r="G115" i="13"/>
  <c r="G111" i="13"/>
  <c r="G107" i="13"/>
  <c r="G103" i="13"/>
  <c r="G99" i="13"/>
  <c r="G95" i="13"/>
  <c r="G91" i="13"/>
  <c r="G87" i="13"/>
  <c r="F82" i="13"/>
  <c r="E82" i="13"/>
  <c r="G79" i="13"/>
  <c r="E79" i="13"/>
  <c r="E68" i="13"/>
  <c r="G68" i="13"/>
  <c r="F175" i="13"/>
  <c r="G164" i="13"/>
  <c r="F159" i="13"/>
  <c r="G148" i="13"/>
  <c r="F143" i="13"/>
  <c r="G132" i="13"/>
  <c r="F127" i="13"/>
  <c r="E115" i="13"/>
  <c r="E111" i="13"/>
  <c r="E107" i="13"/>
  <c r="E103" i="13"/>
  <c r="E99" i="13"/>
  <c r="E95" i="13"/>
  <c r="E91" i="13"/>
  <c r="E87" i="13"/>
  <c r="E84" i="13"/>
  <c r="G84" i="13"/>
  <c r="G71" i="13"/>
  <c r="E71" i="13"/>
  <c r="G66" i="13"/>
  <c r="E175" i="13"/>
  <c r="E169" i="13"/>
  <c r="G168" i="13"/>
  <c r="E164" i="13"/>
  <c r="F163" i="13"/>
  <c r="G161" i="13"/>
  <c r="E159" i="13"/>
  <c r="E153" i="13"/>
  <c r="G152" i="13"/>
  <c r="E148" i="13"/>
  <c r="F147" i="13"/>
  <c r="G145" i="13"/>
  <c r="E143" i="13"/>
  <c r="E137" i="13"/>
  <c r="G136" i="13"/>
  <c r="E132" i="13"/>
  <c r="F131" i="13"/>
  <c r="G129" i="13"/>
  <c r="E127" i="13"/>
  <c r="E121" i="13"/>
  <c r="G120" i="13"/>
  <c r="F117" i="13"/>
  <c r="F113" i="13"/>
  <c r="F109" i="13"/>
  <c r="F105" i="13"/>
  <c r="F101" i="13"/>
  <c r="F97" i="13"/>
  <c r="F93" i="13"/>
  <c r="F89" i="13"/>
  <c r="F85" i="13"/>
  <c r="G76" i="13"/>
  <c r="E76" i="13"/>
  <c r="F74" i="13"/>
  <c r="E74" i="13"/>
  <c r="G63" i="13"/>
  <c r="E63" i="13"/>
  <c r="F167" i="13"/>
  <c r="G156" i="13"/>
  <c r="F151" i="13"/>
  <c r="G140" i="13"/>
  <c r="F135" i="13"/>
  <c r="G124" i="13"/>
  <c r="F119" i="13"/>
  <c r="F115" i="13"/>
  <c r="F111" i="13"/>
  <c r="F107" i="13"/>
  <c r="F103" i="13"/>
  <c r="F99" i="13"/>
  <c r="F95" i="13"/>
  <c r="F91" i="13"/>
  <c r="F87" i="13"/>
  <c r="F66" i="13"/>
  <c r="E66" i="13"/>
  <c r="F58" i="13"/>
  <c r="E58" i="13"/>
  <c r="G116" i="13"/>
  <c r="G112" i="13"/>
  <c r="G108" i="13"/>
  <c r="G104" i="13"/>
  <c r="G100" i="13"/>
  <c r="G96" i="13"/>
  <c r="G92" i="13"/>
  <c r="G88" i="13"/>
  <c r="G75" i="13"/>
  <c r="F70" i="13"/>
  <c r="E60" i="13"/>
  <c r="G59" i="13"/>
  <c r="E55" i="13"/>
  <c r="F54" i="13"/>
  <c r="G52" i="13"/>
  <c r="E50" i="13"/>
  <c r="E44" i="13"/>
  <c r="G43" i="13"/>
  <c r="E39" i="13"/>
  <c r="F38" i="13"/>
  <c r="G36" i="13"/>
  <c r="E34" i="13"/>
  <c r="G30" i="13"/>
  <c r="G26" i="13"/>
  <c r="G22" i="13"/>
  <c r="G18" i="13"/>
  <c r="G14" i="13"/>
  <c r="G10" i="13"/>
  <c r="G6" i="13"/>
  <c r="B184" i="14"/>
  <c r="F184" i="14"/>
  <c r="D184" i="14"/>
  <c r="G47" i="13"/>
  <c r="F42" i="13"/>
  <c r="D178" i="14"/>
  <c r="B178" i="14"/>
  <c r="F178" i="14"/>
  <c r="D168" i="14"/>
  <c r="C168" i="14"/>
  <c r="E168" i="14"/>
  <c r="B168" i="14"/>
  <c r="G83" i="13"/>
  <c r="F78" i="13"/>
  <c r="G67" i="13"/>
  <c r="F62" i="13"/>
  <c r="G60" i="13"/>
  <c r="E52" i="13"/>
  <c r="G51" i="13"/>
  <c r="E47" i="13"/>
  <c r="F46" i="13"/>
  <c r="G44" i="13"/>
  <c r="E42" i="13"/>
  <c r="E36" i="13"/>
  <c r="G35" i="13"/>
  <c r="F32" i="13"/>
  <c r="F28" i="13"/>
  <c r="F24" i="13"/>
  <c r="F20" i="13"/>
  <c r="F16" i="13"/>
  <c r="F12" i="13"/>
  <c r="F8" i="13"/>
  <c r="D182" i="14"/>
  <c r="B182" i="14"/>
  <c r="G182" i="14" s="1"/>
  <c r="F182" i="14"/>
  <c r="C174" i="14"/>
  <c r="D174" i="14"/>
  <c r="B174" i="14"/>
  <c r="G174" i="14" s="1"/>
  <c r="F174" i="14"/>
  <c r="G55" i="13"/>
  <c r="F50" i="13"/>
  <c r="G39" i="13"/>
  <c r="F34" i="13"/>
  <c r="F30" i="13"/>
  <c r="F26" i="13"/>
  <c r="F22" i="13"/>
  <c r="F18" i="13"/>
  <c r="F14" i="13"/>
  <c r="F10" i="13"/>
  <c r="F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D72" i="14"/>
  <c r="F70" i="14"/>
  <c r="B70" i="14"/>
  <c r="D68" i="14"/>
  <c r="F66" i="14"/>
  <c r="B66" i="14"/>
  <c r="D64" i="14"/>
  <c r="E62" i="14"/>
  <c r="B59" i="14"/>
  <c r="E56" i="14"/>
  <c r="C52" i="14"/>
  <c r="E51" i="14"/>
  <c r="B50" i="14"/>
  <c r="G50" i="14" s="1"/>
  <c r="F50" i="14"/>
  <c r="B48" i="14"/>
  <c r="B44" i="14"/>
  <c r="G44" i="14" s="1"/>
  <c r="F44" i="14"/>
  <c r="D44" i="14"/>
  <c r="D38" i="14"/>
  <c r="B38" i="14"/>
  <c r="F38" i="14"/>
  <c r="B28" i="14"/>
  <c r="F28" i="14"/>
  <c r="D28" i="14"/>
  <c r="D22" i="14"/>
  <c r="B22" i="14"/>
  <c r="F22" i="14"/>
  <c r="B54" i="14"/>
  <c r="F54" i="14"/>
  <c r="D42" i="14"/>
  <c r="B42" i="14"/>
  <c r="F42" i="14"/>
  <c r="E40"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G4" i="21" s="1"/>
  <c r="F34" i="14"/>
  <c r="E32" i="14"/>
  <c r="B24" i="14"/>
  <c r="F24" i="14"/>
  <c r="D24" i="14"/>
  <c r="D20" i="14"/>
  <c r="F18" i="14"/>
  <c r="B18" i="14"/>
  <c r="G18" i="14" s="1"/>
  <c r="D16" i="14"/>
  <c r="F14" i="14"/>
  <c r="B14" i="14"/>
  <c r="G14" i="14" s="1"/>
  <c r="D12" i="14"/>
  <c r="F10" i="14"/>
  <c r="B10" i="14"/>
  <c r="D8" i="14"/>
  <c r="F20" i="14"/>
  <c r="D18" i="14"/>
  <c r="F16" i="14"/>
  <c r="D14" i="14"/>
  <c r="F12" i="14"/>
  <c r="D10" i="14"/>
  <c r="F8" i="14"/>
  <c r="L22" i="12" l="1"/>
  <c r="R59" i="12"/>
  <c r="S168" i="12"/>
  <c r="S91" i="12"/>
  <c r="S127" i="12"/>
  <c r="G160" i="2"/>
  <c r="Q73" i="12"/>
  <c r="H47" i="3"/>
  <c r="E87" i="3"/>
  <c r="J115" i="2"/>
  <c r="K115" i="2" s="1"/>
  <c r="G38" i="14"/>
  <c r="G74" i="14"/>
  <c r="G184" i="14"/>
  <c r="R16" i="12"/>
  <c r="S27" i="12"/>
  <c r="R12" i="12"/>
  <c r="J158" i="2"/>
  <c r="K158" i="2" s="1"/>
  <c r="F144" i="2"/>
  <c r="K111" i="3"/>
  <c r="K130" i="3"/>
  <c r="K3" i="21"/>
  <c r="N152" i="2"/>
  <c r="O152" i="2" s="1"/>
  <c r="H114" i="3"/>
  <c r="J57" i="2"/>
  <c r="K57" i="2" s="1"/>
  <c r="E55" i="5"/>
  <c r="F55" i="5" s="1"/>
  <c r="G55" i="5" s="1"/>
  <c r="E77" i="5"/>
  <c r="L67" i="5"/>
  <c r="M67" i="5" s="1"/>
  <c r="E56" i="5"/>
  <c r="E92" i="5"/>
  <c r="F92" i="5" s="1"/>
  <c r="G92" i="5" s="1"/>
  <c r="L109" i="5"/>
  <c r="M109" i="5" s="1"/>
  <c r="E116" i="5"/>
  <c r="L75" i="5"/>
  <c r="M75" i="5" s="1"/>
  <c r="L72" i="5"/>
  <c r="M72" i="5" s="1"/>
  <c r="E72" i="5"/>
  <c r="E68" i="5"/>
  <c r="L92" i="5"/>
  <c r="E93" i="5"/>
  <c r="F93" i="5" s="1"/>
  <c r="G93" i="5" s="1"/>
  <c r="L56" i="5"/>
  <c r="M56" i="5" s="1"/>
  <c r="L54" i="5"/>
  <c r="M54" i="5" s="1"/>
  <c r="L64" i="5"/>
  <c r="M64" i="5" s="1"/>
  <c r="E33" i="5"/>
  <c r="F33" i="5" s="1"/>
  <c r="G33" i="5" s="1"/>
  <c r="B6" i="28"/>
  <c r="L22" i="5"/>
  <c r="M22" i="5" s="1"/>
  <c r="E123" i="5"/>
  <c r="F123" i="5" s="1"/>
  <c r="G123" i="5" s="1"/>
  <c r="E140" i="5"/>
  <c r="F140" i="5" s="1"/>
  <c r="G140" i="5" s="1"/>
  <c r="G143" i="14"/>
  <c r="F147" i="2"/>
  <c r="G147" i="2"/>
  <c r="G148" i="2"/>
  <c r="F148" i="2"/>
  <c r="E162" i="5"/>
  <c r="L118" i="5"/>
  <c r="M118" i="5" s="1"/>
  <c r="E157" i="5"/>
  <c r="F157" i="5" s="1"/>
  <c r="G157" i="5" s="1"/>
  <c r="E151" i="5"/>
  <c r="E145" i="5"/>
  <c r="G125" i="14"/>
  <c r="P107" i="5"/>
  <c r="P137" i="5"/>
  <c r="J13" i="2"/>
  <c r="K13" i="2" s="1"/>
  <c r="E101" i="5"/>
  <c r="F101" i="5" s="1"/>
  <c r="G101" i="5" s="1"/>
  <c r="P7" i="5"/>
  <c r="G172" i="14"/>
  <c r="P98" i="5"/>
  <c r="G79" i="14"/>
  <c r="G97" i="14"/>
  <c r="H108" i="3"/>
  <c r="P8" i="5"/>
  <c r="P20" i="5"/>
  <c r="P125" i="5"/>
  <c r="N86" i="12"/>
  <c r="L160" i="12"/>
  <c r="N102" i="12"/>
  <c r="J149" i="2"/>
  <c r="K149" i="2" s="1"/>
  <c r="K93" i="3"/>
  <c r="H58" i="3"/>
  <c r="E85" i="3"/>
  <c r="K109" i="3"/>
  <c r="K182" i="3"/>
  <c r="E153" i="3"/>
  <c r="H42" i="3"/>
  <c r="E101" i="3"/>
  <c r="K132" i="3"/>
  <c r="K112" i="3"/>
  <c r="J27" i="5"/>
  <c r="G57" i="2"/>
  <c r="P139" i="5"/>
  <c r="P149" i="5"/>
  <c r="E231" i="11"/>
  <c r="E232" i="11" s="1"/>
  <c r="J231" i="11"/>
  <c r="H231" i="11"/>
  <c r="H232" i="11" s="1"/>
  <c r="N120" i="2"/>
  <c r="O120" i="2" s="1"/>
  <c r="D231" i="11"/>
  <c r="G231" i="11"/>
  <c r="I241" i="2"/>
  <c r="H241" i="2"/>
  <c r="K231" i="11"/>
  <c r="K232" i="11" s="1"/>
  <c r="M231" i="11"/>
  <c r="N231" i="11"/>
  <c r="N232" i="11" s="1"/>
  <c r="I64" i="8"/>
  <c r="F64" i="8"/>
  <c r="F65" i="8" s="1"/>
  <c r="C8" i="28"/>
  <c r="E50" i="5"/>
  <c r="E64" i="8"/>
  <c r="E65" i="8" s="1"/>
  <c r="E64" i="5"/>
  <c r="H64" i="8"/>
  <c r="H13" i="3"/>
  <c r="H36" i="3"/>
  <c r="E7" i="5"/>
  <c r="F7" i="5" s="1"/>
  <c r="G7" i="5" s="1"/>
  <c r="G236" i="3"/>
  <c r="G237" i="3" s="1"/>
  <c r="E81" i="5"/>
  <c r="E84" i="5"/>
  <c r="E21" i="5"/>
  <c r="F21" i="5" s="1"/>
  <c r="G21" i="5" s="1"/>
  <c r="E51" i="5"/>
  <c r="F51" i="5" s="1"/>
  <c r="G51" i="5" s="1"/>
  <c r="E76" i="5"/>
  <c r="F76" i="5" s="1"/>
  <c r="G76" i="5" s="1"/>
  <c r="I236" i="3"/>
  <c r="J236" i="3"/>
  <c r="J237" i="3" s="1"/>
  <c r="E132" i="5"/>
  <c r="F132" i="5" s="1"/>
  <c r="G132" i="5" s="1"/>
  <c r="H43" i="3"/>
  <c r="F236" i="3"/>
  <c r="E149" i="5"/>
  <c r="F149" i="5" s="1"/>
  <c r="G149" i="5" s="1"/>
  <c r="E19" i="5"/>
  <c r="F19" i="5" s="1"/>
  <c r="G19" i="5" s="1"/>
  <c r="E233" i="6"/>
  <c r="C233" i="6"/>
  <c r="S7" i="12"/>
  <c r="L233" i="6"/>
  <c r="M7" i="12"/>
  <c r="I233" i="6"/>
  <c r="L7" i="12"/>
  <c r="H233" i="6"/>
  <c r="F233" i="6"/>
  <c r="G233" i="6" s="1"/>
  <c r="N233" i="6"/>
  <c r="O233" i="6" s="1"/>
  <c r="B233" i="6"/>
  <c r="K233"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E143" i="3"/>
  <c r="G122" i="14"/>
  <c r="G22" i="14"/>
  <c r="G94" i="14"/>
  <c r="M10" i="5"/>
  <c r="J7" i="5"/>
  <c r="J39" i="5"/>
  <c r="H94" i="3"/>
  <c r="E149" i="3"/>
  <c r="J36" i="5"/>
  <c r="H41" i="3"/>
  <c r="K180" i="3"/>
  <c r="P126" i="5"/>
  <c r="C57" i="7"/>
  <c r="D49" i="7"/>
  <c r="M97" i="7"/>
  <c r="E183" i="7"/>
  <c r="P48" i="5"/>
  <c r="H163" i="7"/>
  <c r="H163" i="12" s="1"/>
  <c r="J163" i="7"/>
  <c r="J150" i="2"/>
  <c r="K150" i="2" s="1"/>
  <c r="G48" i="2"/>
  <c r="O158" i="12"/>
  <c r="O154" i="12"/>
  <c r="O162" i="12"/>
  <c r="O33" i="12"/>
  <c r="P55" i="12"/>
  <c r="L142" i="5"/>
  <c r="M142" i="5" s="1"/>
  <c r="O143" i="12"/>
  <c r="O53" i="12"/>
  <c r="E95" i="5"/>
  <c r="F95" i="5" s="1"/>
  <c r="G95" i="5" s="1"/>
  <c r="E138" i="5"/>
  <c r="F138" i="5" s="1"/>
  <c r="G138" i="5" s="1"/>
  <c r="L47" i="5"/>
  <c r="M47" i="5" s="1"/>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F53" i="5" s="1"/>
  <c r="G53" i="5" s="1"/>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F133" i="5" s="1"/>
  <c r="G133" i="5" s="1"/>
  <c r="N47" i="12"/>
  <c r="L39" i="12"/>
  <c r="S46" i="12"/>
  <c r="M100" i="12"/>
  <c r="L153" i="12"/>
  <c r="O123" i="12"/>
  <c r="O97" i="12"/>
  <c r="E158" i="5"/>
  <c r="F158" i="5" s="1"/>
  <c r="G158" i="5" s="1"/>
  <c r="M39" i="12"/>
  <c r="L55" i="5"/>
  <c r="M55" i="5" s="1"/>
  <c r="O85" i="12"/>
  <c r="O115" i="12"/>
  <c r="N180" i="12"/>
  <c r="O144" i="12"/>
  <c r="L119" i="12"/>
  <c r="L31" i="5"/>
  <c r="M31" i="5" s="1"/>
  <c r="M176" i="12"/>
  <c r="E48" i="5"/>
  <c r="F48" i="5" s="1"/>
  <c r="G48" i="5" s="1"/>
  <c r="E134" i="5"/>
  <c r="F134" i="5" s="1"/>
  <c r="G134" i="5" s="1"/>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M102" i="5" s="1"/>
  <c r="L110" i="5"/>
  <c r="M110" i="5" s="1"/>
  <c r="L152" i="5"/>
  <c r="M152" i="5" s="1"/>
  <c r="E150" i="5"/>
  <c r="F150" i="5" s="1"/>
  <c r="G150" i="5" s="1"/>
  <c r="L46" i="5"/>
  <c r="M46" i="5" s="1"/>
  <c r="L126" i="5"/>
  <c r="M126" i="5" s="1"/>
  <c r="Q35" i="12"/>
  <c r="Q43" i="12"/>
  <c r="M93" i="12"/>
  <c r="L105" i="12"/>
  <c r="L160" i="5"/>
  <c r="M160" i="5" s="1"/>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H54" i="12" s="1"/>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H98" i="12" s="1"/>
  <c r="N69" i="7"/>
  <c r="K95" i="12"/>
  <c r="F25" i="7"/>
  <c r="L35" i="7"/>
  <c r="M90" i="7"/>
  <c r="H160" i="7"/>
  <c r="H160" i="12" s="1"/>
  <c r="M88" i="5"/>
  <c r="E29" i="5"/>
  <c r="F29" i="5" s="1"/>
  <c r="G29" i="5" s="1"/>
  <c r="N33" i="2"/>
  <c r="O33" i="2" s="1"/>
  <c r="N94" i="2"/>
  <c r="O94" i="2" s="1"/>
  <c r="I98" i="7"/>
  <c r="I98" i="12" s="1"/>
  <c r="E80" i="7"/>
  <c r="G117" i="7"/>
  <c r="M164" i="7"/>
  <c r="O13" i="7"/>
  <c r="N68" i="7"/>
  <c r="L183" i="7"/>
  <c r="I13" i="7"/>
  <c r="I13" i="12" s="1"/>
  <c r="K91" i="7"/>
  <c r="G96" i="14"/>
  <c r="N62" i="12"/>
  <c r="Q27" i="12"/>
  <c r="K98" i="7"/>
  <c r="J98" i="12" s="1"/>
  <c r="I35" i="7"/>
  <c r="I35" i="12" s="1"/>
  <c r="J53" i="7"/>
  <c r="D35" i="7"/>
  <c r="E90" i="3"/>
  <c r="K122" i="3"/>
  <c r="K156" i="3"/>
  <c r="L25" i="7"/>
  <c r="K25" i="12" s="1"/>
  <c r="K20" i="3"/>
  <c r="K88" i="7"/>
  <c r="F134" i="7"/>
  <c r="M158" i="7"/>
  <c r="O155" i="7"/>
  <c r="B183" i="7"/>
  <c r="I96" i="7"/>
  <c r="I96" i="12" s="1"/>
  <c r="O88" i="7"/>
  <c r="H134" i="7"/>
  <c r="H134" i="12" s="1"/>
  <c r="G35" i="7"/>
  <c r="E28" i="3"/>
  <c r="D33" i="7"/>
  <c r="L104" i="12"/>
  <c r="R24" i="12"/>
  <c r="N156" i="12"/>
  <c r="L135" i="12"/>
  <c r="I90" i="7"/>
  <c r="I90" i="12" s="1"/>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J134" i="12" s="1"/>
  <c r="S83" i="12"/>
  <c r="B13" i="7"/>
  <c r="I25" i="7"/>
  <c r="I25" i="12" s="1"/>
  <c r="I51" i="7"/>
  <c r="E90" i="7"/>
  <c r="C134" i="7"/>
  <c r="K90" i="7"/>
  <c r="J90" i="12" s="1"/>
  <c r="M53" i="7"/>
  <c r="E98" i="7"/>
  <c r="K158" i="3"/>
  <c r="L6" i="3"/>
  <c r="C53" i="7"/>
  <c r="E96" i="7"/>
  <c r="F96" i="7"/>
  <c r="L88" i="7"/>
  <c r="D134" i="7"/>
  <c r="I155" i="7"/>
  <c r="O183" i="7"/>
  <c r="K147" i="3"/>
  <c r="M35" i="7"/>
  <c r="H25" i="7"/>
  <c r="H25" i="12" s="1"/>
  <c r="I91" i="7"/>
  <c r="I91" i="12" s="1"/>
  <c r="B90" i="7"/>
  <c r="N190" i="2"/>
  <c r="O190" i="2" s="1"/>
  <c r="R47" i="12"/>
  <c r="O103" i="12"/>
  <c r="L101" i="12"/>
  <c r="I117" i="7"/>
  <c r="O25" i="7"/>
  <c r="E53" i="7"/>
  <c r="J90" i="7"/>
  <c r="G90" i="7"/>
  <c r="N25" i="7"/>
  <c r="J98" i="7"/>
  <c r="J157" i="5"/>
  <c r="K95" i="3"/>
  <c r="I6" i="3"/>
  <c r="N113" i="2"/>
  <c r="O113" i="2" s="1"/>
  <c r="K96" i="7"/>
  <c r="J96" i="12" s="1"/>
  <c r="B96" i="7"/>
  <c r="H88" i="7"/>
  <c r="H88" i="12" s="1"/>
  <c r="M88" i="7"/>
  <c r="I134" i="7"/>
  <c r="I134" i="12" s="1"/>
  <c r="N155" i="7"/>
  <c r="G25" i="7"/>
  <c r="M183" i="7"/>
  <c r="F52" i="2"/>
  <c r="P146" i="12"/>
  <c r="P172" i="12"/>
  <c r="R154" i="12"/>
  <c r="P124" i="12"/>
  <c r="N154" i="12"/>
  <c r="P30" i="12"/>
  <c r="S69" i="12"/>
  <c r="P159" i="5"/>
  <c r="O172" i="12"/>
  <c r="B249" i="2"/>
  <c r="L10" i="7"/>
  <c r="K10" i="12" s="1"/>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M100" i="5" s="1"/>
  <c r="R131" i="12"/>
  <c r="O121" i="12"/>
  <c r="R148" i="12"/>
  <c r="M173" i="12"/>
  <c r="O151" i="12"/>
  <c r="N160" i="12"/>
  <c r="E117" i="5"/>
  <c r="F117" i="5" s="1"/>
  <c r="G117" i="5" s="1"/>
  <c r="O135" i="12"/>
  <c r="M122" i="12"/>
  <c r="Q112" i="12"/>
  <c r="O109" i="12"/>
  <c r="L121" i="12"/>
  <c r="S124" i="12"/>
  <c r="L124" i="5"/>
  <c r="M124" i="5" s="1"/>
  <c r="L146" i="5"/>
  <c r="M146" i="5" s="1"/>
  <c r="R170" i="12"/>
  <c r="E128" i="5"/>
  <c r="F128" i="5" s="1"/>
  <c r="G128" i="5" s="1"/>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M150" i="5" s="1"/>
  <c r="Q113" i="12"/>
  <c r="L113" i="5"/>
  <c r="M113" i="5" s="1"/>
  <c r="P145" i="12"/>
  <c r="L145" i="5"/>
  <c r="M145" i="5" s="1"/>
  <c r="N120" i="12"/>
  <c r="P139" i="12"/>
  <c r="R165" i="12"/>
  <c r="Q117" i="12"/>
  <c r="S114" i="12"/>
  <c r="L151" i="12"/>
  <c r="E119" i="5"/>
  <c r="F119" i="5" s="1"/>
  <c r="G119" i="5" s="1"/>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48" i="2"/>
  <c r="K10" i="3"/>
  <c r="N182" i="12"/>
  <c r="M177" i="12"/>
  <c r="N174" i="12"/>
  <c r="N178" i="12"/>
  <c r="N185" i="12"/>
  <c r="N177" i="12"/>
  <c r="E29" i="3"/>
  <c r="N96" i="2"/>
  <c r="O96" i="2" s="1"/>
  <c r="G163" i="2"/>
  <c r="L146" i="7"/>
  <c r="K146" i="12" s="1"/>
  <c r="F193" i="2"/>
  <c r="P165" i="5"/>
  <c r="P13" i="5"/>
  <c r="P37" i="5"/>
  <c r="P73" i="5"/>
  <c r="P71" i="12"/>
  <c r="S89" i="12"/>
  <c r="M97" i="5"/>
  <c r="S115" i="12"/>
  <c r="O132" i="12"/>
  <c r="L51" i="12"/>
  <c r="M20" i="12"/>
  <c r="L15" i="7"/>
  <c r="K15" i="12" s="1"/>
  <c r="D117" i="7"/>
  <c r="C51" i="7"/>
  <c r="D91" i="7"/>
  <c r="J127" i="7"/>
  <c r="E15" i="7"/>
  <c r="L127" i="7"/>
  <c r="K127" i="12" s="1"/>
  <c r="D51" i="7"/>
  <c r="C62" i="7"/>
  <c r="B188" i="7"/>
  <c r="H170" i="7"/>
  <c r="J49" i="2"/>
  <c r="K49" i="2" s="1"/>
  <c r="F89" i="2"/>
  <c r="N105" i="2"/>
  <c r="O105" i="2" s="1"/>
  <c r="P108" i="5"/>
  <c r="I15" i="7"/>
  <c r="I15" i="12" s="1"/>
  <c r="O8" i="7"/>
  <c r="F51" i="7"/>
  <c r="D16" i="7"/>
  <c r="O24" i="7"/>
  <c r="N91" i="7"/>
  <c r="E60" i="7"/>
  <c r="C84" i="7"/>
  <c r="I118" i="7"/>
  <c r="I118" i="12" s="1"/>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J117" i="12" s="1"/>
  <c r="F69" i="7"/>
  <c r="J86" i="5"/>
  <c r="K13" i="3"/>
  <c r="H74" i="3"/>
  <c r="K170" i="7"/>
  <c r="G61" i="2"/>
  <c r="C24" i="7"/>
  <c r="J43" i="7"/>
  <c r="B91" i="7"/>
  <c r="G187" i="2"/>
  <c r="G123" i="14"/>
  <c r="E38" i="7"/>
  <c r="D52" i="7"/>
  <c r="I60" i="7"/>
  <c r="I60" i="12" s="1"/>
  <c r="F62" i="7"/>
  <c r="J118" i="7"/>
  <c r="L52" i="7"/>
  <c r="K52" i="12" s="1"/>
  <c r="H86" i="7"/>
  <c r="H86" i="12" s="1"/>
  <c r="J169" i="7"/>
  <c r="G33" i="7"/>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K33" i="12" s="1"/>
  <c r="Q97" i="12"/>
  <c r="R69" i="12"/>
  <c r="R128" i="12"/>
  <c r="R152" i="12"/>
  <c r="R25" i="12"/>
  <c r="K15" i="7"/>
  <c r="J15" i="12" s="1"/>
  <c r="O38" i="7"/>
  <c r="K118" i="7"/>
  <c r="J118" i="12" s="1"/>
  <c r="H117" i="7"/>
  <c r="H117" i="12" s="1"/>
  <c r="G188" i="7"/>
  <c r="C170" i="7"/>
  <c r="E27" i="3"/>
  <c r="K164" i="3"/>
  <c r="N85" i="2"/>
  <c r="O85" i="2" s="1"/>
  <c r="F106" i="2"/>
  <c r="P84" i="5"/>
  <c r="K52" i="7"/>
  <c r="J52" i="12" s="1"/>
  <c r="C11" i="7"/>
  <c r="G60" i="7"/>
  <c r="N24" i="7"/>
  <c r="J60" i="7"/>
  <c r="D129" i="7"/>
  <c r="K56" i="3"/>
  <c r="E170" i="3"/>
  <c r="I38" i="7"/>
  <c r="I38" i="12" s="1"/>
  <c r="L65" i="7"/>
  <c r="K65" i="12" s="1"/>
  <c r="O164" i="7"/>
  <c r="H38" i="7"/>
  <c r="H38" i="12" s="1"/>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24" i="12" s="1"/>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49" i="2"/>
  <c r="O65" i="7"/>
  <c r="M11" i="7"/>
  <c r="B24" i="7"/>
  <c r="L60" i="7"/>
  <c r="K60" i="12" s="1"/>
  <c r="J99" i="7"/>
  <c r="J181" i="7"/>
  <c r="P143" i="5"/>
  <c r="I86" i="7"/>
  <c r="E51" i="7"/>
  <c r="H64" i="3"/>
  <c r="K28" i="3"/>
  <c r="I181" i="7"/>
  <c r="I180" i="12" s="1"/>
  <c r="M33" i="7"/>
  <c r="K129" i="7"/>
  <c r="J129" i="12" s="1"/>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J87" i="12" s="1"/>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H89" i="12" s="1"/>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K126" i="12" s="1"/>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H133" i="12" s="1"/>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O168" i="12"/>
  <c r="N90" i="12"/>
  <c r="M134" i="12"/>
  <c r="L116" i="12"/>
  <c r="E97" i="5"/>
  <c r="F97" i="5" s="1"/>
  <c r="G97" i="5" s="1"/>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I109" i="12" s="1"/>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50"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I10" i="12" s="1"/>
  <c r="B116" i="7"/>
  <c r="L70" i="7"/>
  <c r="K70" i="12" s="1"/>
  <c r="G19" i="14"/>
  <c r="H22" i="12"/>
  <c r="H135" i="3"/>
  <c r="H52" i="3"/>
  <c r="J116" i="7"/>
  <c r="K40" i="3"/>
  <c r="H131" i="3"/>
  <c r="H96" i="3"/>
  <c r="K119" i="3"/>
  <c r="P79" i="5"/>
  <c r="P123" i="5"/>
  <c r="K32" i="3"/>
  <c r="H112" i="3"/>
  <c r="L64" i="12"/>
  <c r="D47" i="7"/>
  <c r="N73" i="2"/>
  <c r="O73" i="2" s="1"/>
  <c r="G152" i="2"/>
  <c r="O156" i="7"/>
  <c r="D187" i="7"/>
  <c r="J187" i="7"/>
  <c r="I47" i="7"/>
  <c r="I47" i="12" s="1"/>
  <c r="N47" i="7"/>
  <c r="M29" i="5"/>
  <c r="C6" i="28"/>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F143" i="5" s="1"/>
  <c r="G143" i="5" s="1"/>
  <c r="N141" i="2"/>
  <c r="O141" i="2" s="1"/>
  <c r="D247"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I122" i="12" s="1"/>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I17" i="12" s="1"/>
  <c r="B17" i="7"/>
  <c r="M17" i="7"/>
  <c r="F17" i="7"/>
  <c r="E17" i="7"/>
  <c r="J17" i="7"/>
  <c r="N17" i="7"/>
  <c r="D17" i="7"/>
  <c r="H17" i="7"/>
  <c r="H17" i="12" s="1"/>
  <c r="L17" i="7"/>
  <c r="K17" i="12" s="1"/>
  <c r="K17" i="7"/>
  <c r="J17" i="12" s="1"/>
  <c r="C17" i="7"/>
  <c r="O17" i="7"/>
  <c r="C122" i="7"/>
  <c r="L48"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48"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48" i="2"/>
  <c r="L179" i="12"/>
  <c r="S170" i="12"/>
  <c r="L161" i="5"/>
  <c r="M161" i="5" s="1"/>
  <c r="J112" i="12"/>
  <c r="P95" i="5"/>
  <c r="F166" i="5"/>
  <c r="G166" i="5" s="1"/>
  <c r="E102" i="5"/>
  <c r="F102" i="5" s="1"/>
  <c r="G102" i="5" s="1"/>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48"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49" i="2"/>
  <c r="O164" i="12"/>
  <c r="N171" i="12"/>
  <c r="L176" i="12"/>
  <c r="L185" i="12"/>
  <c r="B247"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49"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47"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47" i="2"/>
  <c r="O34" i="12"/>
  <c r="O37" i="12"/>
  <c r="P86" i="12"/>
  <c r="L91" i="12"/>
  <c r="L102" i="12"/>
  <c r="N121" i="12"/>
  <c r="N127" i="12"/>
  <c r="Q32" i="12"/>
  <c r="M35" i="12"/>
  <c r="N70" i="12"/>
  <c r="N78" i="12"/>
  <c r="L100" i="12"/>
  <c r="L127" i="12"/>
  <c r="I58" i="12"/>
  <c r="O145"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83" i="12"/>
  <c r="J74" i="12"/>
  <c r="I72" i="12"/>
  <c r="H74"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50"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Q39" i="12"/>
  <c r="S119" i="12"/>
  <c r="N147" i="12"/>
  <c r="S147" i="12"/>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J138" i="5"/>
  <c r="H146" i="3"/>
  <c r="H178" i="3"/>
  <c r="J143" i="12"/>
  <c r="E75" i="3"/>
  <c r="J71" i="2"/>
  <c r="K71" i="2" s="1"/>
  <c r="G66" i="2"/>
  <c r="N74" i="2"/>
  <c r="O74" i="2" s="1"/>
  <c r="J160" i="2"/>
  <c r="K160" i="2" s="1"/>
  <c r="P118" i="5"/>
  <c r="N56" i="7"/>
  <c r="K137" i="7"/>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H122" i="3"/>
  <c r="H35" i="3"/>
  <c r="E145" i="3"/>
  <c r="N110" i="2"/>
  <c r="O110" i="2" s="1"/>
  <c r="J77" i="2"/>
  <c r="K77" i="2" s="1"/>
  <c r="G130" i="2"/>
  <c r="F56" i="7"/>
  <c r="N28" i="2"/>
  <c r="O28" i="2" s="1"/>
  <c r="G193" i="2"/>
  <c r="C175" i="7"/>
  <c r="N175" i="7"/>
  <c r="G150" i="7"/>
  <c r="J22" i="5"/>
  <c r="I162" i="12"/>
  <c r="I150" i="12"/>
  <c r="I151" i="12"/>
  <c r="N137" i="7"/>
  <c r="J174" i="7"/>
  <c r="J74" i="5"/>
  <c r="K15" i="3"/>
  <c r="H150" i="3"/>
  <c r="H55" i="3"/>
  <c r="H99" i="3"/>
  <c r="K140" i="3"/>
  <c r="G129" i="2"/>
  <c r="F82" i="2"/>
  <c r="G141" i="14"/>
  <c r="B56" i="7"/>
  <c r="J28" i="2"/>
  <c r="K28" i="2" s="1"/>
  <c r="G67" i="14"/>
  <c r="E153" i="7"/>
  <c r="N140" i="2"/>
  <c r="O140" i="2" s="1"/>
  <c r="K103"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B186" i="7"/>
  <c r="I66" i="7"/>
  <c r="I71" i="12" s="1"/>
  <c r="O186" i="7"/>
  <c r="Q28" i="12"/>
  <c r="L139" i="12"/>
  <c r="L65" i="12"/>
  <c r="N87" i="12"/>
  <c r="N147" i="7"/>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68" i="5"/>
  <c r="Q24" i="12"/>
  <c r="J18" i="12"/>
  <c r="H33" i="3"/>
  <c r="E66" i="5"/>
  <c r="F66" i="5" s="1"/>
  <c r="G66" i="5" s="1"/>
  <c r="E80" i="3"/>
  <c r="K176" i="3"/>
  <c r="K69" i="3"/>
  <c r="J23" i="5"/>
  <c r="F162" i="5"/>
  <c r="G162" i="5" s="1"/>
  <c r="E11" i="3"/>
  <c r="F97" i="2"/>
  <c r="N153" i="2"/>
  <c r="O153" i="2" s="1"/>
  <c r="N177" i="2"/>
  <c r="O177" i="2" s="1"/>
  <c r="N145" i="12"/>
  <c r="N113" i="12"/>
  <c r="J80" i="2"/>
  <c r="K80" i="2" s="1"/>
  <c r="G91" i="14"/>
  <c r="N133" i="12"/>
  <c r="G144" i="14"/>
  <c r="P34" i="12"/>
  <c r="S133" i="12"/>
  <c r="S165" i="12"/>
  <c r="M163" i="12"/>
  <c r="G73" i="2"/>
  <c r="G97" i="2"/>
  <c r="G121" i="2"/>
  <c r="F29" i="2"/>
  <c r="O191" i="5"/>
  <c r="O192" i="5" s="1"/>
  <c r="J183" i="2"/>
  <c r="K183" i="2" s="1"/>
  <c r="N68" i="2"/>
  <c r="O68" i="2" s="1"/>
  <c r="P137" i="12"/>
  <c r="E61" i="3"/>
  <c r="H107" i="3"/>
  <c r="K124" i="3"/>
  <c r="G167" i="2"/>
  <c r="G60" i="14"/>
  <c r="P76" i="5"/>
  <c r="P100" i="5"/>
  <c r="K92" i="3"/>
  <c r="L142" i="12"/>
  <c r="G134" i="14"/>
  <c r="P42" i="12"/>
  <c r="M140" i="12"/>
  <c r="K103" i="3"/>
  <c r="E62" i="5"/>
  <c r="F62" i="5" s="1"/>
  <c r="E22" i="3"/>
  <c r="E86" i="3"/>
  <c r="E110" i="5"/>
  <c r="F110" i="5" s="1"/>
  <c r="G110" i="5" s="1"/>
  <c r="H148" i="3"/>
  <c r="E261" i="2"/>
  <c r="J14" i="2"/>
  <c r="K14" i="2" s="1"/>
  <c r="N58" i="2"/>
  <c r="O58" i="2" s="1"/>
  <c r="F100" i="2"/>
  <c r="G127" i="14"/>
  <c r="P18" i="12"/>
  <c r="M120" i="12"/>
  <c r="L82" i="12"/>
  <c r="F103" i="5"/>
  <c r="G103" i="5" s="1"/>
  <c r="F145" i="5"/>
  <c r="G145" i="5" s="1"/>
  <c r="J160" i="5"/>
  <c r="G171" i="14"/>
  <c r="P50" i="12"/>
  <c r="M123" i="12"/>
  <c r="L74" i="12"/>
  <c r="R40" i="12"/>
  <c r="M132" i="5"/>
  <c r="H21" i="3"/>
  <c r="H79" i="3"/>
  <c r="H130" i="3"/>
  <c r="E169" i="3"/>
  <c r="H261" i="2"/>
  <c r="N64" i="2"/>
  <c r="O64" i="2" s="1"/>
  <c r="J36" i="2"/>
  <c r="K36" i="2" s="1"/>
  <c r="N40" i="12"/>
  <c r="F81" i="5"/>
  <c r="G81" i="5" s="1"/>
  <c r="J156" i="5"/>
  <c r="H10" i="3"/>
  <c r="E114" i="5"/>
  <c r="F114" i="5" s="1"/>
  <c r="G114" i="5" s="1"/>
  <c r="N77" i="12"/>
  <c r="R77" i="12"/>
  <c r="R78" i="12"/>
  <c r="F77" i="5"/>
  <c r="G77" i="5" s="1"/>
  <c r="J82" i="5"/>
  <c r="F156" i="5"/>
  <c r="G156" i="5" s="1"/>
  <c r="E93" i="3"/>
  <c r="E97" i="3"/>
  <c r="N70" i="2"/>
  <c r="O70" i="2" s="1"/>
  <c r="J17" i="2"/>
  <c r="K17" i="2" s="1"/>
  <c r="G43" i="14"/>
  <c r="N100" i="2"/>
  <c r="O100" i="2" s="1"/>
  <c r="P122" i="12"/>
  <c r="P132" i="12"/>
  <c r="R70" i="12"/>
  <c r="S78" i="12"/>
  <c r="E46" i="5"/>
  <c r="F46" i="5" s="1"/>
  <c r="G46" i="5" s="1"/>
  <c r="N25" i="2"/>
  <c r="O25" i="2" s="1"/>
  <c r="G29" i="2"/>
  <c r="J114" i="2"/>
  <c r="K114" i="2" s="1"/>
  <c r="G76" i="14"/>
  <c r="N48" i="12"/>
  <c r="Q19" i="12"/>
  <c r="P121" i="12"/>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N232" i="10"/>
  <c r="Q38" i="12"/>
  <c r="P54" i="12"/>
  <c r="R65" i="12"/>
  <c r="R97" i="12"/>
  <c r="Q15" i="12"/>
  <c r="R117" i="12"/>
  <c r="Q114" i="12"/>
  <c r="N167" i="12"/>
  <c r="N101" i="12"/>
  <c r="L78" i="12"/>
  <c r="N53" i="12"/>
  <c r="N82" i="12"/>
  <c r="N74" i="12"/>
  <c r="M54" i="12"/>
  <c r="M40" i="12"/>
  <c r="M32" i="12"/>
  <c r="P7" i="12"/>
  <c r="L38" i="12"/>
  <c r="L15" i="12"/>
  <c r="M37" i="12"/>
  <c r="C12" i="28"/>
  <c r="S82" i="12"/>
  <c r="I114" i="12"/>
  <c r="I132" i="12"/>
  <c r="J113" i="12"/>
  <c r="J119" i="12"/>
  <c r="H136" i="12"/>
  <c r="H119" i="12"/>
  <c r="K53" i="12"/>
  <c r="H53" i="12"/>
  <c r="K49" i="12"/>
  <c r="H41" i="12"/>
  <c r="I18" i="12"/>
  <c r="H27" i="12"/>
  <c r="H19" i="12"/>
  <c r="H11" i="12"/>
  <c r="K30" i="12"/>
  <c r="K22" i="12"/>
  <c r="K14"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J54" i="5"/>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41" i="2"/>
  <c r="G150" i="2"/>
  <c r="F150" i="2"/>
  <c r="N166" i="2"/>
  <c r="O166" i="2" s="1"/>
  <c r="J192" i="2"/>
  <c r="K192" i="2" s="1"/>
  <c r="F170" i="2"/>
  <c r="G170" i="2"/>
  <c r="G142" i="2"/>
  <c r="G178" i="14"/>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36" i="12"/>
  <c r="I112" i="12"/>
  <c r="K131" i="12"/>
  <c r="K135" i="12"/>
  <c r="I135" i="12"/>
  <c r="I119" i="12"/>
  <c r="H57" i="12"/>
  <c r="J23" i="12"/>
  <c r="J7" i="12"/>
  <c r="J25" i="12"/>
  <c r="J53" i="12"/>
  <c r="J37" i="12"/>
  <c r="H21" i="12"/>
  <c r="J41" i="12"/>
  <c r="H37" i="12"/>
  <c r="I20" i="12"/>
  <c r="I12" i="12"/>
  <c r="I45" i="12"/>
  <c r="I29" i="12"/>
  <c r="I23" i="12"/>
  <c r="P53" i="5"/>
  <c r="N191" i="5"/>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41" i="2"/>
  <c r="J11" i="2"/>
  <c r="K11" i="2" s="1"/>
  <c r="B3" i="28"/>
  <c r="F192" i="2"/>
  <c r="G192" i="2"/>
  <c r="G59" i="14"/>
  <c r="G86" i="14"/>
  <c r="G118" i="14"/>
  <c r="G152" i="14"/>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48"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D191" i="5"/>
  <c r="D192" i="5" s="1"/>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J138" i="12"/>
  <c r="J122" i="12"/>
  <c r="I138" i="12"/>
  <c r="I129" i="12"/>
  <c r="H113" i="12"/>
  <c r="H127" i="12"/>
  <c r="K114" i="12"/>
  <c r="I127" i="12"/>
  <c r="H47" i="12"/>
  <c r="I113" i="12"/>
  <c r="K46" i="12"/>
  <c r="I54" i="12"/>
  <c r="J45" i="12"/>
  <c r="J27" i="12"/>
  <c r="J19" i="12"/>
  <c r="I42" i="12"/>
  <c r="J29" i="12"/>
  <c r="J13" i="12"/>
  <c r="K41" i="12"/>
  <c r="H29" i="12"/>
  <c r="K45" i="12"/>
  <c r="I8" i="12"/>
  <c r="I21" i="12"/>
  <c r="I27" i="12"/>
  <c r="I19" i="12"/>
  <c r="I11" i="12"/>
  <c r="E58" i="5"/>
  <c r="F58" i="5" s="1"/>
  <c r="K191" i="5"/>
  <c r="K192" i="5" s="1"/>
  <c r="E121" i="5"/>
  <c r="F121" i="5" s="1"/>
  <c r="G121" i="5" s="1"/>
  <c r="E125" i="5"/>
  <c r="F125" i="5" s="1"/>
  <c r="G125" i="5" s="1"/>
  <c r="E129" i="5"/>
  <c r="F129" i="5" s="1"/>
  <c r="G129" i="5" s="1"/>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6" i="28" l="1"/>
  <c r="H155" i="12"/>
  <c r="J136" i="12"/>
  <c r="D18" i="28"/>
  <c r="B16" i="28"/>
  <c r="C16" i="28"/>
  <c r="B15" i="28"/>
  <c r="I163" i="12"/>
  <c r="D8" i="28"/>
  <c r="J241" i="2"/>
  <c r="K241" i="2" s="1"/>
  <c r="D233" i="6" s="1"/>
  <c r="F234" i="7"/>
  <c r="F235" i="7" s="1"/>
  <c r="C245" i="7" s="1"/>
  <c r="E234" i="7"/>
  <c r="E235" i="7" s="1"/>
  <c r="B245" i="7" s="1"/>
  <c r="N234" i="7"/>
  <c r="N241" i="12"/>
  <c r="N242" i="12" s="1"/>
  <c r="J64" i="8"/>
  <c r="C73" i="8" s="1"/>
  <c r="H234" i="7"/>
  <c r="H235" i="7" s="1"/>
  <c r="B246" i="7" s="1"/>
  <c r="O241" i="12"/>
  <c r="O242" i="12" s="1"/>
  <c r="L241" i="12"/>
  <c r="L242" i="12" s="1"/>
  <c r="L234" i="7"/>
  <c r="C234" i="7"/>
  <c r="C235" i="7" s="1"/>
  <c r="I234" i="7"/>
  <c r="M241" i="12"/>
  <c r="M242" i="12" s="1"/>
  <c r="K234" i="7"/>
  <c r="K235" i="7" s="1"/>
  <c r="B247" i="7" s="1"/>
  <c r="H65" i="8"/>
  <c r="A73" i="8"/>
  <c r="M233" i="6"/>
  <c r="B234" i="7"/>
  <c r="B235"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50" i="2"/>
  <c r="D250" i="2"/>
  <c r="K54" i="12"/>
  <c r="D7" i="28"/>
  <c r="J66" i="12"/>
  <c r="L191" i="5"/>
  <c r="L192" i="5" s="1"/>
  <c r="M192" i="5" s="1"/>
  <c r="H80" i="12"/>
  <c r="H75" i="12"/>
  <c r="M94" i="5"/>
  <c r="I232" i="10"/>
  <c r="J159" i="12"/>
  <c r="I167" i="12"/>
  <c r="J186" i="12"/>
  <c r="H39" i="12"/>
  <c r="I66" i="12"/>
  <c r="J39" i="12"/>
  <c r="L232" i="10"/>
  <c r="K66" i="12"/>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N241" i="2"/>
  <c r="O241" i="2" s="1"/>
  <c r="O234" i="7"/>
  <c r="O235" i="7" s="1"/>
  <c r="I235" i="7"/>
  <c r="C246" i="7" s="1"/>
  <c r="G58" i="5"/>
  <c r="F191" i="5"/>
  <c r="C241" i="6"/>
  <c r="J233" i="6"/>
  <c r="D232" i="11"/>
  <c r="F232" i="11" s="1"/>
  <c r="F231" i="11"/>
  <c r="N192" i="5"/>
  <c r="P192" i="5" s="1"/>
  <c r="P191" i="5"/>
  <c r="C240" i="6"/>
  <c r="G65" i="8"/>
  <c r="H6" i="6"/>
  <c r="K6" i="6"/>
  <c r="I32" i="12"/>
  <c r="M232" i="11"/>
  <c r="O232" i="11" s="1"/>
  <c r="O231" i="11"/>
  <c r="H236" i="3"/>
  <c r="F237" i="3"/>
  <c r="H237" i="3" s="1"/>
  <c r="B240" i="6"/>
  <c r="G247" i="2"/>
  <c r="C242" i="6"/>
  <c r="G64" i="8"/>
  <c r="B73" i="8"/>
  <c r="I65" i="8"/>
  <c r="K236" i="3"/>
  <c r="I237" i="3"/>
  <c r="K237" i="3" s="1"/>
  <c r="J191" i="5"/>
  <c r="I192" i="5"/>
  <c r="J192" i="5" s="1"/>
  <c r="B6" i="8"/>
  <c r="K6" i="7"/>
  <c r="E6" i="7"/>
  <c r="H6" i="7"/>
  <c r="B241" i="6"/>
  <c r="G248" i="2"/>
  <c r="F248" i="2" s="1"/>
  <c r="I231" i="11"/>
  <c r="G232" i="11"/>
  <c r="I232" i="11" s="1"/>
  <c r="L231" i="11"/>
  <c r="J232" i="11"/>
  <c r="L232" i="11" s="1"/>
  <c r="B242" i="6"/>
  <c r="G249" i="2"/>
  <c r="F249" i="2" s="1"/>
  <c r="D234" i="7" l="1"/>
  <c r="D235" i="7" s="1"/>
  <c r="I241" i="12"/>
  <c r="I242" i="12" s="1"/>
  <c r="J241" i="12"/>
  <c r="J242" i="12" s="1"/>
  <c r="H241" i="12"/>
  <c r="H242" i="12" s="1"/>
  <c r="K241" i="12"/>
  <c r="K242" i="12" s="1"/>
  <c r="J65" i="8"/>
  <c r="M191" i="5"/>
  <c r="N235" i="7"/>
  <c r="B248" i="7"/>
  <c r="G234" i="7"/>
  <c r="G235" i="7" s="1"/>
  <c r="B6" i="10"/>
  <c r="C6" i="8"/>
  <c r="E6" i="8"/>
  <c r="H6" i="8" s="1"/>
  <c r="G250" i="2"/>
  <c r="F247" i="2"/>
  <c r="F250" i="2" s="1"/>
  <c r="D245" i="7"/>
  <c r="J234" i="7"/>
  <c r="J235" i="7" s="1"/>
  <c r="G191" i="5"/>
  <c r="F192" i="5"/>
  <c r="G192" i="5" s="1"/>
  <c r="M234" i="7"/>
  <c r="M235" i="7" s="1"/>
  <c r="L235" i="7"/>
  <c r="C247" i="7" s="1"/>
  <c r="D247" i="7" s="1"/>
  <c r="H249" i="2" s="1"/>
  <c r="D240" i="6"/>
  <c r="H247" i="2" s="1"/>
  <c r="C243" i="6"/>
  <c r="D242" i="6"/>
  <c r="B243" i="6"/>
  <c r="D241" i="6"/>
  <c r="H248" i="2" s="1"/>
  <c r="D246" i="7"/>
  <c r="C248" i="7" l="1"/>
  <c r="D248" i="7" s="1"/>
  <c r="D243" i="6"/>
  <c r="H250"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<sst xmlns="http://schemas.openxmlformats.org/spreadsheetml/2006/main" count="3491" uniqueCount="702">
  <si>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</si>
  <si>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</si>
  <si>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</si>
  <si>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</si>
  <si>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</si>
  <si>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</si>
  <si>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</si>
  <si>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</si>
  <si>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</si>
  <si>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</si>
  <si>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</si>
  <si>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</si>
  <si>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</si>
  <si>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</si>
  <si>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</si>
  <si>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</si>
  <si>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</si>
  <si>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</si>
  <si>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</si>
  <si>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</si>
  <si>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</si>
  <si>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</si>
  <si>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</si>
  <si>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</si>
  <si>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</si>
  <si>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</si>
  <si>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</si>
  <si>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</si>
  <si>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</si>
  <si>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</si>
  <si>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</si>
  <si>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</si>
  <si>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</si>
  <si>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</si>
  <si>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</si>
  <si>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</si>
  <si>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</si>
  <si>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</si>
  <si>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</si>
  <si>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</si>
  <si>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</si>
  <si>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</si>
  <si>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</si>
  <si>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</si>
  <si>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</si>
  <si>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</si>
  <si>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</si>
  <si>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</si>
  <si>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</si>
  <si>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</si>
  <si>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</si>
  <si>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</si>
  <si>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</si>
  <si>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</si>
  <si>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</si>
  <si>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</si>
  <si>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</si>
  <si>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</si>
  <si>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</si>
  <si>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</si>
  <si>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</si>
  <si>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</si>
  <si>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</si>
  <si>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</si>
  <si>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</si>
  <si>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</si>
  <si>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</si>
  <si>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</si>
  <si>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</si>
  <si>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</si>
  <si>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</si>
  <si>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</si>
  <si>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</si>
  <si>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</si>
  <si>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</si>
  <si>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</si>
  <si>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</si>
  <si>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</si>
  <si>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</si>
  <si>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</si>
  <si>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</si>
  <si>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</si>
  <si>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</si>
  <si>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</si>
  <si>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</si>
  <si>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</si>
  <si>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</si>
  <si>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</si>
  <si>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</si>
  <si>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</si>
  <si>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</si>
  <si>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</si>
  <si>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</si>
  <si>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</si>
  <si>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</si>
  <si>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</si>
  <si>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</si>
  <si>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</si>
  <si>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</si>
  <si>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</si>
  <si>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</si>
  <si>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</si>
  <si>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</si>
  <si>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</si>
  <si>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</si>
  <si>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</si>
  <si>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</si>
  <si>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</si>
  <si>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</si>
  <si>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</si>
  <si>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</si>
  <si>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</si>
  <si>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</si>
  <si>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</si>
  <si>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</si>
  <si>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</si>
  <si>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</si>
  <si>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</si>
  <si>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</si>
  <si>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</si>
  <si>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</si>
  <si>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</si>
  <si>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</si>
  <si>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</si>
  <si>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</si>
  <si>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</si>
  <si>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</si>
  <si>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</si>
  <si>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</si>
  <si>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</si>
  <si>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</si>
  <si>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</si>
  <si>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</si>
  <si>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</si>
  <si>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</si>
  <si>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</si>
  <si>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</si>
  <si>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</si>
  <si>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</si>
  <si>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</si>
  <si>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</si>
  <si>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</si>
  <si>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</si>
  <si>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</si>
  <si>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</si>
  <si>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</si>
  <si>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</si>
  <si>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</si>
  <si>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</si>
  <si>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</si>
  <si>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</si>
  <si>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</si>
  <si>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</si>
  <si>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</si>
  <si>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</si>
  <si>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</si>
  <si>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</si>
  <si>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</si>
  <si>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</si>
  <si>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</si>
  <si>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</si>
  <si>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</si>
  <si>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</si>
  <si>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</si>
  <si>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</si>
  <si>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</si>
  <si>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</si>
  <si>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</si>
  <si>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</si>
  <si>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</si>
  <si>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</si>
  <si>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</si>
  <si>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</si>
  <si>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</si>
  <si>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</si>
  <si>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</si>
  <si>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</si>
  <si>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</si>
  <si>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</si>
  <si>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</si>
  <si>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</si>
  <si>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</si>
  <si>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</si>
  <si>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</si>
  <si>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</si>
  <si>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</si>
  <si>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</si>
  <si>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</si>
  <si>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</si>
  <si>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</si>
  <si>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</si>
  <si>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</si>
  <si>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</si>
  <si>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</si>
  <si>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</si>
  <si>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</si>
  <si>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</si>
  <si>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</si>
  <si>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</si>
  <si>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</si>
  <si>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</si>
  <si>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</si>
  <si>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</si>
  <si>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</si>
  <si>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</si>
  <si>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</si>
  <si>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</si>
  <si>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</si>
  <si>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</si>
  <si>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</si>
  <si>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</si>
  <si>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</si>
  <si>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</si>
  <si>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</si>
  <si>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</si>
  <si>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</si>
  <si>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</si>
  <si>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</si>
  <si>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</si>
  <si>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</si>
  <si>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</si>
  <si>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</si>
  <si>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</si>
  <si>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</si>
  <si>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</si>
  <si>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</si>
  <si>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</si>
  <si>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</si>
  <si>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</si>
  <si>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</si>
  <si>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</si>
  <si>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</si>
  <si>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</si>
  <si>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</si>
  <si>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</si>
  <si>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</si>
  <si>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</si>
  <si>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</si>
  <si>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</si>
  <si>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</si>
  <si>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</si>
  <si>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</si>
  <si>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</si>
  <si>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</si>
  <si>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</si>
  <si>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</si>
  <si>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</si>
  <si>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</si>
  <si>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</si>
  <si>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</si>
  <si>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</si>
  <si>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</si>
  <si>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</si>
  <si>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</si>
  <si>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</si>
  <si>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</si>
  <si>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</si>
  <si>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</si>
  <si>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</si>
  <si>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</si>
  <si>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</si>
  <si>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</si>
  <si>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</si>
  <si>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</si>
  <si>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</si>
  <si>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</si>
  <si>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</si>
  <si>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</si>
  <si>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</si>
  <si>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</si>
  <si>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</si>
  <si>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</si>
  <si>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</si>
  <si>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</si>
  <si>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</si>
  <si>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</si>
  <si>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</si>
  <si>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</si>
  <si>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</si>
  <si>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</si>
  <si>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</si>
  <si>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</si>
  <si>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</si>
  <si>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</si>
  <si>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</si>
  <si>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</si>
  <si>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</si>
  <si>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</si>
  <si>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</si>
  <si>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</si>
  <si>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</si>
  <si>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</si>
  <si>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</si>
  <si>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</si>
  <si>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</si>
  <si>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</si>
  <si>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</si>
  <si>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</si>
  <si>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</si>
  <si>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</si>
  <si>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</si>
  <si>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</si>
  <si>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</si>
  <si>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</si>
  <si>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</si>
  <si>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</si>
  <si>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</si>
  <si>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</si>
  <si>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</si>
  <si>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</si>
  <si>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</si>
  <si>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</si>
  <si>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</si>
  <si>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</si>
  <si>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</si>
  <si>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</si>
  <si>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</si>
  <si>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</si>
  <si>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</si>
  <si>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</si>
  <si>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</si>
  <si>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</si>
  <si>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</si>
  <si>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</si>
  <si>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</si>
  <si>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</si>
  <si>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</si>
  <si>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</si>
  <si>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</si>
  <si>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</si>
  <si>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</si>
  <si>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</si>
  <si>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</si>
  <si>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</si>
  <si>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</si>
  <si>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</si>
  <si>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</si>
  <si>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</si>
  <si>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</si>
  <si>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</si>
  <si>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</si>
  <si>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</si>
  <si>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</si>
  <si>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</si>
  <si>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</si>
  <si>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</si>
  <si>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</si>
  <si>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</si>
  <si>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</si>
  <si>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</si>
  <si>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</si>
  <si>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</si>
  <si>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</si>
  <si>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</si>
  <si>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</si>
  <si>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</si>
  <si>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</si>
  <si>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</si>
  <si>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</si>
  <si>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</si>
  <si>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</si>
  <si>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</si>
  <si>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</si>
  <si>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</si>
  <si>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</si>
  <si>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</si>
  <si>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</si>
  <si>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</si>
  <si>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</si>
  <si>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</si>
  <si>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</si>
  <si>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</si>
  <si>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</si>
  <si>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</si>
  <si>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</si>
  <si>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</si>
  <si>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</si>
  <si>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</si>
  <si>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</si>
  <si>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</si>
  <si>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</si>
  <si>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</si>
  <si>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</si>
  <si>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</si>
  <si>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</si>
  <si>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</si>
  <si>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</si>
  <si>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</si>
  <si>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</si>
  <si>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</si>
  <si>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</si>
  <si>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</si>
  <si>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</si>
  <si>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</si>
  <si>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</si>
  <si>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</si>
  <si>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</si>
  <si>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</si>
  <si>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</si>
  <si>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</si>
  <si>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</si>
  <si>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</si>
  <si>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</si>
  <si>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</si>
  <si>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</si>
  <si>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</si>
  <si>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</si>
  <si>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</si>
  <si>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</si>
  <si>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</si>
  <si>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</si>
  <si>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</si>
  <si>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</si>
  <si>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</si>
  <si>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</si>
  <si>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</si>
  <si>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</si>
  <si>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</si>
  <si>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</si>
  <si>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</si>
  <si>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</si>
  <si>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</si>
  <si>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</si>
  <si>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</si>
  <si>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</si>
  <si>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</si>
  <si>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</si>
  <si>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</si>
  <si>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</si>
  <si>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</si>
  <si>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</si>
  <si>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</si>
  <si>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</si>
  <si>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</si>
  <si>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</si>
  <si>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</si>
  <si>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</si>
  <si>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</si>
  <si>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</si>
  <si>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</si>
  <si>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</si>
  <si>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</si>
  <si>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</si>
  <si>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</si>
  <si>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</si>
  <si>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</si>
  <si>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</si>
  <si>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</si>
  <si>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</si>
  <si>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</si>
  <si>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</si>
  <si>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</si>
  <si>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</si>
  <si>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</si>
  <si>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</si>
  <si>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</si>
  <si>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</si>
  <si>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</si>
  <si>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</si>
  <si>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</si>
  <si>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</si>
  <si>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</si>
  <si>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</si>
  <si>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</si>
  <si>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</si>
  <si>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</si>
  <si>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</si>
  <si>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</si>
  <si>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</si>
  <si>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</si>
  <si>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</si>
  <si>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</si>
  <si>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</si>
  <si>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</si>
  <si>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</si>
  <si>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</si>
  <si>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</si>
  <si>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</si>
  <si>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</si>
  <si>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</si>
  <si>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</si>
  <si>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</si>
  <si>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</si>
  <si>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</si>
  <si>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</si>
  <si>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</si>
  <si>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</si>
  <si>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</si>
  <si>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</si>
  <si>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</si>
  <si>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</si>
  <si>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</si>
  <si>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</si>
  <si>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</si>
  <si>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</si>
  <si>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</si>
  <si>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</si>
  <si>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</si>
  <si>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</si>
  <si>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</si>
  <si>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</si>
  <si>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</si>
  <si>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</si>
  <si>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</si>
  <si>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</si>
  <si>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</si>
  <si>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</si>
  <si>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</si>
  <si>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</si>
  <si>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</si>
  <si>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</si>
  <si>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</si>
  <si>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</si>
  <si>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</si>
  <si>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</si>
  <si>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</si>
  <si>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</si>
  <si>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</si>
  <si>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</si>
  <si>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</si>
  <si>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</si>
  <si>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</si>
  <si>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</si>
  <si>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</si>
  <si>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</si>
  <si>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</si>
  <si>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</si>
  <si>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</si>
  <si>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</si>
  <si>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</si>
  <si>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</si>
  <si>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</si>
  <si>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</si>
  <si>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</si>
  <si>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</si>
  <si>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</si>
  <si>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</si>
  <si>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</si>
  <si>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</si>
  <si>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</si>
  <si>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</si>
  <si>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</si>
  <si>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</si>
  <si>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</si>
  <si>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</si>
  <si>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</si>
  <si>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</si>
  <si>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</si>
  <si>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</si>
  <si>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</si>
  <si>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</si>
  <si>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</si>
  <si>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</si>
  <si>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</si>
  <si>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</si>
  <si>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</si>
  <si>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</si>
  <si>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</si>
  <si>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</si>
  <si>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</si>
  <si>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</si>
  <si>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</si>
  <si>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</si>
  <si>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</si>
  <si>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</si>
  <si>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</si>
  <si>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</si>
  <si>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</si>
  <si>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</si>
  <si>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</si>
  <si>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</si>
  <si>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</si>
  <si>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</si>
  <si>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</si>
  <si>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</si>
  <si>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</si>
  <si>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</si>
  <si>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</si>
  <si>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</si>
  <si>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</si>
  <si>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</si>
  <si>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</si>
  <si>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</si>
  <si>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</si>
  <si>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</si>
  <si>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</si>
  <si>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</si>
  <si>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</si>
  <si>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</si>
  <si>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</si>
  <si>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</si>
  <si>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</si>
  <si>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</si>
  <si>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</si>
  <si>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</si>
  <si>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</si>
  <si>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</si>
  <si>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</si>
  <si>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</si>
  <si>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</si>
  <si>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</si>
  <si>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</si>
  <si>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</si>
  <si>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</si>
  <si>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</si>
  <si>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</si>
  <si>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</si>
  <si>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</si>
  <si>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</si>
  <si>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</si>
  <si>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</si>
  <si>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</si>
  <si>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</si>
  <si>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</si>
  <si>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</si>
  <si>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</si>
  <si>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</si>
  <si>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</si>
  <si>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</si>
  <si>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</si>
  <si>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</si>
  <si>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</si>
  <si>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</si>
  <si>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</si>
  <si>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</si>
  <si>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</si>
  <si>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</si>
  <si>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</si>
  <si>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</si>
  <si>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</si>
  <si>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</si>
  <si>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</si>
  <si>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</si>
  <si>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</si>
  <si>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</si>
  <si>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</si>
  <si>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</si>
  <si>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</si>
  <si>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</si>
  <si>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</si>
  <si>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</si>
  <si>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</si>
  <si>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</si>
  <si>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</si>
  <si>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</si>
  <si>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</si>
  <si>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</si>
  <si>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</si>
  <si>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</si>
  <si>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</si>
  <si>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</si>
  <si>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</si>
  <si>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</si>
  <si>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</si>
  <si>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</si>
  <si>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</si>
  <si>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</si>
  <si>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</si>
  <si>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</si>
  <si>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</si>
  <si>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</si>
  <si>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</si>
  <si>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</si>
  <si>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</si>
  <si>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</si>
  <si>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</si>
  <si>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</si>
  <si>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</si>
  <si>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</si>
  <si>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</si>
  <si>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</si>
  <si>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</si>
  <si>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</si>
  <si>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</si>
  <si>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</si>
  <si>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</si>
  <si>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</si>
  <si>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</si>
  <si>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</si>
  <si>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</si>
  <si>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</si>
  <si>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</si>
  <si>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</si>
  <si>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</si>
  <si>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</si>
  <si>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</si>
  <si>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</si>
  <si>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</si>
  <si>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</si>
  <si>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</si>
  <si>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</si>
  <si>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</si>
  <si>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LTM</t>
  </si>
  <si>
    <t>Short_Covering</t>
  </si>
  <si>
    <t>HYUNDAI</t>
  </si>
  <si>
    <t>ADANIPOWER</t>
  </si>
  <si>
    <t>COCHINSHIP</t>
  </si>
  <si>
    <t>VMM</t>
  </si>
  <si>
    <t>MOTILALOFS</t>
  </si>
  <si>
    <t>GODFRYPHLP</t>
  </si>
  <si>
    <t>FORCEMOT</t>
  </si>
  <si>
    <t>F&amp;O Market Trading Kit for 24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</si>
</sst>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2">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2" fontId="31" fillId="40" borderId="1" xfId="0" applyNumberFormat="1" applyFont="1" applyFill="1" applyBorder="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1"/>
  <sheetViews>
    <sheetView tabSelected="1" zoomScale="85" zoomScaleNormal="85" workbookViewId="0">
      <pane ySplit="10" topLeftCell="A11" activePane="bottomLeft" state="frozen"/>
      <selection activeCell="Q163" sqref="Q163"/>
      <selection pane="bottomLeft" activeCell="AG10" sqref="AG10"/>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4" t="s">
        <v>701</v>
      </c>
      <c r="B6" s="235"/>
      <c r="C6" s="235"/>
      <c r="D6" s="235"/>
      <c r="E6" s="235"/>
      <c r="F6" s="235"/>
      <c r="G6" s="235"/>
      <c r="H6" s="235"/>
      <c r="I6" s="235"/>
      <c r="J6" s="235"/>
      <c r="K6" s="235"/>
      <c r="L6" s="235"/>
      <c r="M6" s="235"/>
      <c r="N6" s="235"/>
      <c r="O6" s="235"/>
      <c r="P6" s="235"/>
      <c r="Q6" s="235"/>
      <c r="R6" s="235"/>
      <c r="S6" s="236"/>
    </row>
    <row r="7" spans="1:19" x14ac:dyDescent="0.25">
      <c r="A7" s="237"/>
      <c r="B7" s="238"/>
      <c r="C7" s="238"/>
      <c r="D7" s="238"/>
      <c r="E7" s="238"/>
      <c r="F7" s="238"/>
      <c r="G7" s="238"/>
      <c r="H7" s="238"/>
      <c r="I7" s="238"/>
      <c r="J7" s="238"/>
      <c r="K7" s="238"/>
      <c r="L7" s="238"/>
      <c r="M7" s="238"/>
      <c r="N7" s="238"/>
      <c r="O7" s="238"/>
      <c r="P7" s="238"/>
      <c r="Q7" s="238"/>
      <c r="R7" s="238"/>
      <c r="S7" s="239"/>
    </row>
    <row r="8" spans="1:19" s="64" customFormat="1" ht="15" customHeight="1" x14ac:dyDescent="0.25">
      <c r="A8" s="240"/>
      <c r="B8" s="2"/>
      <c r="C8" s="242" t="s">
        <v>308</v>
      </c>
      <c r="D8" s="243"/>
      <c r="E8" s="243"/>
      <c r="F8" s="243"/>
      <c r="G8" s="244"/>
      <c r="H8" s="242" t="s">
        <v>309</v>
      </c>
      <c r="I8" s="243"/>
      <c r="J8" s="243"/>
      <c r="K8" s="244"/>
      <c r="L8" s="245" t="s">
        <v>310</v>
      </c>
      <c r="M8" s="246"/>
      <c r="N8" s="246"/>
      <c r="O8" s="247"/>
      <c r="P8" s="242" t="s">
        <v>311</v>
      </c>
      <c r="Q8" s="243"/>
      <c r="R8" s="243"/>
      <c r="S8" s="244"/>
    </row>
    <row r="9" spans="1:19" s="64" customFormat="1" x14ac:dyDescent="0.25">
      <c r="A9" s="241"/>
      <c r="B9" s="2"/>
      <c r="C9" s="2" t="s">
        <v>312</v>
      </c>
      <c r="D9" s="242" t="s">
        <v>313</v>
      </c>
      <c r="E9" s="243"/>
      <c r="F9" s="243"/>
      <c r="G9" s="244"/>
      <c r="H9" s="242" t="s">
        <v>314</v>
      </c>
      <c r="I9" s="243"/>
      <c r="J9" s="243"/>
      <c r="K9" s="244"/>
      <c r="L9" s="242" t="s">
        <v>315</v>
      </c>
      <c r="M9" s="243"/>
      <c r="N9" s="243"/>
      <c r="O9" s="244"/>
      <c r="P9" s="242" t="s">
        <v>316</v>
      </c>
      <c r="Q9" s="244"/>
      <c r="R9" s="242" t="s">
        <v>317</v>
      </c>
      <c r="S9" s="244"/>
    </row>
    <row r="10" spans="1:19" s="67" customFormat="1" ht="27" customHeight="1" x14ac:dyDescent="0.25">
      <c r="A10" s="65" t="s">
        <v>318</v>
      </c>
      <c r="B10" s="65" t="s">
        <v>319</v>
      </c>
      <c r="C10" s="66">
        <f>'Data Vlaue (Cr)'!A2</f>
        <v>46135</v>
      </c>
      <c r="D10" s="66">
        <f>'Data Vlaue (Cr)'!A2</f>
        <v>46135</v>
      </c>
      <c r="E10" s="65" t="s">
        <v>322</v>
      </c>
      <c r="F10" s="65" t="s">
        <v>320</v>
      </c>
      <c r="G10" s="65" t="s">
        <v>321</v>
      </c>
      <c r="H10" s="66">
        <f>D10</f>
        <v>46135</v>
      </c>
      <c r="I10" s="65" t="s">
        <v>322</v>
      </c>
      <c r="J10" s="65" t="s">
        <v>323</v>
      </c>
      <c r="K10" s="65" t="s">
        <v>324</v>
      </c>
      <c r="L10" s="66">
        <f>D10</f>
        <v>46135</v>
      </c>
      <c r="M10" s="65" t="s">
        <v>322</v>
      </c>
      <c r="N10" s="65" t="s">
        <v>323</v>
      </c>
      <c r="O10" s="65" t="s">
        <v>324</v>
      </c>
      <c r="P10" s="66">
        <f>D10</f>
        <v>46135</v>
      </c>
      <c r="Q10" s="65" t="s">
        <v>324</v>
      </c>
      <c r="R10" s="66">
        <f>D10</f>
        <v>46135</v>
      </c>
      <c r="S10" s="65" t="s">
        <v>324</v>
      </c>
    </row>
    <row r="11" spans="1:19" x14ac:dyDescent="0.25">
      <c r="A11" s="96" t="str">
        <f>'Data Vlaue (Cr)'!C2</f>
        <v>360ONE</v>
      </c>
      <c r="B11" s="75">
        <f>VLOOKUP($A11,'Data Vlaue (Cr)'!$C:$FB,2)</f>
        <v>500</v>
      </c>
      <c r="C11" s="75">
        <f>VLOOKUP($A11,'Data Vlaue (Cr)'!$C:$FB,8)</f>
        <v>1052.25</v>
      </c>
      <c r="D11" s="75">
        <f>VLOOKUP($A11,'Data Vlaue (Cr)'!$C:$FB,4)</f>
        <v>1044.6500000000001</v>
      </c>
      <c r="E11" s="75">
        <f>VLOOKUP($A11,'Data Vlaue (Cr)'!$C:$FB,5)</f>
        <v>1047.45</v>
      </c>
      <c r="F11" s="75">
        <f>D11-C11</f>
        <v>-7.5999999999999091</v>
      </c>
      <c r="G11" s="75">
        <f>(D11-E11)/D11*100</f>
        <v>-0.26803235533431813</v>
      </c>
      <c r="H11" s="75">
        <f>VLOOKUP($A11,'Data Vlaue (Cr)'!$C:$FB,99)</f>
        <v>1437</v>
      </c>
      <c r="I11" s="75">
        <f>VLOOKUP($A11,'Data Vlaue (Cr)'!$C:$FB,100)</f>
        <v>1548</v>
      </c>
      <c r="J11" s="75">
        <f>H11-I11</f>
        <v>-111</v>
      </c>
      <c r="K11" s="75">
        <f>J11/H11*100</f>
        <v>-7.7244258872651352</v>
      </c>
      <c r="L11" s="75">
        <f>VLOOKUP($A11,'Data Vlaue (Cr)'!$C:$FB,67)</f>
        <v>1306</v>
      </c>
      <c r="M11" s="75">
        <f>VLOOKUP($A11,'Data Vlaue (Cr)'!$C:$FB,68)</f>
        <v>4588</v>
      </c>
      <c r="N11" s="75">
        <f>L11-M11</f>
        <v>-3282</v>
      </c>
      <c r="O11" s="75">
        <f>N11/L11*100</f>
        <v>-251.30168453292495</v>
      </c>
      <c r="P11" s="75">
        <f>VLOOKUP($A11,'Data Vlaue (Cr)'!$C:$FB,119)</f>
        <v>0.42</v>
      </c>
      <c r="Q11" s="75">
        <f>VLOOKUP($A11,'Data Vlaue (Cr)'!$C:$FB,122)*100</f>
        <v>-2.33</v>
      </c>
      <c r="R11" s="75">
        <f>VLOOKUP($A11,'Data Vlaue (Cr)'!$C:$FB,125)</f>
        <v>0.3</v>
      </c>
      <c r="S11" s="75">
        <f>VLOOKUP($A11,'Data Vlaue (Cr)'!$C:$FB,128)*100</f>
        <v>-43.4</v>
      </c>
    </row>
    <row r="12" spans="1:19" x14ac:dyDescent="0.25">
      <c r="A12" s="96" t="str">
        <f>'Data Vlaue (Cr)'!C3</f>
        <v>ABB</v>
      </c>
      <c r="B12" s="75">
        <f>VLOOKUP($A12,'Data Vlaue (Cr)'!$C:$FB,2)</f>
        <v>125</v>
      </c>
      <c r="C12" s="75">
        <f>VLOOKUP($A12,'Data Vlaue (Cr)'!$C:$FB,8)</f>
        <v>7575.5</v>
      </c>
      <c r="D12" s="75">
        <f>VLOOKUP($A12,'Data Vlaue (Cr)'!$C:$FB,4)</f>
        <v>7592</v>
      </c>
      <c r="E12" s="75">
        <f>VLOOKUP($A12,'Data Vlaue (Cr)'!$C:$FB,5)</f>
        <v>7615</v>
      </c>
      <c r="F12" s="75">
        <f t="shared" ref="F12:F75" si="0">D12-C12</f>
        <v>16.5</v>
      </c>
      <c r="G12" s="75">
        <f t="shared" ref="G12:G74" si="1">(D12-E12)/D12*100</f>
        <v>-0.30295047418335086</v>
      </c>
      <c r="H12" s="75">
        <f>VLOOKUP($A12,'Data Vlaue (Cr)'!$C:$FB,99)</f>
        <v>4741</v>
      </c>
      <c r="I12" s="75">
        <f>VLOOKUP($A12,'Data Vlaue (Cr)'!$C:$FB,100)</f>
        <v>4883</v>
      </c>
      <c r="J12" s="75">
        <f t="shared" ref="J12:J75" si="2">H12-I12</f>
        <v>-142</v>
      </c>
      <c r="K12" s="75">
        <f t="shared" ref="K12:K75" si="3">J12/H12*100</f>
        <v>-2.9951487028053152</v>
      </c>
      <c r="L12" s="75">
        <f>VLOOKUP($A12,'Data Vlaue (Cr)'!$C:$FB,67)</f>
        <v>6435</v>
      </c>
      <c r="M12" s="75">
        <f>VLOOKUP($A12,'Data Vlaue (Cr)'!$C:$FB,68)</f>
        <v>30553</v>
      </c>
      <c r="N12" s="75">
        <f t="shared" ref="N12:N75" si="4">L12-M12</f>
        <v>-24118</v>
      </c>
      <c r="O12" s="75">
        <f t="shared" ref="O12:O75" si="5">N12/L12*100</f>
        <v>-374.7940947940948</v>
      </c>
      <c r="P12" s="75">
        <f>VLOOKUP($A12,'Data Vlaue (Cr)'!$C:$FB,119)</f>
        <v>0.82</v>
      </c>
      <c r="Q12" s="75">
        <f>VLOOKUP($A12,'Data Vlaue (Cr)'!$C:$FB,122)*100</f>
        <v>-4.6500000000000004</v>
      </c>
      <c r="R12" s="75">
        <f>VLOOKUP($A12,'Data Vlaue (Cr)'!$C:$FB,125)</f>
        <v>0.52</v>
      </c>
      <c r="S12" s="75">
        <f>VLOOKUP($A12,'Data Vlaue (Cr)'!$C:$FB,128)*100</f>
        <v>6.12</v>
      </c>
    </row>
    <row r="13" spans="1:19" x14ac:dyDescent="0.25">
      <c r="A13" s="96" t="str">
        <f>'Data Vlaue (Cr)'!C4</f>
        <v>ABCAPITAL</v>
      </c>
      <c r="B13" s="75">
        <f>VLOOKUP($A13,'Data Vlaue (Cr)'!$C:$FB,2)</f>
        <v>3100</v>
      </c>
      <c r="C13" s="75">
        <f>VLOOKUP($A13,'Data Vlaue (Cr)'!$C:$FB,8)</f>
        <v>349.75</v>
      </c>
      <c r="D13" s="75">
        <f>VLOOKUP($A13,'Data Vlaue (Cr)'!$C:$FB,4)</f>
        <v>349.65</v>
      </c>
      <c r="E13" s="75">
        <f>VLOOKUP($A13,'Data Vlaue (Cr)'!$C:$FB,5)</f>
        <v>350.85</v>
      </c>
      <c r="F13" s="75">
        <f t="shared" si="0"/>
        <v>-0.10000000000002274</v>
      </c>
      <c r="G13" s="75">
        <f t="shared" si="1"/>
        <v>-0.34320034320035619</v>
      </c>
      <c r="H13" s="75">
        <f>VLOOKUP($A13,'Data Vlaue (Cr)'!$C:$FB,99)</f>
        <v>2278</v>
      </c>
      <c r="I13" s="75">
        <f>VLOOKUP($A13,'Data Vlaue (Cr)'!$C:$FB,100)</f>
        <v>2285</v>
      </c>
      <c r="J13" s="75">
        <f t="shared" si="2"/>
        <v>-7</v>
      </c>
      <c r="K13" s="75">
        <f t="shared" si="3"/>
        <v>-0.30728709394205445</v>
      </c>
      <c r="L13" s="75">
        <f>VLOOKUP($A13,'Data Vlaue (Cr)'!$C:$FB,67)</f>
        <v>1974</v>
      </c>
      <c r="M13" s="75">
        <f>VLOOKUP($A13,'Data Vlaue (Cr)'!$C:$FB,68)</f>
        <v>2067</v>
      </c>
      <c r="N13" s="75">
        <f t="shared" si="4"/>
        <v>-93</v>
      </c>
      <c r="O13" s="75">
        <f t="shared" si="5"/>
        <v>-4.7112462006079028</v>
      </c>
      <c r="P13" s="75">
        <f>VLOOKUP($A13,'Data Vlaue (Cr)'!$C:$FB,119)</f>
        <v>0.81</v>
      </c>
      <c r="Q13" s="75">
        <f>VLOOKUP($A13,'Data Vlaue (Cr)'!$C:$FB,122)*100</f>
        <v>-1.22</v>
      </c>
      <c r="R13" s="75">
        <f>VLOOKUP($A13,'Data Vlaue (Cr)'!$C:$FB,125)</f>
        <v>0.53</v>
      </c>
      <c r="S13" s="75">
        <f>VLOOKUP($A13,'Data Vlaue (Cr)'!$C:$FB,128)*100</f>
        <v>-7.02</v>
      </c>
    </row>
    <row r="14" spans="1:19" x14ac:dyDescent="0.25">
      <c r="A14" s="96" t="str">
        <f>'Data Vlaue (Cr)'!C5</f>
        <v>ADANIENSOL</v>
      </c>
      <c r="B14" s="75">
        <f>VLOOKUP($A14,'Data Vlaue (Cr)'!$C:$FB,2)</f>
        <v>675</v>
      </c>
      <c r="C14" s="75">
        <f>VLOOKUP($A14,'Data Vlaue (Cr)'!$C:$FB,8)</f>
        <v>1361.25</v>
      </c>
      <c r="D14" s="75">
        <f>VLOOKUP($A14,'Data Vlaue (Cr)'!$C:$FB,4)</f>
        <v>1364.45</v>
      </c>
      <c r="E14" s="75">
        <f>VLOOKUP($A14,'Data Vlaue (Cr)'!$C:$FB,5)</f>
        <v>1365.25</v>
      </c>
      <c r="F14" s="75">
        <f t="shared" si="0"/>
        <v>3.2000000000000455</v>
      </c>
      <c r="G14" s="75">
        <f t="shared" si="1"/>
        <v>-5.863168309574953E-2</v>
      </c>
      <c r="H14" s="75">
        <f>VLOOKUP($A14,'Data Vlaue (Cr)'!$C:$FB,99)</f>
        <v>4688</v>
      </c>
      <c r="I14" s="75">
        <f>VLOOKUP($A14,'Data Vlaue (Cr)'!$C:$FB,100)</f>
        <v>4326</v>
      </c>
      <c r="J14" s="75">
        <f t="shared" si="2"/>
        <v>362</v>
      </c>
      <c r="K14" s="75">
        <f t="shared" si="3"/>
        <v>7.7218430034129693</v>
      </c>
      <c r="L14" s="75">
        <f>VLOOKUP($A14,'Data Vlaue (Cr)'!$C:$FB,67)</f>
        <v>5833</v>
      </c>
      <c r="M14" s="75">
        <f>VLOOKUP($A14,'Data Vlaue (Cr)'!$C:$FB,68)</f>
        <v>7661</v>
      </c>
      <c r="N14" s="75">
        <f t="shared" si="4"/>
        <v>-1828</v>
      </c>
      <c r="O14" s="75">
        <f>N14/L14*100</f>
        <v>-31.338933653351621</v>
      </c>
      <c r="P14" s="75">
        <f>VLOOKUP($A14,'Data Vlaue (Cr)'!$C:$FB,119)</f>
        <v>0.65</v>
      </c>
      <c r="Q14" s="75">
        <f>VLOOKUP($A14,'Data Vlaue (Cr)'!$C:$FB,122)*100</f>
        <v>-8.4500000000000011</v>
      </c>
      <c r="R14" s="75">
        <f>VLOOKUP($A14,'Data Vlaue (Cr)'!$C:$FB,125)</f>
        <v>0.34</v>
      </c>
      <c r="S14" s="75">
        <f>VLOOKUP($A14,'Data Vlaue (Cr)'!$C:$FB,128)*100</f>
        <v>6.25</v>
      </c>
    </row>
    <row r="15" spans="1:19" x14ac:dyDescent="0.25">
      <c r="A15" s="96" t="str">
        <f>'Data Vlaue (Cr)'!C6</f>
        <v>ADANIENT</v>
      </c>
      <c r="B15" s="75">
        <f>VLOOKUP($A15,'Data Vlaue (Cr)'!$C:$FB,2)</f>
        <v>309</v>
      </c>
      <c r="C15" s="75">
        <f>VLOOKUP($A15,'Data Vlaue (Cr)'!$C:$FB,8)</f>
        <v>2300</v>
      </c>
      <c r="D15" s="75">
        <f>VLOOKUP($A15,'Data Vlaue (Cr)'!$C:$FB,4)</f>
        <v>2307.1999999999998</v>
      </c>
      <c r="E15" s="75">
        <f>VLOOKUP($A15,'Data Vlaue (Cr)'!$C:$FB,5)</f>
        <v>2269.1999999999998</v>
      </c>
      <c r="F15" s="75">
        <f t="shared" si="0"/>
        <v>7.1999999999998181</v>
      </c>
      <c r="G15" s="75">
        <f t="shared" si="1"/>
        <v>1.6470180305131761</v>
      </c>
      <c r="H15" s="75">
        <f>VLOOKUP($A15,'Data Vlaue (Cr)'!$C:$FB,99)</f>
        <v>8055</v>
      </c>
      <c r="I15" s="75">
        <f>VLOOKUP($A15,'Data Vlaue (Cr)'!$C:$FB,100)</f>
        <v>7725</v>
      </c>
      <c r="J15" s="75">
        <f t="shared" si="2"/>
        <v>330</v>
      </c>
      <c r="K15" s="75">
        <f t="shared" si="3"/>
        <v>4.0968342644320295</v>
      </c>
      <c r="L15" s="75">
        <f>VLOOKUP($A15,'Data Vlaue (Cr)'!$C:$FB,67)</f>
        <v>10423</v>
      </c>
      <c r="M15" s="75">
        <f>VLOOKUP($A15,'Data Vlaue (Cr)'!$C:$FB,68)</f>
        <v>6490</v>
      </c>
      <c r="N15" s="75">
        <f t="shared" si="4"/>
        <v>3933</v>
      </c>
      <c r="O15" s="75">
        <f t="shared" si="5"/>
        <v>37.733857814448811</v>
      </c>
      <c r="P15" s="75">
        <f>VLOOKUP($A15,'Data Vlaue (Cr)'!$C:$FB,119)</f>
        <v>0.88</v>
      </c>
      <c r="Q15" s="75">
        <f>VLOOKUP($A15,'Data Vlaue (Cr)'!$C:$FB,122)*100</f>
        <v>-7.37</v>
      </c>
      <c r="R15" s="75">
        <f>VLOOKUP($A15,'Data Vlaue (Cr)'!$C:$FB,125)</f>
        <v>0.38</v>
      </c>
      <c r="S15" s="75">
        <f>VLOOKUP($A15,'Data Vlaue (Cr)'!$C:$FB,128)*100</f>
        <v>-30.91</v>
      </c>
    </row>
    <row r="16" spans="1:19" x14ac:dyDescent="0.25">
      <c r="A16" s="96" t="str">
        <f>'Data Vlaue (Cr)'!C7</f>
        <v>ADANIGREEN</v>
      </c>
      <c r="B16" s="75">
        <f>VLOOKUP($A16,'Data Vlaue (Cr)'!$C:$FB,2)</f>
        <v>600</v>
      </c>
      <c r="C16" s="75">
        <f>VLOOKUP($A16,'Data Vlaue (Cr)'!$C:$FB,8)</f>
        <v>1214.1500000000001</v>
      </c>
      <c r="D16" s="75">
        <f>VLOOKUP($A16,'Data Vlaue (Cr)'!$C:$FB,4)</f>
        <v>1213.2</v>
      </c>
      <c r="E16" s="75">
        <f>VLOOKUP($A16,'Data Vlaue (Cr)'!$C:$FB,5)</f>
        <v>1198.25</v>
      </c>
      <c r="F16" s="75">
        <f t="shared" si="0"/>
        <v>-0.95000000000004547</v>
      </c>
      <c r="G16" s="75">
        <f t="shared" si="1"/>
        <v>1.2322782723376233</v>
      </c>
      <c r="H16" s="75">
        <f>VLOOKUP($A16,'Data Vlaue (Cr)'!$C:$FB,99)</f>
        <v>5172</v>
      </c>
      <c r="I16" s="75">
        <f>VLOOKUP($A16,'Data Vlaue (Cr)'!$C:$FB,100)</f>
        <v>4772</v>
      </c>
      <c r="J16" s="75">
        <f t="shared" si="2"/>
        <v>400</v>
      </c>
      <c r="K16" s="75">
        <f t="shared" si="3"/>
        <v>7.7339520494972929</v>
      </c>
      <c r="L16" s="75">
        <f>VLOOKUP($A16,'Data Vlaue (Cr)'!$C:$FB,67)</f>
        <v>8566</v>
      </c>
      <c r="M16" s="75">
        <f>VLOOKUP($A16,'Data Vlaue (Cr)'!$C:$FB,68)</f>
        <v>5955</v>
      </c>
      <c r="N16" s="75">
        <f t="shared" si="4"/>
        <v>2611</v>
      </c>
      <c r="O16" s="75">
        <f t="shared" si="5"/>
        <v>30.480971281811815</v>
      </c>
      <c r="P16" s="75">
        <f>VLOOKUP($A16,'Data Vlaue (Cr)'!$C:$FB,119)</f>
        <v>0.67</v>
      </c>
      <c r="Q16" s="75">
        <f>VLOOKUP($A16,'Data Vlaue (Cr)'!$C:$FB,122)*100</f>
        <v>-9.4600000000000009</v>
      </c>
      <c r="R16" s="75">
        <f>VLOOKUP($A16,'Data Vlaue (Cr)'!$C:$FB,125)</f>
        <v>0.31</v>
      </c>
      <c r="S16" s="75">
        <f>VLOOKUP($A16,'Data Vlaue (Cr)'!$C:$FB,128)*100</f>
        <v>-6.0600000000000005</v>
      </c>
    </row>
    <row r="17" spans="1:19" x14ac:dyDescent="0.25">
      <c r="A17" s="96" t="str">
        <f>'Data Vlaue (Cr)'!C8</f>
        <v>ADANIPORTS</v>
      </c>
      <c r="B17" s="75">
        <f>VLOOKUP($A17,'Data Vlaue (Cr)'!$C:$FB,2)</f>
        <v>475</v>
      </c>
      <c r="C17" s="75">
        <f>VLOOKUP($A17,'Data Vlaue (Cr)'!$C:$FB,8)</f>
        <v>1602.9</v>
      </c>
      <c r="D17" s="75">
        <f>VLOOKUP($A17,'Data Vlaue (Cr)'!$C:$FB,4)</f>
        <v>1599.8</v>
      </c>
      <c r="E17" s="75">
        <f>VLOOKUP($A17,'Data Vlaue (Cr)'!$C:$FB,5)</f>
        <v>1591</v>
      </c>
      <c r="F17" s="75">
        <f t="shared" si="0"/>
        <v>-3.1000000000001364</v>
      </c>
      <c r="G17" s="75">
        <f t="shared" si="1"/>
        <v>0.55006875859482152</v>
      </c>
      <c r="H17" s="75">
        <f>VLOOKUP($A17,'Data Vlaue (Cr)'!$C:$FB,99)</f>
        <v>6286</v>
      </c>
      <c r="I17" s="75">
        <f>VLOOKUP($A17,'Data Vlaue (Cr)'!$C:$FB,100)</f>
        <v>6326</v>
      </c>
      <c r="J17" s="75">
        <f t="shared" si="2"/>
        <v>-40</v>
      </c>
      <c r="K17" s="75">
        <f t="shared" si="3"/>
        <v>-0.63633471205854275</v>
      </c>
      <c r="L17" s="75">
        <f>VLOOKUP($A17,'Data Vlaue (Cr)'!$C:$FB,67)</f>
        <v>5540</v>
      </c>
      <c r="M17" s="75">
        <f>VLOOKUP($A17,'Data Vlaue (Cr)'!$C:$FB,68)</f>
        <v>3701</v>
      </c>
      <c r="N17" s="75">
        <f t="shared" si="4"/>
        <v>1839</v>
      </c>
      <c r="O17" s="75">
        <f t="shared" si="5"/>
        <v>33.194945848375454</v>
      </c>
      <c r="P17" s="75">
        <f>VLOOKUP($A17,'Data Vlaue (Cr)'!$C:$FB,119)</f>
        <v>0.85</v>
      </c>
      <c r="Q17" s="75">
        <f>VLOOKUP($A17,'Data Vlaue (Cr)'!$C:$FB,122)*100</f>
        <v>-2.2999999999999998</v>
      </c>
      <c r="R17" s="75">
        <f>VLOOKUP($A17,'Data Vlaue (Cr)'!$C:$FB,125)</f>
        <v>0.57999999999999996</v>
      </c>
      <c r="S17" s="75">
        <f>VLOOKUP($A17,'Data Vlaue (Cr)'!$C:$FB,128)*100</f>
        <v>-3.3300000000000005</v>
      </c>
    </row>
    <row r="18" spans="1:19" x14ac:dyDescent="0.25">
      <c r="A18" s="96" t="str">
        <f>'Data Vlaue (Cr)'!C9</f>
        <v>ADANIPOWER</v>
      </c>
      <c r="B18" s="75">
        <f>VLOOKUP($A18,'Data Vlaue (Cr)'!$C:$FB,2)</f>
        <v>3550</v>
      </c>
      <c r="C18" s="75">
        <f>VLOOKUP($A18,'Data Vlaue (Cr)'!$C:$FB,8)</f>
        <v>214.18</v>
      </c>
      <c r="D18" s="75">
        <f>VLOOKUP($A18,'Data Vlaue (Cr)'!$C:$FB,4)</f>
        <v>214.22</v>
      </c>
      <c r="E18" s="75">
        <f>VLOOKUP($A18,'Data Vlaue (Cr)'!$C:$FB,5)</f>
        <v>215.39</v>
      </c>
      <c r="F18" s="75">
        <f t="shared" si="0"/>
        <v>3.9999999999992042E-2</v>
      </c>
      <c r="G18" s="75">
        <f t="shared" si="1"/>
        <v>-0.54616749136401255</v>
      </c>
      <c r="H18" s="75">
        <f>VLOOKUP($A18,'Data Vlaue (Cr)'!$C:$FB,99)</f>
        <v>3314</v>
      </c>
      <c r="I18" s="75">
        <f>VLOOKUP($A18,'Data Vlaue (Cr)'!$C:$FB,100)</f>
        <v>3275</v>
      </c>
      <c r="J18" s="75">
        <f t="shared" si="2"/>
        <v>39</v>
      </c>
      <c r="K18" s="75">
        <f t="shared" si="3"/>
        <v>1.1768255884127943</v>
      </c>
      <c r="L18" s="75">
        <f>VLOOKUP($A18,'Data Vlaue (Cr)'!$C:$FB,67)</f>
        <v>3459</v>
      </c>
      <c r="M18" s="75">
        <f>VLOOKUP($A18,'Data Vlaue (Cr)'!$C:$FB,68)</f>
        <v>7011</v>
      </c>
      <c r="N18" s="75">
        <f t="shared" si="4"/>
        <v>-3552</v>
      </c>
      <c r="O18" s="75">
        <f t="shared" si="5"/>
        <v>-102.68863833477883</v>
      </c>
      <c r="P18" s="75">
        <f>VLOOKUP($A18,'Data Vlaue (Cr)'!$C:$FB,119)</f>
        <v>0.79</v>
      </c>
      <c r="Q18" s="75">
        <f>VLOOKUP($A18,'Data Vlaue (Cr)'!$C:$FB,122)*100</f>
        <v>-8.14</v>
      </c>
      <c r="R18" s="75">
        <f>VLOOKUP($A18,'Data Vlaue (Cr)'!$C:$FB,125)</f>
        <v>0.48</v>
      </c>
      <c r="S18" s="75">
        <f>VLOOKUP($A18,'Data Vlaue (Cr)'!$C:$FB,128)*100</f>
        <v>45.45</v>
      </c>
    </row>
    <row r="19" spans="1:19" x14ac:dyDescent="0.25">
      <c r="A19" s="96" t="str">
        <f>'Data Vlaue (Cr)'!C10</f>
        <v>ALKEM</v>
      </c>
      <c r="B19" s="75">
        <f>VLOOKUP($A19,'Data Vlaue (Cr)'!$C:$FB,2)</f>
        <v>125</v>
      </c>
      <c r="C19" s="75">
        <f>VLOOKUP($A19,'Data Vlaue (Cr)'!$C:$FB,8)</f>
        <v>5520.5</v>
      </c>
      <c r="D19" s="75">
        <f>VLOOKUP($A19,'Data Vlaue (Cr)'!$C:$FB,4)</f>
        <v>5511</v>
      </c>
      <c r="E19" s="75">
        <f>VLOOKUP($A19,'Data Vlaue (Cr)'!$C:$FB,5)</f>
        <v>5599.5</v>
      </c>
      <c r="F19" s="75">
        <f t="shared" si="0"/>
        <v>-9.5</v>
      </c>
      <c r="G19" s="75">
        <f t="shared" si="1"/>
        <v>-1.6058791507893304</v>
      </c>
      <c r="H19" s="75">
        <f>VLOOKUP($A19,'Data Vlaue (Cr)'!$C:$FB,99)</f>
        <v>985</v>
      </c>
      <c r="I19" s="75">
        <f>VLOOKUP($A19,'Data Vlaue (Cr)'!$C:$FB,100)</f>
        <v>963</v>
      </c>
      <c r="J19" s="75">
        <f t="shared" si="2"/>
        <v>22</v>
      </c>
      <c r="K19" s="75">
        <f t="shared" si="3"/>
        <v>2.233502538071066</v>
      </c>
      <c r="L19" s="75">
        <f>VLOOKUP($A19,'Data Vlaue (Cr)'!$C:$FB,67)</f>
        <v>1343</v>
      </c>
      <c r="M19" s="75">
        <f>VLOOKUP($A19,'Data Vlaue (Cr)'!$C:$FB,68)</f>
        <v>758</v>
      </c>
      <c r="N19" s="75">
        <f t="shared" si="4"/>
        <v>585</v>
      </c>
      <c r="O19" s="75">
        <f t="shared" si="5"/>
        <v>43.559195830230827</v>
      </c>
      <c r="P19" s="75">
        <f>VLOOKUP($A19,'Data Vlaue (Cr)'!$C:$FB,119)</f>
        <v>0.69</v>
      </c>
      <c r="Q19" s="75">
        <f>VLOOKUP($A19,'Data Vlaue (Cr)'!$C:$FB,122)*100</f>
        <v>-8</v>
      </c>
      <c r="R19" s="75">
        <f>VLOOKUP($A19,'Data Vlaue (Cr)'!$C:$FB,125)</f>
        <v>0.54</v>
      </c>
      <c r="S19" s="75">
        <f>VLOOKUP($A19,'Data Vlaue (Cr)'!$C:$FB,128)*100</f>
        <v>-1.82</v>
      </c>
    </row>
    <row r="20" spans="1:19" x14ac:dyDescent="0.25">
      <c r="A20" s="96" t="str">
        <f>'Data Vlaue (Cr)'!C11</f>
        <v>AMBER</v>
      </c>
      <c r="B20" s="75">
        <f>VLOOKUP($A20,'Data Vlaue (Cr)'!$C:$FB,2)</f>
        <v>100</v>
      </c>
      <c r="C20" s="75">
        <f>VLOOKUP($A20,'Data Vlaue (Cr)'!$C:$FB,8)</f>
        <v>7795</v>
      </c>
      <c r="D20" s="75">
        <f>VLOOKUP($A20,'Data Vlaue (Cr)'!$C:$FB,4)</f>
        <v>7817</v>
      </c>
      <c r="E20" s="75">
        <f>VLOOKUP($A20,'Data Vlaue (Cr)'!$C:$FB,5)</f>
        <v>7807</v>
      </c>
      <c r="F20" s="75">
        <f t="shared" si="0"/>
        <v>22</v>
      </c>
      <c r="G20" s="75">
        <f t="shared" si="1"/>
        <v>0.12792631444288091</v>
      </c>
      <c r="H20" s="75">
        <f>VLOOKUP($A20,'Data Vlaue (Cr)'!$C:$FB,99)</f>
        <v>2246</v>
      </c>
      <c r="I20" s="75">
        <f>VLOOKUP($A20,'Data Vlaue (Cr)'!$C:$FB,100)</f>
        <v>2319</v>
      </c>
      <c r="J20" s="75">
        <f t="shared" si="2"/>
        <v>-73</v>
      </c>
      <c r="K20" s="75">
        <f t="shared" si="3"/>
        <v>-3.2502226179875331</v>
      </c>
      <c r="L20" s="75">
        <f>VLOOKUP($A20,'Data Vlaue (Cr)'!$C:$FB,67)</f>
        <v>2497</v>
      </c>
      <c r="M20" s="75">
        <f>VLOOKUP($A20,'Data Vlaue (Cr)'!$C:$FB,68)</f>
        <v>1832</v>
      </c>
      <c r="N20" s="75">
        <f t="shared" si="4"/>
        <v>665</v>
      </c>
      <c r="O20" s="75">
        <f t="shared" si="5"/>
        <v>26.631958350020025</v>
      </c>
      <c r="P20" s="75">
        <f>VLOOKUP($A20,'Data Vlaue (Cr)'!$C:$FB,119)</f>
        <v>0.78</v>
      </c>
      <c r="Q20" s="75">
        <f>VLOOKUP($A20,'Data Vlaue (Cr)'!$C:$FB,122)*100</f>
        <v>5.41</v>
      </c>
      <c r="R20" s="75">
        <f>VLOOKUP($A20,'Data Vlaue (Cr)'!$C:$FB,125)</f>
        <v>0.63</v>
      </c>
      <c r="S20" s="75">
        <f>VLOOKUP($A20,'Data Vlaue (Cr)'!$C:$FB,128)*100</f>
        <v>21.15</v>
      </c>
    </row>
    <row r="21" spans="1:19" x14ac:dyDescent="0.25">
      <c r="A21" s="96" t="str">
        <f>'Data Vlaue (Cr)'!C12</f>
        <v>AMBUJACEM</v>
      </c>
      <c r="B21" s="75">
        <f>VLOOKUP($A21,'Data Vlaue (Cr)'!$C:$FB,2)</f>
        <v>1050</v>
      </c>
      <c r="C21" s="75">
        <f>VLOOKUP($A21,'Data Vlaue (Cr)'!$C:$FB,8)</f>
        <v>450.4</v>
      </c>
      <c r="D21" s="75">
        <f>VLOOKUP($A21,'Data Vlaue (Cr)'!$C:$FB,4)</f>
        <v>449.75</v>
      </c>
      <c r="E21" s="75">
        <f>VLOOKUP($A21,'Data Vlaue (Cr)'!$C:$FB,5)</f>
        <v>461.45</v>
      </c>
      <c r="F21" s="75">
        <f t="shared" si="0"/>
        <v>-0.64999999999997726</v>
      </c>
      <c r="G21" s="75">
        <f t="shared" si="1"/>
        <v>-2.6014452473596417</v>
      </c>
      <c r="H21" s="75">
        <f>VLOOKUP($A21,'Data Vlaue (Cr)'!$C:$FB,99)</f>
        <v>3601</v>
      </c>
      <c r="I21" s="75">
        <f>VLOOKUP($A21,'Data Vlaue (Cr)'!$C:$FB,100)</f>
        <v>3564</v>
      </c>
      <c r="J21" s="75">
        <f t="shared" si="2"/>
        <v>37</v>
      </c>
      <c r="K21" s="75">
        <f t="shared" si="3"/>
        <v>1.0274923632324355</v>
      </c>
      <c r="L21" s="75">
        <f>VLOOKUP($A21,'Data Vlaue (Cr)'!$C:$FB,67)</f>
        <v>1804</v>
      </c>
      <c r="M21" s="75">
        <f>VLOOKUP($A21,'Data Vlaue (Cr)'!$C:$FB,68)</f>
        <v>1860</v>
      </c>
      <c r="N21" s="75">
        <f t="shared" si="4"/>
        <v>-56</v>
      </c>
      <c r="O21" s="75">
        <f t="shared" si="5"/>
        <v>-3.1042128603104215</v>
      </c>
      <c r="P21" s="75">
        <f>VLOOKUP($A21,'Data Vlaue (Cr)'!$C:$FB,119)</f>
        <v>0.84</v>
      </c>
      <c r="Q21" s="75">
        <f>VLOOKUP($A21,'Data Vlaue (Cr)'!$C:$FB,122)*100</f>
        <v>-9.68</v>
      </c>
      <c r="R21" s="75">
        <f>VLOOKUP($A21,'Data Vlaue (Cr)'!$C:$FB,125)</f>
        <v>0.36</v>
      </c>
      <c r="S21" s="75">
        <f>VLOOKUP($A21,'Data Vlaue (Cr)'!$C:$FB,128)*100</f>
        <v>-25</v>
      </c>
    </row>
    <row r="22" spans="1:19" x14ac:dyDescent="0.25">
      <c r="A22" s="96" t="str">
        <f>'Data Vlaue (Cr)'!C13</f>
        <v>ANGELONE</v>
      </c>
      <c r="B22" s="75">
        <f>VLOOKUP($A22,'Data Vlaue (Cr)'!$C:$FB,2)</f>
        <v>2500</v>
      </c>
      <c r="C22" s="75">
        <f>VLOOKUP($A22,'Data Vlaue (Cr)'!$C:$FB,8)</f>
        <v>321.20999999999998</v>
      </c>
      <c r="D22" s="75">
        <f>VLOOKUP($A22,'Data Vlaue (Cr)'!$C:$FB,4)</f>
        <v>321.87</v>
      </c>
      <c r="E22" s="75">
        <f>VLOOKUP($A22,'Data Vlaue (Cr)'!$C:$FB,5)</f>
        <v>329.19</v>
      </c>
      <c r="F22" s="75">
        <f t="shared" si="0"/>
        <v>0.66000000000002501</v>
      </c>
      <c r="G22" s="75">
        <f t="shared" si="1"/>
        <v>-2.2742100848168496</v>
      </c>
      <c r="H22" s="75">
        <f>VLOOKUP($A22,'Data Vlaue (Cr)'!$C:$FB,99)</f>
        <v>2829</v>
      </c>
      <c r="I22" s="75">
        <f>VLOOKUP($A22,'Data Vlaue (Cr)'!$C:$FB,100)</f>
        <v>3049</v>
      </c>
      <c r="J22" s="75">
        <f t="shared" si="2"/>
        <v>-220</v>
      </c>
      <c r="K22" s="75">
        <f t="shared" si="3"/>
        <v>-7.7765995051254864</v>
      </c>
      <c r="L22" s="75">
        <f>VLOOKUP($A22,'Data Vlaue (Cr)'!$C:$FB,67)</f>
        <v>3022</v>
      </c>
      <c r="M22" s="75">
        <f>VLOOKUP($A22,'Data Vlaue (Cr)'!$C:$FB,68)</f>
        <v>3166</v>
      </c>
      <c r="N22" s="75">
        <f t="shared" si="4"/>
        <v>-144</v>
      </c>
      <c r="O22" s="75">
        <f t="shared" si="5"/>
        <v>-4.7650562541363337</v>
      </c>
      <c r="P22" s="75">
        <f>VLOOKUP($A22,'Data Vlaue (Cr)'!$C:$FB,119)</f>
        <v>1.02</v>
      </c>
      <c r="Q22" s="75">
        <f>VLOOKUP($A22,'Data Vlaue (Cr)'!$C:$FB,122)*100</f>
        <v>-9.73</v>
      </c>
      <c r="R22" s="75">
        <f>VLOOKUP($A22,'Data Vlaue (Cr)'!$C:$FB,125)</f>
        <v>0.97</v>
      </c>
      <c r="S22" s="75">
        <f>VLOOKUP($A22,'Data Vlaue (Cr)'!$C:$FB,128)*100</f>
        <v>40.58</v>
      </c>
    </row>
    <row r="23" spans="1:19" x14ac:dyDescent="0.25">
      <c r="A23" s="96" t="str">
        <f>'Data Vlaue (Cr)'!C14</f>
        <v>APLAPOLLO</v>
      </c>
      <c r="B23" s="75">
        <f>VLOOKUP($A23,'Data Vlaue (Cr)'!$C:$FB,2)</f>
        <v>350</v>
      </c>
      <c r="C23" s="75">
        <f>VLOOKUP($A23,'Data Vlaue (Cr)'!$C:$FB,8)</f>
        <v>2022.9</v>
      </c>
      <c r="D23" s="75">
        <f>VLOOKUP($A23,'Data Vlaue (Cr)'!$C:$FB,4)</f>
        <v>2025.7</v>
      </c>
      <c r="E23" s="75">
        <f>VLOOKUP($A23,'Data Vlaue (Cr)'!$C:$FB,5)</f>
        <v>2118.4</v>
      </c>
      <c r="F23" s="75">
        <f t="shared" si="0"/>
        <v>2.7999999999999545</v>
      </c>
      <c r="G23" s="75">
        <f t="shared" si="1"/>
        <v>-4.5761958829046776</v>
      </c>
      <c r="H23" s="75">
        <f>VLOOKUP($A23,'Data Vlaue (Cr)'!$C:$FB,99)</f>
        <v>1471</v>
      </c>
      <c r="I23" s="75">
        <f>VLOOKUP($A23,'Data Vlaue (Cr)'!$C:$FB,100)</f>
        <v>1407</v>
      </c>
      <c r="J23" s="75">
        <f t="shared" si="2"/>
        <v>64</v>
      </c>
      <c r="K23" s="75">
        <f t="shared" si="3"/>
        <v>4.3507817811012917</v>
      </c>
      <c r="L23" s="75">
        <f>VLOOKUP($A23,'Data Vlaue (Cr)'!$C:$FB,67)</f>
        <v>1950</v>
      </c>
      <c r="M23" s="75">
        <f>VLOOKUP($A23,'Data Vlaue (Cr)'!$C:$FB,68)</f>
        <v>394</v>
      </c>
      <c r="N23" s="75">
        <f t="shared" si="4"/>
        <v>1556</v>
      </c>
      <c r="O23" s="75">
        <f t="shared" si="5"/>
        <v>79.794871794871796</v>
      </c>
      <c r="P23" s="75">
        <f>VLOOKUP($A23,'Data Vlaue (Cr)'!$C:$FB,119)</f>
        <v>0.75</v>
      </c>
      <c r="Q23" s="75">
        <f>VLOOKUP($A23,'Data Vlaue (Cr)'!$C:$FB,122)*100</f>
        <v>11.940000000000001</v>
      </c>
      <c r="R23" s="75">
        <f>VLOOKUP($A23,'Data Vlaue (Cr)'!$C:$FB,125)</f>
        <v>1.22</v>
      </c>
      <c r="S23" s="75">
        <f>VLOOKUP($A23,'Data Vlaue (Cr)'!$C:$FB,128)*100</f>
        <v>320.69</v>
      </c>
    </row>
    <row r="24" spans="1:19" x14ac:dyDescent="0.25">
      <c r="A24" s="96" t="str">
        <f>'Data Vlaue (Cr)'!C15</f>
        <v>APOLLOHOSP</v>
      </c>
      <c r="B24" s="75">
        <f>VLOOKUP($A24,'Data Vlaue (Cr)'!$C:$FB,2)</f>
        <v>125</v>
      </c>
      <c r="C24" s="75">
        <f>VLOOKUP($A24,'Data Vlaue (Cr)'!$C:$FB,8)</f>
        <v>7781</v>
      </c>
      <c r="D24" s="75">
        <f>VLOOKUP($A24,'Data Vlaue (Cr)'!$C:$FB,4)</f>
        <v>7766.5</v>
      </c>
      <c r="E24" s="75">
        <f>VLOOKUP($A24,'Data Vlaue (Cr)'!$C:$FB,5)</f>
        <v>7646</v>
      </c>
      <c r="F24" s="75">
        <f t="shared" si="0"/>
        <v>-14.5</v>
      </c>
      <c r="G24" s="75">
        <f t="shared" si="1"/>
        <v>1.5515354406746926</v>
      </c>
      <c r="H24" s="75">
        <f>VLOOKUP($A24,'Data Vlaue (Cr)'!$C:$FB,99)</f>
        <v>3035</v>
      </c>
      <c r="I24" s="75">
        <f>VLOOKUP($A24,'Data Vlaue (Cr)'!$C:$FB,100)</f>
        <v>3061</v>
      </c>
      <c r="J24" s="75">
        <f t="shared" si="2"/>
        <v>-26</v>
      </c>
      <c r="K24" s="75">
        <f t="shared" si="3"/>
        <v>-0.85667215815485998</v>
      </c>
      <c r="L24" s="75">
        <f>VLOOKUP($A24,'Data Vlaue (Cr)'!$C:$FB,67)</f>
        <v>4655</v>
      </c>
      <c r="M24" s="75">
        <f>VLOOKUP($A24,'Data Vlaue (Cr)'!$C:$FB,68)</f>
        <v>5669</v>
      </c>
      <c r="N24" s="75">
        <f t="shared" si="4"/>
        <v>-1014</v>
      </c>
      <c r="O24" s="75">
        <f t="shared" si="5"/>
        <v>-21.783029001074112</v>
      </c>
      <c r="P24" s="75">
        <f>VLOOKUP($A24,'Data Vlaue (Cr)'!$C:$FB,119)</f>
        <v>1.1299999999999999</v>
      </c>
      <c r="Q24" s="75">
        <f>VLOOKUP($A24,'Data Vlaue (Cr)'!$C:$FB,122)*100</f>
        <v>20.21</v>
      </c>
      <c r="R24" s="75">
        <f>VLOOKUP($A24,'Data Vlaue (Cr)'!$C:$FB,125)</f>
        <v>0.55000000000000004</v>
      </c>
      <c r="S24" s="75">
        <f>VLOOKUP($A24,'Data Vlaue (Cr)'!$C:$FB,128)*100</f>
        <v>-49.54</v>
      </c>
    </row>
    <row r="25" spans="1:19" x14ac:dyDescent="0.25">
      <c r="A25" s="96" t="str">
        <f>'Data Vlaue (Cr)'!C16</f>
        <v>ASHOKLEY</v>
      </c>
      <c r="B25" s="75">
        <f>VLOOKUP($A25,'Data Vlaue (Cr)'!$C:$FB,2)</f>
        <v>5000</v>
      </c>
      <c r="C25" s="75">
        <f>VLOOKUP($A25,'Data Vlaue (Cr)'!$C:$FB,8)</f>
        <v>170.63</v>
      </c>
      <c r="D25" s="75">
        <f>VLOOKUP($A25,'Data Vlaue (Cr)'!$C:$FB,4)</f>
        <v>170.92</v>
      </c>
      <c r="E25" s="75">
        <f>VLOOKUP($A25,'Data Vlaue (Cr)'!$C:$FB,5)</f>
        <v>178.94</v>
      </c>
      <c r="F25" s="75">
        <f t="shared" si="0"/>
        <v>0.28999999999999204</v>
      </c>
      <c r="G25" s="75">
        <f t="shared" si="1"/>
        <v>-4.6922536859349471</v>
      </c>
      <c r="H25" s="75">
        <f>VLOOKUP($A25,'Data Vlaue (Cr)'!$C:$FB,99)</f>
        <v>5617</v>
      </c>
      <c r="I25" s="75">
        <f>VLOOKUP($A25,'Data Vlaue (Cr)'!$C:$FB,100)</f>
        <v>5349</v>
      </c>
      <c r="J25" s="75">
        <f t="shared" si="2"/>
        <v>268</v>
      </c>
      <c r="K25" s="75">
        <f t="shared" si="3"/>
        <v>4.7712301940537651</v>
      </c>
      <c r="L25" s="75">
        <f>VLOOKUP($A25,'Data Vlaue (Cr)'!$C:$FB,67)</f>
        <v>6524</v>
      </c>
      <c r="M25" s="75">
        <f>VLOOKUP($A25,'Data Vlaue (Cr)'!$C:$FB,68)</f>
        <v>5698</v>
      </c>
      <c r="N25" s="75">
        <f t="shared" si="4"/>
        <v>826</v>
      </c>
      <c r="O25" s="75">
        <f t="shared" si="5"/>
        <v>12.660944206008583</v>
      </c>
      <c r="P25" s="75">
        <f>VLOOKUP($A25,'Data Vlaue (Cr)'!$C:$FB,119)</f>
        <v>0.63</v>
      </c>
      <c r="Q25" s="75">
        <f>VLOOKUP($A25,'Data Vlaue (Cr)'!$C:$FB,122)*100</f>
        <v>-8.6999999999999993</v>
      </c>
      <c r="R25" s="75">
        <f>VLOOKUP($A25,'Data Vlaue (Cr)'!$C:$FB,125)</f>
        <v>0.6</v>
      </c>
      <c r="S25" s="75">
        <f>VLOOKUP($A25,'Data Vlaue (Cr)'!$C:$FB,128)*100</f>
        <v>36.36</v>
      </c>
    </row>
    <row r="26" spans="1:19" x14ac:dyDescent="0.25">
      <c r="A26" s="96" t="str">
        <f>'Data Vlaue (Cr)'!C17</f>
        <v>ASIANPAINT</v>
      </c>
      <c r="B26" s="75">
        <f>VLOOKUP($A26,'Data Vlaue (Cr)'!$C:$FB,2)</f>
        <v>250</v>
      </c>
      <c r="C26" s="75">
        <f>VLOOKUP($A26,'Data Vlaue (Cr)'!$C:$FB,8)</f>
        <v>2521.4</v>
      </c>
      <c r="D26" s="75">
        <f>VLOOKUP($A26,'Data Vlaue (Cr)'!$C:$FB,4)</f>
        <v>2516.8000000000002</v>
      </c>
      <c r="E26" s="75">
        <f>VLOOKUP($A26,'Data Vlaue (Cr)'!$C:$FB,5)</f>
        <v>2559.9</v>
      </c>
      <c r="F26" s="75">
        <f t="shared" si="0"/>
        <v>-4.5999999999999091</v>
      </c>
      <c r="G26" s="75">
        <f t="shared" si="1"/>
        <v>-1.7124920534011405</v>
      </c>
      <c r="H26" s="75">
        <f>VLOOKUP($A26,'Data Vlaue (Cr)'!$C:$FB,99)</f>
        <v>6349</v>
      </c>
      <c r="I26" s="75">
        <f>VLOOKUP($A26,'Data Vlaue (Cr)'!$C:$FB,100)</f>
        <v>6504</v>
      </c>
      <c r="J26" s="75">
        <f t="shared" si="2"/>
        <v>-155</v>
      </c>
      <c r="K26" s="75">
        <f t="shared" si="3"/>
        <v>-2.441329343203654</v>
      </c>
      <c r="L26" s="75">
        <f>VLOOKUP($A26,'Data Vlaue (Cr)'!$C:$FB,67)</f>
        <v>5159</v>
      </c>
      <c r="M26" s="75">
        <f>VLOOKUP($A26,'Data Vlaue (Cr)'!$C:$FB,68)</f>
        <v>4022</v>
      </c>
      <c r="N26" s="75">
        <f t="shared" si="4"/>
        <v>1137</v>
      </c>
      <c r="O26" s="75">
        <f t="shared" si="5"/>
        <v>22.039154874975768</v>
      </c>
      <c r="P26" s="75">
        <f>VLOOKUP($A26,'Data Vlaue (Cr)'!$C:$FB,119)</f>
        <v>1.1399999999999999</v>
      </c>
      <c r="Q26" s="75">
        <f>VLOOKUP($A26,'Data Vlaue (Cr)'!$C:$FB,122)*100</f>
        <v>-8.7999999999999989</v>
      </c>
      <c r="R26" s="75">
        <f>VLOOKUP($A26,'Data Vlaue (Cr)'!$C:$FB,125)</f>
        <v>1.1399999999999999</v>
      </c>
      <c r="S26" s="75">
        <f>VLOOKUP($A26,'Data Vlaue (Cr)'!$C:$FB,128)*100</f>
        <v>37.35</v>
      </c>
    </row>
    <row r="27" spans="1:19" x14ac:dyDescent="0.25">
      <c r="A27" s="96" t="str">
        <f>'Data Vlaue (Cr)'!C18</f>
        <v>ASTRAL</v>
      </c>
      <c r="B27" s="75">
        <f>VLOOKUP($A27,'Data Vlaue (Cr)'!$C:$FB,2)</f>
        <v>425</v>
      </c>
      <c r="C27" s="75">
        <f>VLOOKUP($A27,'Data Vlaue (Cr)'!$C:$FB,8)</f>
        <v>1574.9</v>
      </c>
      <c r="D27" s="75">
        <f>VLOOKUP($A27,'Data Vlaue (Cr)'!$C:$FB,4)</f>
        <v>1575.3</v>
      </c>
      <c r="E27" s="75">
        <f>VLOOKUP($A27,'Data Vlaue (Cr)'!$C:$FB,5)</f>
        <v>1581.4</v>
      </c>
      <c r="F27" s="75">
        <f t="shared" si="0"/>
        <v>0.39999999999986358</v>
      </c>
      <c r="G27" s="75">
        <f t="shared" si="1"/>
        <v>-0.38722782961976365</v>
      </c>
      <c r="H27" s="75">
        <f>VLOOKUP($A27,'Data Vlaue (Cr)'!$C:$FB,99)</f>
        <v>2870</v>
      </c>
      <c r="I27" s="75">
        <f>VLOOKUP($A27,'Data Vlaue (Cr)'!$C:$FB,100)</f>
        <v>3249</v>
      </c>
      <c r="J27" s="75">
        <f t="shared" si="2"/>
        <v>-379</v>
      </c>
      <c r="K27" s="75">
        <f t="shared" si="3"/>
        <v>-13.205574912891985</v>
      </c>
      <c r="L27" s="75">
        <f>VLOOKUP($A27,'Data Vlaue (Cr)'!$C:$FB,67)</f>
        <v>2497</v>
      </c>
      <c r="M27" s="75">
        <f>VLOOKUP($A27,'Data Vlaue (Cr)'!$C:$FB,68)</f>
        <v>1102</v>
      </c>
      <c r="N27" s="75">
        <f t="shared" si="4"/>
        <v>1395</v>
      </c>
      <c r="O27" s="75">
        <f t="shared" si="5"/>
        <v>55.867040448538241</v>
      </c>
      <c r="P27" s="75">
        <f>VLOOKUP($A27,'Data Vlaue (Cr)'!$C:$FB,119)</f>
        <v>0.69</v>
      </c>
      <c r="Q27" s="75">
        <f>VLOOKUP($A27,'Data Vlaue (Cr)'!$C:$FB,122)*100</f>
        <v>11.29</v>
      </c>
      <c r="R27" s="75">
        <f>VLOOKUP($A27,'Data Vlaue (Cr)'!$C:$FB,125)</f>
        <v>0.43</v>
      </c>
      <c r="S27" s="75">
        <f>VLOOKUP($A27,'Data Vlaue (Cr)'!$C:$FB,128)*100</f>
        <v>-15.690000000000001</v>
      </c>
    </row>
    <row r="28" spans="1:19" x14ac:dyDescent="0.25">
      <c r="A28" s="96" t="str">
        <f>'Data Vlaue (Cr)'!C19</f>
        <v>AUBANK</v>
      </c>
      <c r="B28" s="75">
        <f>VLOOKUP($A28,'Data Vlaue (Cr)'!$C:$FB,2)</f>
        <v>1000</v>
      </c>
      <c r="C28" s="75">
        <f>VLOOKUP($A28,'Data Vlaue (Cr)'!$C:$FB,8)</f>
        <v>1056.25</v>
      </c>
      <c r="D28" s="75">
        <f>VLOOKUP($A28,'Data Vlaue (Cr)'!$C:$FB,4)</f>
        <v>1057.5999999999999</v>
      </c>
      <c r="E28" s="75">
        <f>VLOOKUP($A28,'Data Vlaue (Cr)'!$C:$FB,5)</f>
        <v>1042.45</v>
      </c>
      <c r="F28" s="75">
        <f t="shared" si="0"/>
        <v>1.3499999999999091</v>
      </c>
      <c r="G28" s="75">
        <f t="shared" si="1"/>
        <v>1.4324886535552066</v>
      </c>
      <c r="H28" s="75">
        <f>VLOOKUP($A28,'Data Vlaue (Cr)'!$C:$FB,99)</f>
        <v>4712</v>
      </c>
      <c r="I28" s="75">
        <f>VLOOKUP($A28,'Data Vlaue (Cr)'!$C:$FB,100)</f>
        <v>4451</v>
      </c>
      <c r="J28" s="75">
        <f t="shared" si="2"/>
        <v>261</v>
      </c>
      <c r="K28" s="75">
        <f t="shared" si="3"/>
        <v>5.5390492359932093</v>
      </c>
      <c r="L28" s="75">
        <f>VLOOKUP($A28,'Data Vlaue (Cr)'!$C:$FB,67)</f>
        <v>4570</v>
      </c>
      <c r="M28" s="75">
        <f>VLOOKUP($A28,'Data Vlaue (Cr)'!$C:$FB,68)</f>
        <v>3754</v>
      </c>
      <c r="N28" s="75">
        <f t="shared" si="4"/>
        <v>816</v>
      </c>
      <c r="O28" s="75">
        <f t="shared" si="5"/>
        <v>17.855579868708972</v>
      </c>
      <c r="P28" s="75">
        <f>VLOOKUP($A28,'Data Vlaue (Cr)'!$C:$FB,119)</f>
        <v>0.83</v>
      </c>
      <c r="Q28" s="75">
        <f>VLOOKUP($A28,'Data Vlaue (Cr)'!$C:$FB,122)*100</f>
        <v>-6.74</v>
      </c>
      <c r="R28" s="75">
        <f>VLOOKUP($A28,'Data Vlaue (Cr)'!$C:$FB,125)</f>
        <v>0.54</v>
      </c>
      <c r="S28" s="75">
        <f>VLOOKUP($A28,'Data Vlaue (Cr)'!$C:$FB,128)*100</f>
        <v>-1.82</v>
      </c>
    </row>
    <row r="29" spans="1:19" x14ac:dyDescent="0.25">
      <c r="A29" s="96" t="str">
        <f>'Data Vlaue (Cr)'!C20</f>
        <v>AUROPHARMA</v>
      </c>
      <c r="B29" s="75">
        <f>VLOOKUP($A29,'Data Vlaue (Cr)'!$C:$FB,2)</f>
        <v>550</v>
      </c>
      <c r="C29" s="75">
        <f>VLOOKUP($A29,'Data Vlaue (Cr)'!$C:$FB,8)</f>
        <v>1435.4</v>
      </c>
      <c r="D29" s="75">
        <f>VLOOKUP($A29,'Data Vlaue (Cr)'!$C:$FB,4)</f>
        <v>1437.7</v>
      </c>
      <c r="E29" s="75">
        <f>VLOOKUP($A29,'Data Vlaue (Cr)'!$C:$FB,5)</f>
        <v>1417.3</v>
      </c>
      <c r="F29" s="75">
        <f t="shared" si="0"/>
        <v>2.2999999999999545</v>
      </c>
      <c r="G29" s="75">
        <f t="shared" si="1"/>
        <v>1.4189330180148911</v>
      </c>
      <c r="H29" s="75">
        <f>VLOOKUP($A29,'Data Vlaue (Cr)'!$C:$FB,99)</f>
        <v>4360</v>
      </c>
      <c r="I29" s="75">
        <f>VLOOKUP($A29,'Data Vlaue (Cr)'!$C:$FB,100)</f>
        <v>4230</v>
      </c>
      <c r="J29" s="75">
        <f t="shared" si="2"/>
        <v>130</v>
      </c>
      <c r="K29" s="75">
        <f t="shared" si="3"/>
        <v>2.9816513761467891</v>
      </c>
      <c r="L29" s="75">
        <f>VLOOKUP($A29,'Data Vlaue (Cr)'!$C:$FB,67)</f>
        <v>3426</v>
      </c>
      <c r="M29" s="75">
        <f>VLOOKUP($A29,'Data Vlaue (Cr)'!$C:$FB,68)</f>
        <v>1973</v>
      </c>
      <c r="N29" s="75">
        <f t="shared" si="4"/>
        <v>1453</v>
      </c>
      <c r="O29" s="75">
        <f t="shared" si="5"/>
        <v>42.410974897840049</v>
      </c>
      <c r="P29" s="75">
        <f>VLOOKUP($A29,'Data Vlaue (Cr)'!$C:$FB,119)</f>
        <v>0.76</v>
      </c>
      <c r="Q29" s="75">
        <f>VLOOKUP($A29,'Data Vlaue (Cr)'!$C:$FB,122)*100</f>
        <v>13.43</v>
      </c>
      <c r="R29" s="75">
        <f>VLOOKUP($A29,'Data Vlaue (Cr)'!$C:$FB,125)</f>
        <v>0.41</v>
      </c>
      <c r="S29" s="75">
        <f>VLOOKUP($A29,'Data Vlaue (Cr)'!$C:$FB,128)*100</f>
        <v>-25.45</v>
      </c>
    </row>
    <row r="30" spans="1:19" x14ac:dyDescent="0.25">
      <c r="A30" s="96" t="str">
        <f>'Data Vlaue (Cr)'!C21</f>
        <v>AXISBANK</v>
      </c>
      <c r="B30" s="75">
        <f>VLOOKUP($A30,'Data Vlaue (Cr)'!$C:$FB,2)</f>
        <v>625</v>
      </c>
      <c r="C30" s="75">
        <f>VLOOKUP($A30,'Data Vlaue (Cr)'!$C:$FB,8)</f>
        <v>1369.6</v>
      </c>
      <c r="D30" s="75">
        <f>VLOOKUP($A30,'Data Vlaue (Cr)'!$C:$FB,4)</f>
        <v>1367.3</v>
      </c>
      <c r="E30" s="75">
        <f>VLOOKUP($A30,'Data Vlaue (Cr)'!$C:$FB,5)</f>
        <v>1377.7</v>
      </c>
      <c r="F30" s="75">
        <f t="shared" si="0"/>
        <v>-2.2999999999999545</v>
      </c>
      <c r="G30" s="75">
        <f t="shared" si="1"/>
        <v>-0.76062312586850667</v>
      </c>
      <c r="H30" s="75">
        <f>VLOOKUP($A30,'Data Vlaue (Cr)'!$C:$FB,99)</f>
        <v>13579</v>
      </c>
      <c r="I30" s="75">
        <f>VLOOKUP($A30,'Data Vlaue (Cr)'!$C:$FB,100)</f>
        <v>13116</v>
      </c>
      <c r="J30" s="75">
        <f t="shared" si="2"/>
        <v>463</v>
      </c>
      <c r="K30" s="75">
        <f t="shared" si="3"/>
        <v>3.4096767066794311</v>
      </c>
      <c r="L30" s="75">
        <f>VLOOKUP($A30,'Data Vlaue (Cr)'!$C:$FB,67)</f>
        <v>9580</v>
      </c>
      <c r="M30" s="75">
        <f>VLOOKUP($A30,'Data Vlaue (Cr)'!$C:$FB,68)</f>
        <v>6464</v>
      </c>
      <c r="N30" s="75">
        <f t="shared" si="4"/>
        <v>3116</v>
      </c>
      <c r="O30" s="75">
        <f t="shared" si="5"/>
        <v>32.526096033402922</v>
      </c>
      <c r="P30" s="75">
        <f>VLOOKUP($A30,'Data Vlaue (Cr)'!$C:$FB,119)</f>
        <v>0.76</v>
      </c>
      <c r="Q30" s="75">
        <f>VLOOKUP($A30,'Data Vlaue (Cr)'!$C:$FB,122)*100</f>
        <v>-8.43</v>
      </c>
      <c r="R30" s="75">
        <f>VLOOKUP($A30,'Data Vlaue (Cr)'!$C:$FB,125)</f>
        <v>0.79</v>
      </c>
      <c r="S30" s="75">
        <f>VLOOKUP($A30,'Data Vlaue (Cr)'!$C:$FB,128)*100</f>
        <v>16.18</v>
      </c>
    </row>
    <row r="31" spans="1:19" x14ac:dyDescent="0.25">
      <c r="A31" s="96" t="str">
        <f>'Data Vlaue (Cr)'!C22</f>
        <v>BAJAJ-AUTO</v>
      </c>
      <c r="B31" s="75">
        <f>VLOOKUP($A31,'Data Vlaue (Cr)'!$C:$FB,2)</f>
        <v>75</v>
      </c>
      <c r="C31" s="75">
        <f>VLOOKUP($A31,'Data Vlaue (Cr)'!$C:$FB,8)</f>
        <v>9550.5</v>
      </c>
      <c r="D31" s="75">
        <f>VLOOKUP($A31,'Data Vlaue (Cr)'!$C:$FB,4)</f>
        <v>9574</v>
      </c>
      <c r="E31" s="75">
        <f>VLOOKUP($A31,'Data Vlaue (Cr)'!$C:$FB,5)</f>
        <v>9635</v>
      </c>
      <c r="F31" s="75">
        <f t="shared" si="0"/>
        <v>23.5</v>
      </c>
      <c r="G31" s="75">
        <f t="shared" si="1"/>
        <v>-0.6371422602882808</v>
      </c>
      <c r="H31" s="75">
        <f>VLOOKUP($A31,'Data Vlaue (Cr)'!$C:$FB,99)</f>
        <v>5124</v>
      </c>
      <c r="I31" s="75">
        <f>VLOOKUP($A31,'Data Vlaue (Cr)'!$C:$FB,100)</f>
        <v>5289</v>
      </c>
      <c r="J31" s="75">
        <f t="shared" si="2"/>
        <v>-165</v>
      </c>
      <c r="K31" s="75">
        <f t="shared" si="3"/>
        <v>-3.2201405152224827</v>
      </c>
      <c r="L31" s="75">
        <f>VLOOKUP($A31,'Data Vlaue (Cr)'!$C:$FB,67)</f>
        <v>5324</v>
      </c>
      <c r="M31" s="75">
        <f>VLOOKUP($A31,'Data Vlaue (Cr)'!$C:$FB,68)</f>
        <v>3268</v>
      </c>
      <c r="N31" s="75">
        <f t="shared" si="4"/>
        <v>2056</v>
      </c>
      <c r="O31" s="75">
        <f t="shared" si="5"/>
        <v>38.617580766341099</v>
      </c>
      <c r="P31" s="75">
        <f>VLOOKUP($A31,'Data Vlaue (Cr)'!$C:$FB,119)</f>
        <v>0.93</v>
      </c>
      <c r="Q31" s="75">
        <f>VLOOKUP($A31,'Data Vlaue (Cr)'!$C:$FB,122)*100</f>
        <v>8.14</v>
      </c>
      <c r="R31" s="75">
        <f>VLOOKUP($A31,'Data Vlaue (Cr)'!$C:$FB,125)</f>
        <v>0.74</v>
      </c>
      <c r="S31" s="75">
        <f>VLOOKUP($A31,'Data Vlaue (Cr)'!$C:$FB,128)*100</f>
        <v>19.350000000000001</v>
      </c>
    </row>
    <row r="32" spans="1:19" x14ac:dyDescent="0.25">
      <c r="A32" s="96" t="str">
        <f>'Data Vlaue (Cr)'!C23</f>
        <v>BAJAJFINSV</v>
      </c>
      <c r="B32" s="75">
        <f>VLOOKUP($A32,'Data Vlaue (Cr)'!$C:$FB,2)</f>
        <v>250</v>
      </c>
      <c r="C32" s="75">
        <f>VLOOKUP($A32,'Data Vlaue (Cr)'!$C:$FB,8)</f>
        <v>1792.6</v>
      </c>
      <c r="D32" s="75">
        <f>VLOOKUP($A32,'Data Vlaue (Cr)'!$C:$FB,4)</f>
        <v>1789.4</v>
      </c>
      <c r="E32" s="75">
        <f>VLOOKUP($A32,'Data Vlaue (Cr)'!$C:$FB,5)</f>
        <v>1845.8</v>
      </c>
      <c r="F32" s="75">
        <f t="shared" si="0"/>
        <v>-3.1999999999998181</v>
      </c>
      <c r="G32" s="75">
        <f t="shared" si="1"/>
        <v>-3.1518944897731007</v>
      </c>
      <c r="H32" s="75">
        <f>VLOOKUP($A32,'Data Vlaue (Cr)'!$C:$FB,99)</f>
        <v>3348</v>
      </c>
      <c r="I32" s="75">
        <f>VLOOKUP($A32,'Data Vlaue (Cr)'!$C:$FB,100)</f>
        <v>3258</v>
      </c>
      <c r="J32" s="75">
        <f t="shared" si="2"/>
        <v>90</v>
      </c>
      <c r="K32" s="75">
        <f t="shared" si="3"/>
        <v>2.6881720430107525</v>
      </c>
      <c r="L32" s="75">
        <f>VLOOKUP($A32,'Data Vlaue (Cr)'!$C:$FB,67)</f>
        <v>2740</v>
      </c>
      <c r="M32" s="75">
        <f>VLOOKUP($A32,'Data Vlaue (Cr)'!$C:$FB,68)</f>
        <v>1215</v>
      </c>
      <c r="N32" s="75">
        <f t="shared" si="4"/>
        <v>1525</v>
      </c>
      <c r="O32" s="75">
        <f t="shared" si="5"/>
        <v>55.65693430656934</v>
      </c>
      <c r="P32" s="75">
        <f>VLOOKUP($A32,'Data Vlaue (Cr)'!$C:$FB,119)</f>
        <v>0.88</v>
      </c>
      <c r="Q32" s="75">
        <f>VLOOKUP($A32,'Data Vlaue (Cr)'!$C:$FB,122)*100</f>
        <v>-10.199999999999999</v>
      </c>
      <c r="R32" s="75">
        <f>VLOOKUP($A32,'Data Vlaue (Cr)'!$C:$FB,125)</f>
        <v>0.68</v>
      </c>
      <c r="S32" s="75">
        <f>VLOOKUP($A32,'Data Vlaue (Cr)'!$C:$FB,128)*100</f>
        <v>-22.73</v>
      </c>
    </row>
    <row r="33" spans="1:19" x14ac:dyDescent="0.25">
      <c r="A33" s="96" t="str">
        <f>'Data Vlaue (Cr)'!C24</f>
        <v>BAJAJHLDNG</v>
      </c>
      <c r="B33" s="75">
        <f>VLOOKUP($A33,'Data Vlaue (Cr)'!$C:$FB,2)</f>
        <v>50</v>
      </c>
      <c r="C33" s="75">
        <f>VLOOKUP($A33,'Data Vlaue (Cr)'!$C:$FB,8)</f>
        <v>10376.5</v>
      </c>
      <c r="D33" s="75">
        <f>VLOOKUP($A33,'Data Vlaue (Cr)'!$C:$FB,4)</f>
        <v>10375.5</v>
      </c>
      <c r="E33" s="75">
        <f>VLOOKUP($A33,'Data Vlaue (Cr)'!$C:$FB,5)</f>
        <v>10401.5</v>
      </c>
      <c r="F33" s="75">
        <f t="shared" si="0"/>
        <v>-1</v>
      </c>
      <c r="G33" s="75">
        <f t="shared" si="1"/>
        <v>-0.2505903329960002</v>
      </c>
      <c r="H33" s="75">
        <f>VLOOKUP($A33,'Data Vlaue (Cr)'!$C:$FB,99)</f>
        <v>417</v>
      </c>
      <c r="I33" s="75">
        <f>VLOOKUP($A33,'Data Vlaue (Cr)'!$C:$FB,100)</f>
        <v>432</v>
      </c>
      <c r="J33" s="75">
        <f t="shared" si="2"/>
        <v>-15</v>
      </c>
      <c r="K33" s="75">
        <f t="shared" si="3"/>
        <v>-3.5971223021582732</v>
      </c>
      <c r="L33" s="75">
        <f>VLOOKUP($A33,'Data Vlaue (Cr)'!$C:$FB,67)</f>
        <v>466</v>
      </c>
      <c r="M33" s="75">
        <f>VLOOKUP($A33,'Data Vlaue (Cr)'!$C:$FB,68)</f>
        <v>356</v>
      </c>
      <c r="N33" s="75">
        <f t="shared" si="4"/>
        <v>110</v>
      </c>
      <c r="O33" s="75">
        <f t="shared" si="5"/>
        <v>23.605150214592275</v>
      </c>
      <c r="P33" s="75">
        <f>VLOOKUP($A33,'Data Vlaue (Cr)'!$C:$FB,119)</f>
        <v>0.69</v>
      </c>
      <c r="Q33" s="75">
        <f>VLOOKUP($A33,'Data Vlaue (Cr)'!$C:$FB,122)*100</f>
        <v>-8</v>
      </c>
      <c r="R33" s="75">
        <f>VLOOKUP($A33,'Data Vlaue (Cr)'!$C:$FB,125)</f>
        <v>1.1399999999999999</v>
      </c>
      <c r="S33" s="75">
        <f>VLOOKUP($A33,'Data Vlaue (Cr)'!$C:$FB,128)*100</f>
        <v>-36.67</v>
      </c>
    </row>
    <row r="34" spans="1:19" x14ac:dyDescent="0.25">
      <c r="A34" s="96" t="str">
        <f>'Data Vlaue (Cr)'!C25</f>
        <v>BAJFINANCE</v>
      </c>
      <c r="B34" s="75">
        <f>VLOOKUP($A34,'Data Vlaue (Cr)'!$C:$FB,2)</f>
        <v>750</v>
      </c>
      <c r="C34" s="75">
        <f>VLOOKUP($A34,'Data Vlaue (Cr)'!$C:$FB,8)</f>
        <v>918.35</v>
      </c>
      <c r="D34" s="75">
        <f>VLOOKUP($A34,'Data Vlaue (Cr)'!$C:$FB,4)</f>
        <v>916.75</v>
      </c>
      <c r="E34" s="75">
        <f>VLOOKUP($A34,'Data Vlaue (Cr)'!$C:$FB,5)</f>
        <v>933.8</v>
      </c>
      <c r="F34" s="75">
        <f t="shared" si="0"/>
        <v>-1.6000000000000227</v>
      </c>
      <c r="G34" s="75">
        <f t="shared" si="1"/>
        <v>-1.8598309244614075</v>
      </c>
      <c r="H34" s="180">
        <f>VLOOKUP($A34,'Data Vlaue (Cr)'!$C:$FB,99)</f>
        <v>10302</v>
      </c>
      <c r="I34" s="180">
        <f>VLOOKUP($A34,'Data Vlaue (Cr)'!$C:$FB,100)</f>
        <v>10201</v>
      </c>
      <c r="J34" s="180">
        <f t="shared" si="2"/>
        <v>101</v>
      </c>
      <c r="K34" s="180">
        <f t="shared" si="3"/>
        <v>0.98039215686274506</v>
      </c>
      <c r="L34" s="180">
        <f>VLOOKUP($A34,'Data Vlaue (Cr)'!$C:$FB,67)</f>
        <v>9199</v>
      </c>
      <c r="M34" s="180">
        <f>VLOOKUP($A34,'Data Vlaue (Cr)'!$C:$FB,68)</f>
        <v>6575</v>
      </c>
      <c r="N34" s="180">
        <f t="shared" si="4"/>
        <v>2624</v>
      </c>
      <c r="O34" s="180">
        <f t="shared" si="5"/>
        <v>28.524839656484403</v>
      </c>
      <c r="P34" s="180">
        <f>VLOOKUP($A34,'Data Vlaue (Cr)'!$C:$FB,119)</f>
        <v>0.8</v>
      </c>
      <c r="Q34" s="180">
        <f>VLOOKUP($A34,'Data Vlaue (Cr)'!$C:$FB,122)*100</f>
        <v>3.9</v>
      </c>
      <c r="R34" s="180">
        <f>VLOOKUP($A34,'Data Vlaue (Cr)'!$C:$FB,125)</f>
        <v>0.74</v>
      </c>
      <c r="S34" s="180">
        <f>VLOOKUP($A34,'Data Vlaue (Cr)'!$C:$FB,128)*100</f>
        <v>13.850000000000001</v>
      </c>
    </row>
    <row r="35" spans="1:19" x14ac:dyDescent="0.25">
      <c r="A35" s="96" t="str">
        <f>'Data Vlaue (Cr)'!C26</f>
        <v>BANDHANBNK</v>
      </c>
      <c r="B35" s="75">
        <f>VLOOKUP($A35,'Data Vlaue (Cr)'!$C:$FB,2)</f>
        <v>3600</v>
      </c>
      <c r="C35" s="75">
        <f>VLOOKUP($A35,'Data Vlaue (Cr)'!$C:$FB,8)</f>
        <v>173.9</v>
      </c>
      <c r="D35" s="75">
        <f>VLOOKUP($A35,'Data Vlaue (Cr)'!$C:$FB,4)</f>
        <v>173.67</v>
      </c>
      <c r="E35" s="75">
        <f>VLOOKUP($A35,'Data Vlaue (Cr)'!$C:$FB,5)</f>
        <v>176.15</v>
      </c>
      <c r="F35" s="75">
        <f t="shared" si="0"/>
        <v>-0.23000000000001819</v>
      </c>
      <c r="G35" s="75">
        <f t="shared" si="1"/>
        <v>-1.4279956238843892</v>
      </c>
      <c r="H35" s="75">
        <f>VLOOKUP($A35,'Data Vlaue (Cr)'!$C:$FB,99)</f>
        <v>2401</v>
      </c>
      <c r="I35" s="75">
        <f>VLOOKUP($A35,'Data Vlaue (Cr)'!$C:$FB,100)</f>
        <v>2394</v>
      </c>
      <c r="J35" s="75">
        <f t="shared" si="2"/>
        <v>7</v>
      </c>
      <c r="K35" s="75">
        <f t="shared" si="3"/>
        <v>0.29154518950437319</v>
      </c>
      <c r="L35" s="75">
        <f>VLOOKUP($A35,'Data Vlaue (Cr)'!$C:$FB,67)</f>
        <v>1283</v>
      </c>
      <c r="M35" s="75">
        <f>VLOOKUP($A35,'Data Vlaue (Cr)'!$C:$FB,68)</f>
        <v>978</v>
      </c>
      <c r="N35" s="75">
        <f t="shared" si="4"/>
        <v>305</v>
      </c>
      <c r="O35" s="75">
        <f t="shared" si="5"/>
        <v>23.772408417770848</v>
      </c>
      <c r="P35" s="75">
        <f>VLOOKUP($A35,'Data Vlaue (Cr)'!$C:$FB,119)</f>
        <v>0.7</v>
      </c>
      <c r="Q35" s="75">
        <f>VLOOKUP($A35,'Data Vlaue (Cr)'!$C:$FB,122)*100</f>
        <v>0</v>
      </c>
      <c r="R35" s="75">
        <f>VLOOKUP($A35,'Data Vlaue (Cr)'!$C:$FB,125)</f>
        <v>0.83</v>
      </c>
      <c r="S35" s="75">
        <f>VLOOKUP($A35,'Data Vlaue (Cr)'!$C:$FB,128)*100</f>
        <v>13.700000000000001</v>
      </c>
    </row>
    <row r="36" spans="1:19" x14ac:dyDescent="0.25">
      <c r="A36" s="96" t="str">
        <f>'Data Vlaue (Cr)'!C27</f>
        <v>BANKBARODA</v>
      </c>
      <c r="B36" s="75">
        <f>VLOOKUP($A36,'Data Vlaue (Cr)'!$C:$FB,2)</f>
        <v>2925</v>
      </c>
      <c r="C36" s="75">
        <f>VLOOKUP($A36,'Data Vlaue (Cr)'!$C:$FB,8)</f>
        <v>276.33999999999997</v>
      </c>
      <c r="D36" s="75">
        <f>VLOOKUP($A36,'Data Vlaue (Cr)'!$C:$FB,4)</f>
        <v>276.51</v>
      </c>
      <c r="E36" s="75">
        <f>VLOOKUP($A36,'Data Vlaue (Cr)'!$C:$FB,5)</f>
        <v>282.41000000000003</v>
      </c>
      <c r="F36" s="75">
        <f t="shared" si="0"/>
        <v>0.17000000000001592</v>
      </c>
      <c r="G36" s="75">
        <f t="shared" si="1"/>
        <v>-2.1337383819753479</v>
      </c>
      <c r="H36" s="75">
        <f>VLOOKUP($A36,'Data Vlaue (Cr)'!$C:$FB,99)</f>
        <v>5655</v>
      </c>
      <c r="I36" s="75">
        <f>VLOOKUP($A36,'Data Vlaue (Cr)'!$C:$FB,100)</f>
        <v>5319</v>
      </c>
      <c r="J36" s="75">
        <f t="shared" si="2"/>
        <v>336</v>
      </c>
      <c r="K36" s="75">
        <f t="shared" si="3"/>
        <v>5.9416445623342176</v>
      </c>
      <c r="L36" s="75">
        <f>VLOOKUP($A36,'Data Vlaue (Cr)'!$C:$FB,67)</f>
        <v>4820</v>
      </c>
      <c r="M36" s="75">
        <f>VLOOKUP($A36,'Data Vlaue (Cr)'!$C:$FB,68)</f>
        <v>2168</v>
      </c>
      <c r="N36" s="75">
        <f t="shared" si="4"/>
        <v>2652</v>
      </c>
      <c r="O36" s="75">
        <f t="shared" si="5"/>
        <v>55.020746887966808</v>
      </c>
      <c r="P36" s="75">
        <f>VLOOKUP($A36,'Data Vlaue (Cr)'!$C:$FB,119)</f>
        <v>0.82</v>
      </c>
      <c r="Q36" s="75">
        <f>VLOOKUP($A36,'Data Vlaue (Cr)'!$C:$FB,122)*100</f>
        <v>-8.89</v>
      </c>
      <c r="R36" s="75">
        <f>VLOOKUP($A36,'Data Vlaue (Cr)'!$C:$FB,125)</f>
        <v>0.65</v>
      </c>
      <c r="S36" s="75">
        <f>VLOOKUP($A36,'Data Vlaue (Cr)'!$C:$FB,128)*100</f>
        <v>-9.7199999999999989</v>
      </c>
    </row>
    <row r="37" spans="1:19" x14ac:dyDescent="0.25">
      <c r="A37" s="96" t="str">
        <f>'Data Vlaue (Cr)'!C28</f>
        <v>BANKINDIA</v>
      </c>
      <c r="B37" s="75">
        <f>VLOOKUP($A37,'Data Vlaue (Cr)'!$C:$FB,2)</f>
        <v>5200</v>
      </c>
      <c r="C37" s="75">
        <f>VLOOKUP($A37,'Data Vlaue (Cr)'!$C:$FB,8)</f>
        <v>150.86000000000001</v>
      </c>
      <c r="D37" s="75">
        <f>VLOOKUP($A37,'Data Vlaue (Cr)'!$C:$FB,4)</f>
        <v>150.6</v>
      </c>
      <c r="E37" s="75">
        <f>VLOOKUP($A37,'Data Vlaue (Cr)'!$C:$FB,5)</f>
        <v>152.62</v>
      </c>
      <c r="F37" s="75">
        <f t="shared" si="0"/>
        <v>-0.26000000000001933</v>
      </c>
      <c r="G37" s="75">
        <f t="shared" si="1"/>
        <v>-1.3413014608233802</v>
      </c>
      <c r="H37" s="75">
        <f>VLOOKUP($A37,'Data Vlaue (Cr)'!$C:$FB,99)</f>
        <v>1594</v>
      </c>
      <c r="I37" s="75">
        <f>VLOOKUP($A37,'Data Vlaue (Cr)'!$C:$FB,100)</f>
        <v>1653</v>
      </c>
      <c r="J37" s="75">
        <f t="shared" si="2"/>
        <v>-59</v>
      </c>
      <c r="K37" s="75">
        <f t="shared" si="3"/>
        <v>-3.7013801756587204</v>
      </c>
      <c r="L37" s="75">
        <f>VLOOKUP($A37,'Data Vlaue (Cr)'!$C:$FB,67)</f>
        <v>1721</v>
      </c>
      <c r="M37" s="75">
        <f>VLOOKUP($A37,'Data Vlaue (Cr)'!$C:$FB,68)</f>
        <v>1509</v>
      </c>
      <c r="N37" s="75">
        <f t="shared" si="4"/>
        <v>212</v>
      </c>
      <c r="O37" s="75">
        <f t="shared" si="5"/>
        <v>12.31841952353283</v>
      </c>
      <c r="P37" s="75">
        <f>VLOOKUP($A37,'Data Vlaue (Cr)'!$C:$FB,119)</f>
        <v>0.9</v>
      </c>
      <c r="Q37" s="75">
        <f>VLOOKUP($A37,'Data Vlaue (Cr)'!$C:$FB,122)*100</f>
        <v>0</v>
      </c>
      <c r="R37" s="75">
        <f>VLOOKUP($A37,'Data Vlaue (Cr)'!$C:$FB,125)</f>
        <v>0.56000000000000005</v>
      </c>
      <c r="S37" s="75">
        <f>VLOOKUP($A37,'Data Vlaue (Cr)'!$C:$FB,128)*100</f>
        <v>33.33</v>
      </c>
    </row>
    <row r="38" spans="1:19" x14ac:dyDescent="0.25">
      <c r="A38" s="96" t="str">
        <f>'Data Vlaue (Cr)'!C29</f>
        <v>BANKNIFTY</v>
      </c>
      <c r="B38" s="75">
        <f>VLOOKUP($A38,'Data Vlaue (Cr)'!$C:$FB,2)</f>
        <v>30</v>
      </c>
      <c r="C38" s="75">
        <f>VLOOKUP($A38,'Data Vlaue (Cr)'!$C:$FB,8)</f>
        <v>56305</v>
      </c>
      <c r="D38" s="75">
        <f>VLOOKUP($A38,'Data Vlaue (Cr)'!$C:$FB,4)</f>
        <v>56344.2</v>
      </c>
      <c r="E38" s="75">
        <f>VLOOKUP($A38,'Data Vlaue (Cr)'!$C:$FB,5)</f>
        <v>57147</v>
      </c>
      <c r="F38" s="75">
        <f t="shared" si="0"/>
        <v>39.19999999999709</v>
      </c>
      <c r="G38" s="75">
        <f t="shared" si="1"/>
        <v>-1.4248139116359855</v>
      </c>
      <c r="H38" s="75">
        <f>VLOOKUP($A38,'Data Vlaue (Cr)'!$C:$FB,99)</f>
        <v>254366</v>
      </c>
      <c r="I38" s="75">
        <f>VLOOKUP($A38,'Data Vlaue (Cr)'!$C:$FB,100)</f>
        <v>247932</v>
      </c>
      <c r="J38" s="75">
        <f t="shared" si="2"/>
        <v>6434</v>
      </c>
      <c r="K38" s="75">
        <f t="shared" si="3"/>
        <v>2.5294261025451514</v>
      </c>
      <c r="L38" s="75">
        <f>VLOOKUP($A38,'Data Vlaue (Cr)'!$C:$FB,67)</f>
        <v>721028</v>
      </c>
      <c r="M38" s="75">
        <f>VLOOKUP($A38,'Data Vlaue (Cr)'!$C:$FB,68)</f>
        <v>656277</v>
      </c>
      <c r="N38" s="75">
        <f t="shared" si="4"/>
        <v>64751</v>
      </c>
      <c r="O38" s="75">
        <f t="shared" si="5"/>
        <v>8.9803724681981834</v>
      </c>
      <c r="P38" s="75">
        <f>VLOOKUP($A38,'Data Vlaue (Cr)'!$C:$FB,119)</f>
        <v>0.91</v>
      </c>
      <c r="Q38" s="75">
        <f>VLOOKUP($A38,'Data Vlaue (Cr)'!$C:$FB,122)*100</f>
        <v>-8.08</v>
      </c>
      <c r="R38" s="75">
        <f>VLOOKUP($A38,'Data Vlaue (Cr)'!$C:$FB,125)</f>
        <v>0.89</v>
      </c>
      <c r="S38" s="75">
        <f>VLOOKUP($A38,'Data Vlaue (Cr)'!$C:$FB,128)*100</f>
        <v>-14.42</v>
      </c>
    </row>
    <row r="39" spans="1:19" x14ac:dyDescent="0.25">
      <c r="A39" s="96" t="str">
        <f>'Data Vlaue (Cr)'!C30</f>
        <v>BDL</v>
      </c>
      <c r="B39" s="75">
        <f>VLOOKUP($A39,'Data Vlaue (Cr)'!$C:$FB,2)</f>
        <v>350</v>
      </c>
      <c r="C39" s="75">
        <f>VLOOKUP($A39,'Data Vlaue (Cr)'!$C:$FB,8)</f>
        <v>1423.3</v>
      </c>
      <c r="D39" s="75">
        <f>VLOOKUP($A39,'Data Vlaue (Cr)'!$C:$FB,4)</f>
        <v>1424.5</v>
      </c>
      <c r="E39" s="75">
        <f>VLOOKUP($A39,'Data Vlaue (Cr)'!$C:$FB,5)</f>
        <v>1384.1</v>
      </c>
      <c r="F39" s="75">
        <f t="shared" si="0"/>
        <v>1.2000000000000455</v>
      </c>
      <c r="G39" s="75">
        <f t="shared" si="1"/>
        <v>2.8360828360828423</v>
      </c>
      <c r="H39" s="75">
        <f>VLOOKUP($A39,'Data Vlaue (Cr)'!$C:$FB,99)</f>
        <v>1569</v>
      </c>
      <c r="I39" s="75">
        <f>VLOOKUP($A39,'Data Vlaue (Cr)'!$C:$FB,100)</f>
        <v>1508</v>
      </c>
      <c r="J39" s="75">
        <f t="shared" si="2"/>
        <v>61</v>
      </c>
      <c r="K39" s="75">
        <f t="shared" si="3"/>
        <v>3.8878266411727216</v>
      </c>
      <c r="L39" s="75">
        <f>VLOOKUP($A39,'Data Vlaue (Cr)'!$C:$FB,67)</f>
        <v>2539</v>
      </c>
      <c r="M39" s="75">
        <f>VLOOKUP($A39,'Data Vlaue (Cr)'!$C:$FB,68)</f>
        <v>889</v>
      </c>
      <c r="N39" s="75">
        <f t="shared" si="4"/>
        <v>1650</v>
      </c>
      <c r="O39" s="75">
        <f t="shared" si="5"/>
        <v>64.98621504529342</v>
      </c>
      <c r="P39" s="75">
        <f>VLOOKUP($A39,'Data Vlaue (Cr)'!$C:$FB,119)</f>
        <v>0.84</v>
      </c>
      <c r="Q39" s="75">
        <f>VLOOKUP($A39,'Data Vlaue (Cr)'!$C:$FB,122)*100</f>
        <v>3.6999999999999997</v>
      </c>
      <c r="R39" s="75">
        <f>VLOOKUP($A39,'Data Vlaue (Cr)'!$C:$FB,125)</f>
        <v>0.35</v>
      </c>
      <c r="S39" s="75">
        <f>VLOOKUP($A39,'Data Vlaue (Cr)'!$C:$FB,128)*100</f>
        <v>-52.7</v>
      </c>
    </row>
    <row r="40" spans="1:19" x14ac:dyDescent="0.25">
      <c r="A40" s="96" t="str">
        <f>'Data Vlaue (Cr)'!C31</f>
        <v>BEL</v>
      </c>
      <c r="B40" s="75">
        <f>VLOOKUP($A40,'Data Vlaue (Cr)'!$C:$FB,2)</f>
        <v>1425</v>
      </c>
      <c r="C40" s="75">
        <f>VLOOKUP($A40,'Data Vlaue (Cr)'!$C:$FB,8)</f>
        <v>449.95</v>
      </c>
      <c r="D40" s="75">
        <f>VLOOKUP($A40,'Data Vlaue (Cr)'!$C:$FB,4)</f>
        <v>450.3</v>
      </c>
      <c r="E40" s="75">
        <f>VLOOKUP($A40,'Data Vlaue (Cr)'!$C:$FB,5)</f>
        <v>449.45</v>
      </c>
      <c r="F40" s="75">
        <f t="shared" si="0"/>
        <v>0.35000000000002274</v>
      </c>
      <c r="G40" s="75">
        <f t="shared" si="1"/>
        <v>0.18876304685765549</v>
      </c>
      <c r="H40" s="75">
        <f>VLOOKUP($A40,'Data Vlaue (Cr)'!$C:$FB,99)</f>
        <v>8469</v>
      </c>
      <c r="I40" s="75">
        <f>VLOOKUP($A40,'Data Vlaue (Cr)'!$C:$FB,100)</f>
        <v>8451</v>
      </c>
      <c r="J40" s="75">
        <f t="shared" si="2"/>
        <v>18</v>
      </c>
      <c r="K40" s="75">
        <f t="shared" si="3"/>
        <v>0.21253985122210414</v>
      </c>
      <c r="L40" s="75">
        <f>VLOOKUP($A40,'Data Vlaue (Cr)'!$C:$FB,67)</f>
        <v>7335</v>
      </c>
      <c r="M40" s="75">
        <f>VLOOKUP($A40,'Data Vlaue (Cr)'!$C:$FB,68)</f>
        <v>5445</v>
      </c>
      <c r="N40" s="75">
        <f t="shared" si="4"/>
        <v>1890</v>
      </c>
      <c r="O40" s="75">
        <f t="shared" si="5"/>
        <v>25.766871165644172</v>
      </c>
      <c r="P40" s="75">
        <f>VLOOKUP($A40,'Data Vlaue (Cr)'!$C:$FB,119)</f>
        <v>0.68</v>
      </c>
      <c r="Q40" s="75">
        <f>VLOOKUP($A40,'Data Vlaue (Cr)'!$C:$FB,122)*100</f>
        <v>-2.86</v>
      </c>
      <c r="R40" s="75">
        <f>VLOOKUP($A40,'Data Vlaue (Cr)'!$C:$FB,125)</f>
        <v>0.46</v>
      </c>
      <c r="S40" s="75">
        <f>VLOOKUP($A40,'Data Vlaue (Cr)'!$C:$FB,128)*100</f>
        <v>2.2200000000000002</v>
      </c>
    </row>
    <row r="41" spans="1:19" x14ac:dyDescent="0.25">
      <c r="A41" s="96" t="str">
        <f>'Data Vlaue (Cr)'!C32</f>
        <v>BHARATFORG</v>
      </c>
      <c r="B41" s="75">
        <f>VLOOKUP($A41,'Data Vlaue (Cr)'!$C:$FB,2)</f>
        <v>500</v>
      </c>
      <c r="C41" s="75">
        <f>VLOOKUP($A41,'Data Vlaue (Cr)'!$C:$FB,8)</f>
        <v>1874.1</v>
      </c>
      <c r="D41" s="75">
        <f>VLOOKUP($A41,'Data Vlaue (Cr)'!$C:$FB,4)</f>
        <v>1860.7</v>
      </c>
      <c r="E41" s="75">
        <f>VLOOKUP($A41,'Data Vlaue (Cr)'!$C:$FB,5)</f>
        <v>1896.6</v>
      </c>
      <c r="F41" s="75">
        <f t="shared" si="0"/>
        <v>-13.399999999999864</v>
      </c>
      <c r="G41" s="75">
        <f t="shared" si="1"/>
        <v>-1.9293814155962736</v>
      </c>
      <c r="H41" s="75">
        <f>VLOOKUP($A41,'Data Vlaue (Cr)'!$C:$FB,99)</f>
        <v>2993</v>
      </c>
      <c r="I41" s="75">
        <f>VLOOKUP($A41,'Data Vlaue (Cr)'!$C:$FB,100)</f>
        <v>2776</v>
      </c>
      <c r="J41" s="75">
        <f t="shared" si="2"/>
        <v>217</v>
      </c>
      <c r="K41" s="75">
        <f t="shared" si="3"/>
        <v>7.2502505846976275</v>
      </c>
      <c r="L41" s="75">
        <f>VLOOKUP($A41,'Data Vlaue (Cr)'!$C:$FB,67)</f>
        <v>3247</v>
      </c>
      <c r="M41" s="75">
        <f>VLOOKUP($A41,'Data Vlaue (Cr)'!$C:$FB,68)</f>
        <v>1914</v>
      </c>
      <c r="N41" s="75">
        <f t="shared" si="4"/>
        <v>1333</v>
      </c>
      <c r="O41" s="75">
        <f t="shared" si="5"/>
        <v>41.053279950723741</v>
      </c>
      <c r="P41" s="75">
        <f>VLOOKUP($A41,'Data Vlaue (Cr)'!$C:$FB,119)</f>
        <v>0.68</v>
      </c>
      <c r="Q41" s="75">
        <f>VLOOKUP($A41,'Data Vlaue (Cr)'!$C:$FB,122)*100</f>
        <v>1.49</v>
      </c>
      <c r="R41" s="75">
        <f>VLOOKUP($A41,'Data Vlaue (Cr)'!$C:$FB,125)</f>
        <v>0.69</v>
      </c>
      <c r="S41" s="75">
        <f>VLOOKUP($A41,'Data Vlaue (Cr)'!$C:$FB,128)*100</f>
        <v>64.290000000000006</v>
      </c>
    </row>
    <row r="42" spans="1:19" x14ac:dyDescent="0.25">
      <c r="A42" s="96" t="str">
        <f>'Data Vlaue (Cr)'!C33</f>
        <v>BHARTIARTL</v>
      </c>
      <c r="B42" s="75">
        <f>VLOOKUP($A42,'Data Vlaue (Cr)'!$C:$FB,2)</f>
        <v>475</v>
      </c>
      <c r="C42" s="75">
        <f>VLOOKUP($A42,'Data Vlaue (Cr)'!$C:$FB,8)</f>
        <v>1841.2</v>
      </c>
      <c r="D42" s="75">
        <f>VLOOKUP($A42,'Data Vlaue (Cr)'!$C:$FB,4)</f>
        <v>1838.5</v>
      </c>
      <c r="E42" s="75">
        <f>VLOOKUP($A42,'Data Vlaue (Cr)'!$C:$FB,5)</f>
        <v>1831.5</v>
      </c>
      <c r="F42" s="75">
        <f t="shared" si="0"/>
        <v>-2.7000000000000455</v>
      </c>
      <c r="G42" s="75">
        <f t="shared" si="1"/>
        <v>0.38074517269513192</v>
      </c>
      <c r="H42" s="75">
        <f>VLOOKUP($A42,'Data Vlaue (Cr)'!$C:$FB,99)</f>
        <v>15493</v>
      </c>
      <c r="I42" s="75">
        <f>VLOOKUP($A42,'Data Vlaue (Cr)'!$C:$FB,100)</f>
        <v>15623</v>
      </c>
      <c r="J42" s="75">
        <f t="shared" si="2"/>
        <v>-130</v>
      </c>
      <c r="K42" s="75">
        <f t="shared" si="3"/>
        <v>-0.8390886206673982</v>
      </c>
      <c r="L42" s="75">
        <f>VLOOKUP($A42,'Data Vlaue (Cr)'!$C:$FB,67)</f>
        <v>9972</v>
      </c>
      <c r="M42" s="75">
        <f>VLOOKUP($A42,'Data Vlaue (Cr)'!$C:$FB,68)</f>
        <v>7105</v>
      </c>
      <c r="N42" s="75">
        <f t="shared" si="4"/>
        <v>2867</v>
      </c>
      <c r="O42" s="75">
        <f t="shared" si="5"/>
        <v>28.750501403931004</v>
      </c>
      <c r="P42" s="75">
        <f>VLOOKUP($A42,'Data Vlaue (Cr)'!$C:$FB,119)</f>
        <v>0.64</v>
      </c>
      <c r="Q42" s="75">
        <f>VLOOKUP($A42,'Data Vlaue (Cr)'!$C:$FB,122)*100</f>
        <v>0</v>
      </c>
      <c r="R42" s="75">
        <f>VLOOKUP($A42,'Data Vlaue (Cr)'!$C:$FB,125)</f>
        <v>0.35</v>
      </c>
      <c r="S42" s="75">
        <f>VLOOKUP($A42,'Data Vlaue (Cr)'!$C:$FB,128)*100</f>
        <v>-37.5</v>
      </c>
    </row>
    <row r="43" spans="1:19" x14ac:dyDescent="0.25">
      <c r="A43" s="96" t="str">
        <f>'Data Vlaue (Cr)'!C34</f>
        <v>BHEL</v>
      </c>
      <c r="B43" s="75">
        <f>VLOOKUP($A43,'Data Vlaue (Cr)'!$C:$FB,2)</f>
        <v>2625</v>
      </c>
      <c r="C43" s="75">
        <f>VLOOKUP($A43,'Data Vlaue (Cr)'!$C:$FB,8)</f>
        <v>337.6</v>
      </c>
      <c r="D43" s="75">
        <f>VLOOKUP($A43,'Data Vlaue (Cr)'!$C:$FB,4)</f>
        <v>338.22</v>
      </c>
      <c r="E43" s="75">
        <f>VLOOKUP($A43,'Data Vlaue (Cr)'!$C:$FB,5)</f>
        <v>334.14</v>
      </c>
      <c r="F43" s="75">
        <f t="shared" si="0"/>
        <v>0.62000000000000455</v>
      </c>
      <c r="G43" s="75">
        <f t="shared" si="1"/>
        <v>1.2063154160014311</v>
      </c>
      <c r="H43" s="75">
        <f>VLOOKUP($A43,'Data Vlaue (Cr)'!$C:$FB,99)</f>
        <v>7110</v>
      </c>
      <c r="I43" s="75">
        <f>VLOOKUP($A43,'Data Vlaue (Cr)'!$C:$FB,100)</f>
        <v>7150</v>
      </c>
      <c r="J43" s="75">
        <f t="shared" si="2"/>
        <v>-40</v>
      </c>
      <c r="K43" s="75">
        <f t="shared" si="3"/>
        <v>-0.56258790436005623</v>
      </c>
      <c r="L43" s="75">
        <f>VLOOKUP($A43,'Data Vlaue (Cr)'!$C:$FB,67)</f>
        <v>8555</v>
      </c>
      <c r="M43" s="75">
        <f>VLOOKUP($A43,'Data Vlaue (Cr)'!$C:$FB,68)</f>
        <v>6958</v>
      </c>
      <c r="N43" s="75">
        <f t="shared" si="4"/>
        <v>1597</v>
      </c>
      <c r="O43" s="75">
        <f t="shared" si="5"/>
        <v>18.667445938047926</v>
      </c>
      <c r="P43" s="75">
        <f>VLOOKUP($A43,'Data Vlaue (Cr)'!$C:$FB,119)</f>
        <v>0.91</v>
      </c>
      <c r="Q43" s="75">
        <f>VLOOKUP($A43,'Data Vlaue (Cr)'!$C:$FB,122)*100</f>
        <v>9.64</v>
      </c>
      <c r="R43" s="75">
        <f>VLOOKUP($A43,'Data Vlaue (Cr)'!$C:$FB,125)</f>
        <v>0.6</v>
      </c>
      <c r="S43" s="75">
        <f>VLOOKUP($A43,'Data Vlaue (Cr)'!$C:$FB,128)*100</f>
        <v>9.09</v>
      </c>
    </row>
    <row r="44" spans="1:19" x14ac:dyDescent="0.25">
      <c r="A44" s="96" t="str">
        <f>'Data Vlaue (Cr)'!C35</f>
        <v>BIOCON</v>
      </c>
      <c r="B44" s="75">
        <f>VLOOKUP($A44,'Data Vlaue (Cr)'!$C:$FB,2)</f>
        <v>2500</v>
      </c>
      <c r="C44" s="75">
        <f>VLOOKUP($A44,'Data Vlaue (Cr)'!$C:$FB,8)</f>
        <v>358</v>
      </c>
      <c r="D44" s="75">
        <f>VLOOKUP($A44,'Data Vlaue (Cr)'!$C:$FB,4)</f>
        <v>358.6</v>
      </c>
      <c r="E44" s="75">
        <f>VLOOKUP($A44,'Data Vlaue (Cr)'!$C:$FB,5)</f>
        <v>358.15</v>
      </c>
      <c r="F44" s="75">
        <f t="shared" si="0"/>
        <v>0.60000000000002274</v>
      </c>
      <c r="G44" s="75">
        <f t="shared" si="1"/>
        <v>0.12548800892360443</v>
      </c>
      <c r="H44" s="75">
        <f>VLOOKUP($A44,'Data Vlaue (Cr)'!$C:$FB,99)</f>
        <v>2697</v>
      </c>
      <c r="I44" s="75">
        <f>VLOOKUP($A44,'Data Vlaue (Cr)'!$C:$FB,100)</f>
        <v>2633</v>
      </c>
      <c r="J44" s="75">
        <f t="shared" si="2"/>
        <v>64</v>
      </c>
      <c r="K44" s="75">
        <f t="shared" si="3"/>
        <v>2.3730070448646643</v>
      </c>
      <c r="L44" s="75">
        <f>VLOOKUP($A44,'Data Vlaue (Cr)'!$C:$FB,67)</f>
        <v>2463</v>
      </c>
      <c r="M44" s="75">
        <f>VLOOKUP($A44,'Data Vlaue (Cr)'!$C:$FB,68)</f>
        <v>1273</v>
      </c>
      <c r="N44" s="75">
        <f t="shared" si="4"/>
        <v>1190</v>
      </c>
      <c r="O44" s="75">
        <f t="shared" si="5"/>
        <v>48.315062931384489</v>
      </c>
      <c r="P44" s="75">
        <f>VLOOKUP($A44,'Data Vlaue (Cr)'!$C:$FB,119)</f>
        <v>0.62</v>
      </c>
      <c r="Q44" s="75">
        <f>VLOOKUP($A44,'Data Vlaue (Cr)'!$C:$FB,122)*100</f>
        <v>-7.46</v>
      </c>
      <c r="R44" s="75">
        <f>VLOOKUP($A44,'Data Vlaue (Cr)'!$C:$FB,125)</f>
        <v>0.25</v>
      </c>
      <c r="S44" s="75">
        <f>VLOOKUP($A44,'Data Vlaue (Cr)'!$C:$FB,128)*100</f>
        <v>-30.56</v>
      </c>
    </row>
    <row r="45" spans="1:19" x14ac:dyDescent="0.25">
      <c r="A45" s="96" t="str">
        <f>'Data Vlaue (Cr)'!C36</f>
        <v>BLUESTARCO</v>
      </c>
      <c r="B45" s="75">
        <f>VLOOKUP($A45,'Data Vlaue (Cr)'!$C:$FB,2)</f>
        <v>325</v>
      </c>
      <c r="C45" s="75">
        <f>VLOOKUP($A45,'Data Vlaue (Cr)'!$C:$FB,8)</f>
        <v>1829.8</v>
      </c>
      <c r="D45" s="75">
        <f>VLOOKUP($A45,'Data Vlaue (Cr)'!$C:$FB,4)</f>
        <v>1834.8</v>
      </c>
      <c r="E45" s="75">
        <f>VLOOKUP($A45,'Data Vlaue (Cr)'!$C:$FB,5)</f>
        <v>1891.7</v>
      </c>
      <c r="F45" s="75">
        <f t="shared" si="0"/>
        <v>5</v>
      </c>
      <c r="G45" s="75">
        <f t="shared" si="1"/>
        <v>-3.1011554392849408</v>
      </c>
      <c r="H45" s="75">
        <f>VLOOKUP($A45,'Data Vlaue (Cr)'!$C:$FB,99)</f>
        <v>1181</v>
      </c>
      <c r="I45" s="75">
        <f>VLOOKUP($A45,'Data Vlaue (Cr)'!$C:$FB,100)</f>
        <v>1289</v>
      </c>
      <c r="J45" s="75">
        <f t="shared" si="2"/>
        <v>-108</v>
      </c>
      <c r="K45" s="75">
        <f t="shared" si="3"/>
        <v>-9.144792548687553</v>
      </c>
      <c r="L45" s="75">
        <f>VLOOKUP($A45,'Data Vlaue (Cr)'!$C:$FB,67)</f>
        <v>1106</v>
      </c>
      <c r="M45" s="75">
        <f>VLOOKUP($A45,'Data Vlaue (Cr)'!$C:$FB,68)</f>
        <v>588</v>
      </c>
      <c r="N45" s="75">
        <f t="shared" si="4"/>
        <v>518</v>
      </c>
      <c r="O45" s="75">
        <f t="shared" si="5"/>
        <v>46.835443037974684</v>
      </c>
      <c r="P45" s="75">
        <f>VLOOKUP($A45,'Data Vlaue (Cr)'!$C:$FB,119)</f>
        <v>0.76</v>
      </c>
      <c r="Q45" s="75">
        <f>VLOOKUP($A45,'Data Vlaue (Cr)'!$C:$FB,122)*100</f>
        <v>7.04</v>
      </c>
      <c r="R45" s="75">
        <f>VLOOKUP($A45,'Data Vlaue (Cr)'!$C:$FB,125)</f>
        <v>0.63</v>
      </c>
      <c r="S45" s="75">
        <f>VLOOKUP($A45,'Data Vlaue (Cr)'!$C:$FB,128)*100</f>
        <v>90.91</v>
      </c>
    </row>
    <row r="46" spans="1:19" x14ac:dyDescent="0.25">
      <c r="A46" s="96" t="str">
        <f>'Data Vlaue (Cr)'!C37</f>
        <v>BOSCHLTD</v>
      </c>
      <c r="B46" s="75">
        <f>VLOOKUP($A46,'Data Vlaue (Cr)'!$C:$FB,2)</f>
        <v>25</v>
      </c>
      <c r="C46" s="75">
        <f>VLOOKUP($A46,'Data Vlaue (Cr)'!$C:$FB,8)</f>
        <v>37380</v>
      </c>
      <c r="D46" s="75">
        <f>VLOOKUP($A46,'Data Vlaue (Cr)'!$C:$FB,4)</f>
        <v>37350</v>
      </c>
      <c r="E46" s="75">
        <f>VLOOKUP($A46,'Data Vlaue (Cr)'!$C:$FB,5)</f>
        <v>37965</v>
      </c>
      <c r="F46" s="75">
        <f t="shared" si="0"/>
        <v>-30</v>
      </c>
      <c r="G46" s="75">
        <f t="shared" si="1"/>
        <v>-1.6465863453815262</v>
      </c>
      <c r="H46" s="75">
        <f>VLOOKUP($A46,'Data Vlaue (Cr)'!$C:$FB,99)</f>
        <v>2641</v>
      </c>
      <c r="I46" s="75">
        <f>VLOOKUP($A46,'Data Vlaue (Cr)'!$C:$FB,100)</f>
        <v>2780</v>
      </c>
      <c r="J46" s="75">
        <f t="shared" si="2"/>
        <v>-139</v>
      </c>
      <c r="K46" s="75">
        <f t="shared" si="3"/>
        <v>-5.2631578947368416</v>
      </c>
      <c r="L46" s="75">
        <f>VLOOKUP($A46,'Data Vlaue (Cr)'!$C:$FB,67)</f>
        <v>6797</v>
      </c>
      <c r="M46" s="75">
        <f>VLOOKUP($A46,'Data Vlaue (Cr)'!$C:$FB,68)</f>
        <v>5215</v>
      </c>
      <c r="N46" s="75">
        <f t="shared" si="4"/>
        <v>1582</v>
      </c>
      <c r="O46" s="75">
        <f t="shared" si="5"/>
        <v>23.274974253347064</v>
      </c>
      <c r="P46" s="75">
        <f>VLOOKUP($A46,'Data Vlaue (Cr)'!$C:$FB,119)</f>
        <v>1</v>
      </c>
      <c r="Q46" s="75">
        <f>VLOOKUP($A46,'Data Vlaue (Cr)'!$C:$FB,122)*100</f>
        <v>7.53</v>
      </c>
      <c r="R46" s="75">
        <f>VLOOKUP($A46,'Data Vlaue (Cr)'!$C:$FB,125)</f>
        <v>6.58</v>
      </c>
      <c r="S46" s="75">
        <f>VLOOKUP($A46,'Data Vlaue (Cr)'!$C:$FB,128)*100</f>
        <v>14.829999999999998</v>
      </c>
    </row>
    <row r="47" spans="1:19" x14ac:dyDescent="0.25">
      <c r="A47" s="96" t="str">
        <f>'Data Vlaue (Cr)'!C38</f>
        <v>BPCL</v>
      </c>
      <c r="B47" s="75">
        <f>VLOOKUP($A47,'Data Vlaue (Cr)'!$C:$FB,2)</f>
        <v>1975</v>
      </c>
      <c r="C47" s="75">
        <f>VLOOKUP($A47,'Data Vlaue (Cr)'!$C:$FB,8)</f>
        <v>309.8</v>
      </c>
      <c r="D47" s="75">
        <f>VLOOKUP($A47,'Data Vlaue (Cr)'!$C:$FB,4)</f>
        <v>310.5</v>
      </c>
      <c r="E47" s="75">
        <f>VLOOKUP($A47,'Data Vlaue (Cr)'!$C:$FB,5)</f>
        <v>314.5</v>
      </c>
      <c r="F47" s="75">
        <f t="shared" si="0"/>
        <v>0.69999999999998863</v>
      </c>
      <c r="G47" s="75">
        <f t="shared" si="1"/>
        <v>-1.288244766505636</v>
      </c>
      <c r="H47" s="75">
        <f>VLOOKUP($A47,'Data Vlaue (Cr)'!$C:$FB,99)</f>
        <v>3353</v>
      </c>
      <c r="I47" s="75">
        <f>VLOOKUP($A47,'Data Vlaue (Cr)'!$C:$FB,100)</f>
        <v>3351</v>
      </c>
      <c r="J47" s="75">
        <f t="shared" si="2"/>
        <v>2</v>
      </c>
      <c r="K47" s="75">
        <f t="shared" si="3"/>
        <v>5.9648076349537733E-2</v>
      </c>
      <c r="L47" s="75">
        <f>VLOOKUP($A47,'Data Vlaue (Cr)'!$C:$FB,67)</f>
        <v>2188</v>
      </c>
      <c r="M47" s="75">
        <f>VLOOKUP($A47,'Data Vlaue (Cr)'!$C:$FB,68)</f>
        <v>1579</v>
      </c>
      <c r="N47" s="75">
        <f t="shared" si="4"/>
        <v>609</v>
      </c>
      <c r="O47" s="75">
        <f t="shared" si="5"/>
        <v>27.833638025594148</v>
      </c>
      <c r="P47" s="75">
        <f>VLOOKUP($A47,'Data Vlaue (Cr)'!$C:$FB,119)</f>
        <v>0.74</v>
      </c>
      <c r="Q47" s="75">
        <f>VLOOKUP($A47,'Data Vlaue (Cr)'!$C:$FB,122)*100</f>
        <v>-5.13</v>
      </c>
      <c r="R47" s="75">
        <f>VLOOKUP($A47,'Data Vlaue (Cr)'!$C:$FB,125)</f>
        <v>0.85</v>
      </c>
      <c r="S47" s="75">
        <f>VLOOKUP($A47,'Data Vlaue (Cr)'!$C:$FB,128)*100</f>
        <v>60.38</v>
      </c>
    </row>
    <row r="48" spans="1:19" x14ac:dyDescent="0.25">
      <c r="A48" s="96" t="str">
        <f>'Data Vlaue (Cr)'!C39</f>
        <v>BRITANNIA</v>
      </c>
      <c r="B48" s="75">
        <f>VLOOKUP($A48,'Data Vlaue (Cr)'!$C:$FB,2)</f>
        <v>125</v>
      </c>
      <c r="C48" s="75">
        <f>VLOOKUP($A48,'Data Vlaue (Cr)'!$C:$FB,8)</f>
        <v>5671.5</v>
      </c>
      <c r="D48" s="75">
        <f>VLOOKUP($A48,'Data Vlaue (Cr)'!$C:$FB,4)</f>
        <v>5676</v>
      </c>
      <c r="E48" s="75">
        <f>VLOOKUP($A48,'Data Vlaue (Cr)'!$C:$FB,5)</f>
        <v>5737</v>
      </c>
      <c r="F48" s="75">
        <f t="shared" si="0"/>
        <v>4.5</v>
      </c>
      <c r="G48" s="75">
        <f t="shared" si="1"/>
        <v>-1.0747004933051445</v>
      </c>
      <c r="H48" s="75">
        <f>VLOOKUP($A48,'Data Vlaue (Cr)'!$C:$FB,99)</f>
        <v>2675</v>
      </c>
      <c r="I48" s="75">
        <f>VLOOKUP($A48,'Data Vlaue (Cr)'!$C:$FB,100)</f>
        <v>2699</v>
      </c>
      <c r="J48" s="75">
        <f t="shared" si="2"/>
        <v>-24</v>
      </c>
      <c r="K48" s="75">
        <f t="shared" si="3"/>
        <v>-0.89719626168224298</v>
      </c>
      <c r="L48" s="75">
        <f>VLOOKUP($A48,'Data Vlaue (Cr)'!$C:$FB,67)</f>
        <v>2607</v>
      </c>
      <c r="M48" s="75">
        <f>VLOOKUP($A48,'Data Vlaue (Cr)'!$C:$FB,68)</f>
        <v>4089</v>
      </c>
      <c r="N48" s="75">
        <f t="shared" si="4"/>
        <v>-1482</v>
      </c>
      <c r="O48" s="75">
        <f t="shared" si="5"/>
        <v>-56.846950517836589</v>
      </c>
      <c r="P48" s="75">
        <f>VLOOKUP($A48,'Data Vlaue (Cr)'!$C:$FB,119)</f>
        <v>0.74</v>
      </c>
      <c r="Q48" s="75">
        <f>VLOOKUP($A48,'Data Vlaue (Cr)'!$C:$FB,122)*100</f>
        <v>5.71</v>
      </c>
      <c r="R48" s="75">
        <f>VLOOKUP($A48,'Data Vlaue (Cr)'!$C:$FB,125)</f>
        <v>0.42</v>
      </c>
      <c r="S48" s="75">
        <f>VLOOKUP($A48,'Data Vlaue (Cr)'!$C:$FB,128)*100</f>
        <v>27.27</v>
      </c>
    </row>
    <row r="49" spans="1:19" x14ac:dyDescent="0.25">
      <c r="A49" s="96" t="str">
        <f>'Data Vlaue (Cr)'!C40</f>
        <v>BSE</v>
      </c>
      <c r="B49" s="75">
        <f>VLOOKUP($A49,'Data Vlaue (Cr)'!$C:$FB,2)</f>
        <v>375</v>
      </c>
      <c r="C49" s="75">
        <f>VLOOKUP($A49,'Data Vlaue (Cr)'!$C:$FB,8)</f>
        <v>3463</v>
      </c>
      <c r="D49" s="75">
        <f>VLOOKUP($A49,'Data Vlaue (Cr)'!$C:$FB,4)</f>
        <v>3471.5</v>
      </c>
      <c r="E49" s="75">
        <f>VLOOKUP($A49,'Data Vlaue (Cr)'!$C:$FB,5)</f>
        <v>3505.6</v>
      </c>
      <c r="F49" s="75">
        <f t="shared" si="0"/>
        <v>8.5</v>
      </c>
      <c r="G49" s="75">
        <f t="shared" si="1"/>
        <v>-0.98228431513754599</v>
      </c>
      <c r="H49" s="75">
        <f>VLOOKUP($A49,'Data Vlaue (Cr)'!$C:$FB,99)</f>
        <v>8867</v>
      </c>
      <c r="I49" s="75">
        <f>VLOOKUP($A49,'Data Vlaue (Cr)'!$C:$FB,100)</f>
        <v>9135</v>
      </c>
      <c r="J49" s="75">
        <f t="shared" si="2"/>
        <v>-268</v>
      </c>
      <c r="K49" s="75">
        <f t="shared" si="3"/>
        <v>-3.0224427653095751</v>
      </c>
      <c r="L49" s="75">
        <f>VLOOKUP($A49,'Data Vlaue (Cr)'!$C:$FB,67)</f>
        <v>9369</v>
      </c>
      <c r="M49" s="75">
        <f>VLOOKUP($A49,'Data Vlaue (Cr)'!$C:$FB,68)</f>
        <v>7486</v>
      </c>
      <c r="N49" s="75">
        <f t="shared" si="4"/>
        <v>1883</v>
      </c>
      <c r="O49" s="75">
        <f t="shared" si="5"/>
        <v>20.098196178887822</v>
      </c>
      <c r="P49" s="75">
        <f>VLOOKUP($A49,'Data Vlaue (Cr)'!$C:$FB,119)</f>
        <v>1.1000000000000001</v>
      </c>
      <c r="Q49" s="75">
        <f>VLOOKUP($A49,'Data Vlaue (Cr)'!$C:$FB,122)*100</f>
        <v>-3.51</v>
      </c>
      <c r="R49" s="75">
        <f>VLOOKUP($A49,'Data Vlaue (Cr)'!$C:$FB,125)</f>
        <v>0.97</v>
      </c>
      <c r="S49" s="75">
        <f>VLOOKUP($A49,'Data Vlaue (Cr)'!$C:$FB,128)*100</f>
        <v>-10.190000000000001</v>
      </c>
    </row>
    <row r="50" spans="1:19" x14ac:dyDescent="0.25">
      <c r="A50" s="96" t="str">
        <f>'Data Vlaue (Cr)'!C41</f>
        <v>CAMS</v>
      </c>
      <c r="B50" s="75">
        <f>VLOOKUP($A50,'Data Vlaue (Cr)'!$C:$FB,2)</f>
        <v>750</v>
      </c>
      <c r="C50" s="75">
        <f>VLOOKUP($A50,'Data Vlaue (Cr)'!$C:$FB,8)</f>
        <v>770.4</v>
      </c>
      <c r="D50" s="75">
        <f>VLOOKUP($A50,'Data Vlaue (Cr)'!$C:$FB,4)</f>
        <v>762.55</v>
      </c>
      <c r="E50" s="75">
        <f>VLOOKUP($A50,'Data Vlaue (Cr)'!$C:$FB,5)</f>
        <v>757.65</v>
      </c>
      <c r="F50" s="75">
        <f t="shared" si="0"/>
        <v>-7.8500000000000227</v>
      </c>
      <c r="G50" s="75">
        <f t="shared" si="1"/>
        <v>0.6425808143728251</v>
      </c>
      <c r="H50" s="75">
        <f>VLOOKUP($A50,'Data Vlaue (Cr)'!$C:$FB,99)</f>
        <v>1112</v>
      </c>
      <c r="I50" s="75">
        <f>VLOOKUP($A50,'Data Vlaue (Cr)'!$C:$FB,100)</f>
        <v>1058</v>
      </c>
      <c r="J50" s="75">
        <f t="shared" si="2"/>
        <v>54</v>
      </c>
      <c r="K50" s="75">
        <f t="shared" si="3"/>
        <v>4.8561151079136691</v>
      </c>
      <c r="L50" s="75">
        <f>VLOOKUP($A50,'Data Vlaue (Cr)'!$C:$FB,67)</f>
        <v>1492</v>
      </c>
      <c r="M50" s="75">
        <f>VLOOKUP($A50,'Data Vlaue (Cr)'!$C:$FB,68)</f>
        <v>357</v>
      </c>
      <c r="N50" s="75">
        <f t="shared" si="4"/>
        <v>1135</v>
      </c>
      <c r="O50" s="75">
        <f t="shared" si="5"/>
        <v>76.072386058981238</v>
      </c>
      <c r="P50" s="75">
        <f>VLOOKUP($A50,'Data Vlaue (Cr)'!$C:$FB,119)</f>
        <v>0.79</v>
      </c>
      <c r="Q50" s="75">
        <f>VLOOKUP($A50,'Data Vlaue (Cr)'!$C:$FB,122)*100</f>
        <v>0</v>
      </c>
      <c r="R50" s="75">
        <f>VLOOKUP($A50,'Data Vlaue (Cr)'!$C:$FB,125)</f>
        <v>0.34</v>
      </c>
      <c r="S50" s="75">
        <f>VLOOKUP($A50,'Data Vlaue (Cr)'!$C:$FB,128)*100</f>
        <v>-30.61</v>
      </c>
    </row>
    <row r="51" spans="1:19" x14ac:dyDescent="0.25">
      <c r="A51" s="96" t="str">
        <f>'Data Vlaue (Cr)'!C42</f>
        <v>CANBK</v>
      </c>
      <c r="B51" s="75">
        <f>VLOOKUP($A51,'Data Vlaue (Cr)'!$C:$FB,2)</f>
        <v>6750</v>
      </c>
      <c r="C51" s="75">
        <f>VLOOKUP($A51,'Data Vlaue (Cr)'!$C:$FB,8)</f>
        <v>140.87</v>
      </c>
      <c r="D51" s="75">
        <f>VLOOKUP($A51,'Data Vlaue (Cr)'!$C:$FB,4)</f>
        <v>140.93</v>
      </c>
      <c r="E51" s="75">
        <f>VLOOKUP($A51,'Data Vlaue (Cr)'!$C:$FB,5)</f>
        <v>145.38999999999999</v>
      </c>
      <c r="F51" s="75">
        <f t="shared" si="0"/>
        <v>6.0000000000002274E-2</v>
      </c>
      <c r="G51" s="75">
        <f t="shared" si="1"/>
        <v>-3.1646916909103666</v>
      </c>
      <c r="H51" s="75">
        <f>VLOOKUP($A51,'Data Vlaue (Cr)'!$C:$FB,99)</f>
        <v>5312</v>
      </c>
      <c r="I51" s="75">
        <f>VLOOKUP($A51,'Data Vlaue (Cr)'!$C:$FB,100)</f>
        <v>5188</v>
      </c>
      <c r="J51" s="75">
        <f t="shared" si="2"/>
        <v>124</v>
      </c>
      <c r="K51" s="75">
        <f t="shared" si="3"/>
        <v>2.3343373493975901</v>
      </c>
      <c r="L51" s="75">
        <f>VLOOKUP($A51,'Data Vlaue (Cr)'!$C:$FB,67)</f>
        <v>5554</v>
      </c>
      <c r="M51" s="75">
        <f>VLOOKUP($A51,'Data Vlaue (Cr)'!$C:$FB,68)</f>
        <v>3683</v>
      </c>
      <c r="N51" s="75">
        <f t="shared" si="4"/>
        <v>1871</v>
      </c>
      <c r="O51" s="75">
        <f t="shared" si="5"/>
        <v>33.68743248109471</v>
      </c>
      <c r="P51" s="75">
        <f>VLOOKUP($A51,'Data Vlaue (Cr)'!$C:$FB,119)</f>
        <v>0.88</v>
      </c>
      <c r="Q51" s="75">
        <f>VLOOKUP($A51,'Data Vlaue (Cr)'!$C:$FB,122)*100</f>
        <v>-6.38</v>
      </c>
      <c r="R51" s="75">
        <f>VLOOKUP($A51,'Data Vlaue (Cr)'!$C:$FB,125)</f>
        <v>0.88</v>
      </c>
      <c r="S51" s="75">
        <f>VLOOKUP($A51,'Data Vlaue (Cr)'!$C:$FB,128)*100</f>
        <v>0</v>
      </c>
    </row>
    <row r="52" spans="1:19" x14ac:dyDescent="0.25">
      <c r="A52" s="96" t="str">
        <f>'Data Vlaue (Cr)'!C43</f>
        <v>CDSL</v>
      </c>
      <c r="B52" s="75">
        <f>VLOOKUP($A52,'Data Vlaue (Cr)'!$C:$FB,2)</f>
        <v>475</v>
      </c>
      <c r="C52" s="75">
        <f>VLOOKUP($A52,'Data Vlaue (Cr)'!$C:$FB,8)</f>
        <v>1323.6</v>
      </c>
      <c r="D52" s="75">
        <f>VLOOKUP($A52,'Data Vlaue (Cr)'!$C:$FB,4)</f>
        <v>1321.6</v>
      </c>
      <c r="E52" s="75">
        <f>VLOOKUP($A52,'Data Vlaue (Cr)'!$C:$FB,5)</f>
        <v>1319.2</v>
      </c>
      <c r="F52" s="75">
        <f t="shared" si="0"/>
        <v>-2</v>
      </c>
      <c r="G52" s="75">
        <f t="shared" si="1"/>
        <v>0.18159806295398484</v>
      </c>
      <c r="H52" s="75">
        <f>VLOOKUP($A52,'Data Vlaue (Cr)'!$C:$FB,99)</f>
        <v>3158</v>
      </c>
      <c r="I52" s="75">
        <f>VLOOKUP($A52,'Data Vlaue (Cr)'!$C:$FB,100)</f>
        <v>3386</v>
      </c>
      <c r="J52" s="75">
        <f t="shared" si="2"/>
        <v>-228</v>
      </c>
      <c r="K52" s="75">
        <f t="shared" si="3"/>
        <v>-7.2197593413552879</v>
      </c>
      <c r="L52" s="75">
        <f>VLOOKUP($A52,'Data Vlaue (Cr)'!$C:$FB,67)</f>
        <v>2832</v>
      </c>
      <c r="M52" s="75">
        <f>VLOOKUP($A52,'Data Vlaue (Cr)'!$C:$FB,68)</f>
        <v>3821</v>
      </c>
      <c r="N52" s="75">
        <f t="shared" si="4"/>
        <v>-989</v>
      </c>
      <c r="O52" s="75">
        <f t="shared" si="5"/>
        <v>-34.922316384180789</v>
      </c>
      <c r="P52" s="75">
        <f>VLOOKUP($A52,'Data Vlaue (Cr)'!$C:$FB,119)</f>
        <v>0.81</v>
      </c>
      <c r="Q52" s="75">
        <f>VLOOKUP($A52,'Data Vlaue (Cr)'!$C:$FB,122)*100</f>
        <v>1.25</v>
      </c>
      <c r="R52" s="75">
        <f>VLOOKUP($A52,'Data Vlaue (Cr)'!$C:$FB,125)</f>
        <v>0.5</v>
      </c>
      <c r="S52" s="75">
        <f>VLOOKUP($A52,'Data Vlaue (Cr)'!$C:$FB,128)*100</f>
        <v>-25.369999999999997</v>
      </c>
    </row>
    <row r="53" spans="1:19" x14ac:dyDescent="0.25">
      <c r="A53" s="96" t="str">
        <f>'Data Vlaue (Cr)'!C44</f>
        <v>CGPOWER</v>
      </c>
      <c r="B53" s="75">
        <f>VLOOKUP($A53,'Data Vlaue (Cr)'!$C:$FB,2)</f>
        <v>850</v>
      </c>
      <c r="C53" s="75">
        <f>VLOOKUP($A53,'Data Vlaue (Cr)'!$C:$FB,8)</f>
        <v>837.8</v>
      </c>
      <c r="D53" s="75">
        <f>VLOOKUP($A53,'Data Vlaue (Cr)'!$C:$FB,4)</f>
        <v>837</v>
      </c>
      <c r="E53" s="75">
        <f>VLOOKUP($A53,'Data Vlaue (Cr)'!$C:$FB,5)</f>
        <v>826.65</v>
      </c>
      <c r="F53" s="75">
        <f t="shared" si="0"/>
        <v>-0.79999999999995453</v>
      </c>
      <c r="G53" s="75">
        <f t="shared" si="1"/>
        <v>1.2365591397849489</v>
      </c>
      <c r="H53" s="75">
        <f>VLOOKUP($A53,'Data Vlaue (Cr)'!$C:$FB,99)</f>
        <v>2659</v>
      </c>
      <c r="I53" s="75">
        <f>VLOOKUP($A53,'Data Vlaue (Cr)'!$C:$FB,100)</f>
        <v>2616</v>
      </c>
      <c r="J53" s="75">
        <f t="shared" si="2"/>
        <v>43</v>
      </c>
      <c r="K53" s="75">
        <f t="shared" si="3"/>
        <v>1.6171493042497178</v>
      </c>
      <c r="L53" s="75">
        <f>VLOOKUP($A53,'Data Vlaue (Cr)'!$C:$FB,67)</f>
        <v>3814</v>
      </c>
      <c r="M53" s="75">
        <f>VLOOKUP($A53,'Data Vlaue (Cr)'!$C:$FB,68)</f>
        <v>3248</v>
      </c>
      <c r="N53" s="75">
        <f t="shared" si="4"/>
        <v>566</v>
      </c>
      <c r="O53" s="75">
        <f t="shared" si="5"/>
        <v>14.840062926061877</v>
      </c>
      <c r="P53" s="75">
        <f>VLOOKUP($A53,'Data Vlaue (Cr)'!$C:$FB,119)</f>
        <v>0.74</v>
      </c>
      <c r="Q53" s="75">
        <f>VLOOKUP($A53,'Data Vlaue (Cr)'!$C:$FB,122)*100</f>
        <v>-5.13</v>
      </c>
      <c r="R53" s="75">
        <f>VLOOKUP($A53,'Data Vlaue (Cr)'!$C:$FB,125)</f>
        <v>0.39</v>
      </c>
      <c r="S53" s="75">
        <f>VLOOKUP($A53,'Data Vlaue (Cr)'!$C:$FB,128)*100</f>
        <v>-2.5</v>
      </c>
    </row>
    <row r="54" spans="1:19" x14ac:dyDescent="0.25">
      <c r="A54" s="96" t="str">
        <f>'Data Vlaue (Cr)'!C45</f>
        <v>CHOLAFIN</v>
      </c>
      <c r="B54" s="75">
        <f>VLOOKUP($A54,'Data Vlaue (Cr)'!$C:$FB,2)</f>
        <v>625</v>
      </c>
      <c r="C54" s="75">
        <f>VLOOKUP($A54,'Data Vlaue (Cr)'!$C:$FB,8)</f>
        <v>1543.4</v>
      </c>
      <c r="D54" s="75">
        <f>VLOOKUP($A54,'Data Vlaue (Cr)'!$C:$FB,4)</f>
        <v>1541.3</v>
      </c>
      <c r="E54" s="75">
        <f>VLOOKUP($A54,'Data Vlaue (Cr)'!$C:$FB,5)</f>
        <v>1565.9</v>
      </c>
      <c r="F54" s="75">
        <f t="shared" si="0"/>
        <v>-2.1000000000001364</v>
      </c>
      <c r="G54" s="75">
        <f t="shared" si="1"/>
        <v>-1.5960552780120767</v>
      </c>
      <c r="H54" s="75">
        <f>VLOOKUP($A54,'Data Vlaue (Cr)'!$C:$FB,99)</f>
        <v>4441</v>
      </c>
      <c r="I54" s="75">
        <f>VLOOKUP($A54,'Data Vlaue (Cr)'!$C:$FB,100)</f>
        <v>4501</v>
      </c>
      <c r="J54" s="75">
        <f t="shared" si="2"/>
        <v>-60</v>
      </c>
      <c r="K54" s="75">
        <f t="shared" si="3"/>
        <v>-1.3510470614726413</v>
      </c>
      <c r="L54" s="75">
        <f>VLOOKUP($A54,'Data Vlaue (Cr)'!$C:$FB,67)</f>
        <v>3687</v>
      </c>
      <c r="M54" s="75">
        <f>VLOOKUP($A54,'Data Vlaue (Cr)'!$C:$FB,68)</f>
        <v>2135</v>
      </c>
      <c r="N54" s="75">
        <f t="shared" si="4"/>
        <v>1552</v>
      </c>
      <c r="O54" s="75">
        <f t="shared" si="5"/>
        <v>42.093843232980745</v>
      </c>
      <c r="P54" s="75">
        <f>VLOOKUP($A54,'Data Vlaue (Cr)'!$C:$FB,119)</f>
        <v>0.71</v>
      </c>
      <c r="Q54" s="75">
        <f>VLOOKUP($A54,'Data Vlaue (Cr)'!$C:$FB,122)*100</f>
        <v>0</v>
      </c>
      <c r="R54" s="75">
        <f>VLOOKUP($A54,'Data Vlaue (Cr)'!$C:$FB,125)</f>
        <v>0.56999999999999995</v>
      </c>
      <c r="S54" s="75">
        <f>VLOOKUP($A54,'Data Vlaue (Cr)'!$C:$FB,128)*100</f>
        <v>16.329999999999998</v>
      </c>
    </row>
    <row r="55" spans="1:19" x14ac:dyDescent="0.25">
      <c r="A55" s="96" t="str">
        <f>'Data Vlaue (Cr)'!C46</f>
        <v>CIPLA</v>
      </c>
      <c r="B55" s="75">
        <f>VLOOKUP($A55,'Data Vlaue (Cr)'!$C:$FB,2)</f>
        <v>375</v>
      </c>
      <c r="C55" s="75">
        <f>VLOOKUP($A55,'Data Vlaue (Cr)'!$C:$FB,8)</f>
        <v>1305.9000000000001</v>
      </c>
      <c r="D55" s="75">
        <f>VLOOKUP($A55,'Data Vlaue (Cr)'!$C:$FB,4)</f>
        <v>1304.7</v>
      </c>
      <c r="E55" s="75">
        <f>VLOOKUP($A55,'Data Vlaue (Cr)'!$C:$FB,5)</f>
        <v>1238.4000000000001</v>
      </c>
      <c r="F55" s="75">
        <f t="shared" si="0"/>
        <v>-1.2000000000000455</v>
      </c>
      <c r="G55" s="75">
        <f t="shared" si="1"/>
        <v>5.0816279604506747</v>
      </c>
      <c r="H55" s="75">
        <f>VLOOKUP($A55,'Data Vlaue (Cr)'!$C:$FB,99)</f>
        <v>3380</v>
      </c>
      <c r="I55" s="75">
        <f>VLOOKUP($A55,'Data Vlaue (Cr)'!$C:$FB,100)</f>
        <v>3221</v>
      </c>
      <c r="J55" s="75">
        <f t="shared" si="2"/>
        <v>159</v>
      </c>
      <c r="K55" s="75">
        <f t="shared" si="3"/>
        <v>4.7041420118343193</v>
      </c>
      <c r="L55" s="75">
        <f>VLOOKUP($A55,'Data Vlaue (Cr)'!$C:$FB,67)</f>
        <v>10816</v>
      </c>
      <c r="M55" s="75">
        <f>VLOOKUP($A55,'Data Vlaue (Cr)'!$C:$FB,68)</f>
        <v>982</v>
      </c>
      <c r="N55" s="75">
        <f t="shared" si="4"/>
        <v>9834</v>
      </c>
      <c r="O55" s="75">
        <f t="shared" si="5"/>
        <v>90.920857988165679</v>
      </c>
      <c r="P55" s="75">
        <f>VLOOKUP($A55,'Data Vlaue (Cr)'!$C:$FB,119)</f>
        <v>0.98</v>
      </c>
      <c r="Q55" s="75">
        <f>VLOOKUP($A55,'Data Vlaue (Cr)'!$C:$FB,122)*100</f>
        <v>11.360000000000001</v>
      </c>
      <c r="R55" s="75">
        <f>VLOOKUP($A55,'Data Vlaue (Cr)'!$C:$FB,125)</f>
        <v>0.26</v>
      </c>
      <c r="S55" s="75">
        <f>VLOOKUP($A55,'Data Vlaue (Cr)'!$C:$FB,128)*100</f>
        <v>-36.590000000000003</v>
      </c>
    </row>
    <row r="56" spans="1:19" x14ac:dyDescent="0.25">
      <c r="A56" s="96" t="str">
        <f>'Data Vlaue (Cr)'!C47</f>
        <v>COALINDIA</v>
      </c>
      <c r="B56" s="75">
        <f>VLOOKUP($A56,'Data Vlaue (Cr)'!$C:$FB,2)</f>
        <v>1350</v>
      </c>
      <c r="C56" s="75">
        <f>VLOOKUP($A56,'Data Vlaue (Cr)'!$C:$FB,8)</f>
        <v>450.65</v>
      </c>
      <c r="D56" s="75">
        <f>VLOOKUP($A56,'Data Vlaue (Cr)'!$C:$FB,4)</f>
        <v>452.2</v>
      </c>
      <c r="E56" s="75">
        <f>VLOOKUP($A56,'Data Vlaue (Cr)'!$C:$FB,5)</f>
        <v>445.25</v>
      </c>
      <c r="F56" s="75">
        <f t="shared" si="0"/>
        <v>1.5500000000000114</v>
      </c>
      <c r="G56" s="75">
        <f t="shared" si="1"/>
        <v>1.5369305616983611</v>
      </c>
      <c r="H56" s="75">
        <f>VLOOKUP($A56,'Data Vlaue (Cr)'!$C:$FB,99)</f>
        <v>5896</v>
      </c>
      <c r="I56" s="75">
        <f>VLOOKUP($A56,'Data Vlaue (Cr)'!$C:$FB,100)</f>
        <v>6445</v>
      </c>
      <c r="J56" s="75">
        <f t="shared" si="2"/>
        <v>-549</v>
      </c>
      <c r="K56" s="75">
        <f t="shared" si="3"/>
        <v>-9.3113975576662149</v>
      </c>
      <c r="L56" s="75">
        <f>VLOOKUP($A56,'Data Vlaue (Cr)'!$C:$FB,67)</f>
        <v>7168</v>
      </c>
      <c r="M56" s="75">
        <f>VLOOKUP($A56,'Data Vlaue (Cr)'!$C:$FB,68)</f>
        <v>4611</v>
      </c>
      <c r="N56" s="75">
        <f t="shared" si="4"/>
        <v>2557</v>
      </c>
      <c r="O56" s="75">
        <f t="shared" si="5"/>
        <v>35.672433035714285</v>
      </c>
      <c r="P56" s="75">
        <f>VLOOKUP($A56,'Data Vlaue (Cr)'!$C:$FB,119)</f>
        <v>0.68</v>
      </c>
      <c r="Q56" s="75">
        <f>VLOOKUP($A56,'Data Vlaue (Cr)'!$C:$FB,122)*100</f>
        <v>9.68</v>
      </c>
      <c r="R56" s="75">
        <f>VLOOKUP($A56,'Data Vlaue (Cr)'!$C:$FB,125)</f>
        <v>0.57999999999999996</v>
      </c>
      <c r="S56" s="75">
        <f>VLOOKUP($A56,'Data Vlaue (Cr)'!$C:$FB,128)*100</f>
        <v>5.45</v>
      </c>
    </row>
    <row r="57" spans="1:19" x14ac:dyDescent="0.25">
      <c r="A57" s="96" t="str">
        <f>'Data Vlaue (Cr)'!C48</f>
        <v>COCHINSHIP</v>
      </c>
      <c r="B57" s="75">
        <f>VLOOKUP($A57,'Data Vlaue (Cr)'!$C:$FB,2)</f>
        <v>400</v>
      </c>
      <c r="C57" s="75">
        <f>VLOOKUP($A57,'Data Vlaue (Cr)'!$C:$FB,8)</f>
        <v>1592.8</v>
      </c>
      <c r="D57" s="75">
        <f>VLOOKUP($A57,'Data Vlaue (Cr)'!$C:$FB,4)</f>
        <v>1593.5</v>
      </c>
      <c r="E57" s="75">
        <f>VLOOKUP($A57,'Data Vlaue (Cr)'!$C:$FB,5)</f>
        <v>1584.5</v>
      </c>
      <c r="F57" s="75">
        <f t="shared" si="0"/>
        <v>0.70000000000004547</v>
      </c>
      <c r="G57" s="75">
        <f t="shared" si="1"/>
        <v>0.56479447756510825</v>
      </c>
      <c r="H57" s="75">
        <f>VLOOKUP($A57,'Data Vlaue (Cr)'!$C:$FB,99)</f>
        <v>619</v>
      </c>
      <c r="I57" s="75">
        <f>VLOOKUP($A57,'Data Vlaue (Cr)'!$C:$FB,100)</f>
        <v>635</v>
      </c>
      <c r="J57" s="75">
        <f t="shared" si="2"/>
        <v>-16</v>
      </c>
      <c r="K57" s="75">
        <f t="shared" si="3"/>
        <v>-2.5848142164781907</v>
      </c>
      <c r="L57" s="75">
        <f>VLOOKUP($A57,'Data Vlaue (Cr)'!$C:$FB,67)</f>
        <v>996</v>
      </c>
      <c r="M57" s="75">
        <f>VLOOKUP($A57,'Data Vlaue (Cr)'!$C:$FB,68)</f>
        <v>598</v>
      </c>
      <c r="N57" s="75">
        <f t="shared" si="4"/>
        <v>398</v>
      </c>
      <c r="O57" s="75">
        <f t="shared" si="5"/>
        <v>39.959839357429715</v>
      </c>
      <c r="P57" s="75">
        <f>VLOOKUP($A57,'Data Vlaue (Cr)'!$C:$FB,119)</f>
        <v>0.67</v>
      </c>
      <c r="Q57" s="75">
        <f>VLOOKUP($A57,'Data Vlaue (Cr)'!$C:$FB,122)*100</f>
        <v>6.35</v>
      </c>
      <c r="R57" s="75">
        <f>VLOOKUP($A57,'Data Vlaue (Cr)'!$C:$FB,125)</f>
        <v>0.28999999999999998</v>
      </c>
      <c r="S57" s="75">
        <f>VLOOKUP($A57,'Data Vlaue (Cr)'!$C:$FB,128)*100</f>
        <v>3.5700000000000003</v>
      </c>
    </row>
    <row r="58" spans="1:19" x14ac:dyDescent="0.25">
      <c r="A58" s="96" t="str">
        <f>'Data Vlaue (Cr)'!C49</f>
        <v>COFORGE</v>
      </c>
      <c r="B58" s="75">
        <f>VLOOKUP($A58,'Data Vlaue (Cr)'!$C:$FB,2)</f>
        <v>375</v>
      </c>
      <c r="C58" s="75">
        <f>VLOOKUP($A58,'Data Vlaue (Cr)'!$C:$FB,8)</f>
        <v>1220.5999999999999</v>
      </c>
      <c r="D58" s="75">
        <f>VLOOKUP($A58,'Data Vlaue (Cr)'!$C:$FB,4)</f>
        <v>1219.5</v>
      </c>
      <c r="E58" s="75">
        <f>VLOOKUP($A58,'Data Vlaue (Cr)'!$C:$FB,5)</f>
        <v>1240.9000000000001</v>
      </c>
      <c r="F58" s="75">
        <f t="shared" si="0"/>
        <v>-1.0999999999999091</v>
      </c>
      <c r="G58" s="75">
        <f t="shared" si="1"/>
        <v>-1.7548175481754893</v>
      </c>
      <c r="H58" s="75">
        <f>VLOOKUP($A58,'Data Vlaue (Cr)'!$C:$FB,99)</f>
        <v>4282</v>
      </c>
      <c r="I58" s="75">
        <f>VLOOKUP($A58,'Data Vlaue (Cr)'!$C:$FB,100)</f>
        <v>4247</v>
      </c>
      <c r="J58" s="75">
        <f t="shared" si="2"/>
        <v>35</v>
      </c>
      <c r="K58" s="75">
        <f t="shared" si="3"/>
        <v>0.81737505838393276</v>
      </c>
      <c r="L58" s="75">
        <f>VLOOKUP($A58,'Data Vlaue (Cr)'!$C:$FB,67)</f>
        <v>3369</v>
      </c>
      <c r="M58" s="75">
        <f>VLOOKUP($A58,'Data Vlaue (Cr)'!$C:$FB,68)</f>
        <v>5398</v>
      </c>
      <c r="N58" s="75">
        <f t="shared" si="4"/>
        <v>-2029</v>
      </c>
      <c r="O58" s="75">
        <f t="shared" si="5"/>
        <v>-60.225586227367167</v>
      </c>
      <c r="P58" s="75">
        <f>VLOOKUP($A58,'Data Vlaue (Cr)'!$C:$FB,119)</f>
        <v>0.54</v>
      </c>
      <c r="Q58" s="75">
        <f>VLOOKUP($A58,'Data Vlaue (Cr)'!$C:$FB,122)*100</f>
        <v>-6.9</v>
      </c>
      <c r="R58" s="75">
        <f>VLOOKUP($A58,'Data Vlaue (Cr)'!$C:$FB,125)</f>
        <v>0.56000000000000005</v>
      </c>
      <c r="S58" s="75">
        <f>VLOOKUP($A58,'Data Vlaue (Cr)'!$C:$FB,128)*100</f>
        <v>-9.68</v>
      </c>
    </row>
    <row r="59" spans="1:19" x14ac:dyDescent="0.25">
      <c r="A59" s="96" t="str">
        <f>'Data Vlaue (Cr)'!C50</f>
        <v>COLPAL</v>
      </c>
      <c r="B59" s="75">
        <f>VLOOKUP($A59,'Data Vlaue (Cr)'!$C:$FB,2)</f>
        <v>225</v>
      </c>
      <c r="C59" s="75">
        <f>VLOOKUP($A59,'Data Vlaue (Cr)'!$C:$FB,8)</f>
        <v>2150.1999999999998</v>
      </c>
      <c r="D59" s="75">
        <f>VLOOKUP($A59,'Data Vlaue (Cr)'!$C:$FB,4)</f>
        <v>2148.4</v>
      </c>
      <c r="E59" s="75">
        <f>VLOOKUP($A59,'Data Vlaue (Cr)'!$C:$FB,5)</f>
        <v>2105.6</v>
      </c>
      <c r="F59" s="75">
        <f t="shared" si="0"/>
        <v>-1.7999999999997272</v>
      </c>
      <c r="G59" s="75">
        <f t="shared" si="1"/>
        <v>1.9921802271457913</v>
      </c>
      <c r="H59" s="75">
        <f>VLOOKUP($A59,'Data Vlaue (Cr)'!$C:$FB,99)</f>
        <v>2096</v>
      </c>
      <c r="I59" s="75">
        <f>VLOOKUP($A59,'Data Vlaue (Cr)'!$C:$FB,100)</f>
        <v>2155</v>
      </c>
      <c r="J59" s="75">
        <f t="shared" si="2"/>
        <v>-59</v>
      </c>
      <c r="K59" s="75">
        <f t="shared" si="3"/>
        <v>-2.8148854961832059</v>
      </c>
      <c r="L59" s="75">
        <f>VLOOKUP($A59,'Data Vlaue (Cr)'!$C:$FB,67)</f>
        <v>2501</v>
      </c>
      <c r="M59" s="75">
        <f>VLOOKUP($A59,'Data Vlaue (Cr)'!$C:$FB,68)</f>
        <v>1497</v>
      </c>
      <c r="N59" s="75">
        <f t="shared" si="4"/>
        <v>1004</v>
      </c>
      <c r="O59" s="75">
        <f t="shared" si="5"/>
        <v>40.143942423030786</v>
      </c>
      <c r="P59" s="75">
        <f>VLOOKUP($A59,'Data Vlaue (Cr)'!$C:$FB,119)</f>
        <v>0.73</v>
      </c>
      <c r="Q59" s="75">
        <f>VLOOKUP($A59,'Data Vlaue (Cr)'!$C:$FB,122)*100</f>
        <v>7.35</v>
      </c>
      <c r="R59" s="75">
        <f>VLOOKUP($A59,'Data Vlaue (Cr)'!$C:$FB,125)</f>
        <v>0.51</v>
      </c>
      <c r="S59" s="75">
        <f>VLOOKUP($A59,'Data Vlaue (Cr)'!$C:$FB,128)*100</f>
        <v>18.600000000000001</v>
      </c>
    </row>
    <row r="60" spans="1:19" x14ac:dyDescent="0.25">
      <c r="A60" s="96" t="str">
        <f>'Data Vlaue (Cr)'!C51</f>
        <v>CONCOR</v>
      </c>
      <c r="B60" s="75">
        <f>VLOOKUP($A60,'Data Vlaue (Cr)'!$C:$FB,2)</f>
        <v>1250</v>
      </c>
      <c r="C60" s="75">
        <f>VLOOKUP($A60,'Data Vlaue (Cr)'!$C:$FB,8)</f>
        <v>505.05</v>
      </c>
      <c r="D60" s="75">
        <f>VLOOKUP($A60,'Data Vlaue (Cr)'!$C:$FB,4)</f>
        <v>504.3</v>
      </c>
      <c r="E60" s="75">
        <f>VLOOKUP($A60,'Data Vlaue (Cr)'!$C:$FB,5)</f>
        <v>515.1</v>
      </c>
      <c r="F60" s="75">
        <f t="shared" si="0"/>
        <v>-0.75</v>
      </c>
      <c r="G60" s="75">
        <f t="shared" si="1"/>
        <v>-2.1415823914336727</v>
      </c>
      <c r="H60" s="75">
        <f>VLOOKUP($A60,'Data Vlaue (Cr)'!$C:$FB,99)</f>
        <v>1977</v>
      </c>
      <c r="I60" s="75">
        <f>VLOOKUP($A60,'Data Vlaue (Cr)'!$C:$FB,100)</f>
        <v>1994</v>
      </c>
      <c r="J60" s="75">
        <f t="shared" si="2"/>
        <v>-17</v>
      </c>
      <c r="K60" s="75">
        <f t="shared" si="3"/>
        <v>-0.85988872028325747</v>
      </c>
      <c r="L60" s="75">
        <f>VLOOKUP($A60,'Data Vlaue (Cr)'!$C:$FB,67)</f>
        <v>1196</v>
      </c>
      <c r="M60" s="75">
        <f>VLOOKUP($A60,'Data Vlaue (Cr)'!$C:$FB,68)</f>
        <v>1178</v>
      </c>
      <c r="N60" s="75">
        <f t="shared" si="4"/>
        <v>18</v>
      </c>
      <c r="O60" s="75">
        <f t="shared" si="5"/>
        <v>1.5050167224080269</v>
      </c>
      <c r="P60" s="75">
        <f>VLOOKUP($A60,'Data Vlaue (Cr)'!$C:$FB,119)</f>
        <v>0.67</v>
      </c>
      <c r="Q60" s="75">
        <f>VLOOKUP($A60,'Data Vlaue (Cr)'!$C:$FB,122)*100</f>
        <v>4.6899999999999995</v>
      </c>
      <c r="R60" s="75">
        <f>VLOOKUP($A60,'Data Vlaue (Cr)'!$C:$FB,125)</f>
        <v>0.35</v>
      </c>
      <c r="S60" s="75">
        <f>VLOOKUP($A60,'Data Vlaue (Cr)'!$C:$FB,128)*100</f>
        <v>94.44</v>
      </c>
    </row>
    <row r="61" spans="1:19" x14ac:dyDescent="0.25">
      <c r="A61" s="96" t="str">
        <f>'Data Vlaue (Cr)'!C52</f>
        <v>CROMPTON</v>
      </c>
      <c r="B61" s="75">
        <f>VLOOKUP($A61,'Data Vlaue (Cr)'!$C:$FB,2)</f>
        <v>1800</v>
      </c>
      <c r="C61" s="75">
        <f>VLOOKUP($A61,'Data Vlaue (Cr)'!$C:$FB,8)</f>
        <v>253.39</v>
      </c>
      <c r="D61" s="75">
        <f>VLOOKUP($A61,'Data Vlaue (Cr)'!$C:$FB,4)</f>
        <v>253.05</v>
      </c>
      <c r="E61" s="75">
        <f>VLOOKUP($A61,'Data Vlaue (Cr)'!$C:$FB,5)</f>
        <v>260.85000000000002</v>
      </c>
      <c r="F61" s="75">
        <f t="shared" si="0"/>
        <v>-0.33999999999997499</v>
      </c>
      <c r="G61" s="75">
        <f t="shared" si="1"/>
        <v>-3.0823947836396011</v>
      </c>
      <c r="H61" s="75">
        <f>VLOOKUP($A61,'Data Vlaue (Cr)'!$C:$FB,99)</f>
        <v>1632</v>
      </c>
      <c r="I61" s="75">
        <f>VLOOKUP($A61,'Data Vlaue (Cr)'!$C:$FB,100)</f>
        <v>1718</v>
      </c>
      <c r="J61" s="75">
        <f t="shared" si="2"/>
        <v>-86</v>
      </c>
      <c r="K61" s="75">
        <f t="shared" si="3"/>
        <v>-5.2696078431372548</v>
      </c>
      <c r="L61" s="75">
        <f>VLOOKUP($A61,'Data Vlaue (Cr)'!$C:$FB,67)</f>
        <v>1772</v>
      </c>
      <c r="M61" s="75">
        <f>VLOOKUP($A61,'Data Vlaue (Cr)'!$C:$FB,68)</f>
        <v>522</v>
      </c>
      <c r="N61" s="75">
        <f t="shared" si="4"/>
        <v>1250</v>
      </c>
      <c r="O61" s="75">
        <f t="shared" si="5"/>
        <v>70.541760722347632</v>
      </c>
      <c r="P61" s="75">
        <f>VLOOKUP($A61,'Data Vlaue (Cr)'!$C:$FB,119)</f>
        <v>0.59</v>
      </c>
      <c r="Q61" s="75">
        <f>VLOOKUP($A61,'Data Vlaue (Cr)'!$C:$FB,122)*100</f>
        <v>3.51</v>
      </c>
      <c r="R61" s="75">
        <f>VLOOKUP($A61,'Data Vlaue (Cr)'!$C:$FB,125)</f>
        <v>0.55000000000000004</v>
      </c>
      <c r="S61" s="75">
        <f>VLOOKUP($A61,'Data Vlaue (Cr)'!$C:$FB,128)*100</f>
        <v>66.67</v>
      </c>
    </row>
    <row r="62" spans="1:19" x14ac:dyDescent="0.25">
      <c r="A62" s="96" t="str">
        <f>'Data Vlaue (Cr)'!C53</f>
        <v>CUMMINSIND</v>
      </c>
      <c r="B62" s="75">
        <f>VLOOKUP($A62,'Data Vlaue (Cr)'!$C:$FB,2)</f>
        <v>200</v>
      </c>
      <c r="C62" s="75">
        <f>VLOOKUP($A62,'Data Vlaue (Cr)'!$C:$FB,8)</f>
        <v>5176.8999999999996</v>
      </c>
      <c r="D62" s="75">
        <f>VLOOKUP($A62,'Data Vlaue (Cr)'!$C:$FB,4)</f>
        <v>5170.2</v>
      </c>
      <c r="E62" s="75">
        <f>VLOOKUP($A62,'Data Vlaue (Cr)'!$C:$FB,5)</f>
        <v>5219.6000000000004</v>
      </c>
      <c r="F62" s="75">
        <f t="shared" si="0"/>
        <v>-6.6999999999998181</v>
      </c>
      <c r="G62" s="75">
        <f t="shared" si="1"/>
        <v>-0.95547561022785477</v>
      </c>
      <c r="H62" s="75">
        <f>VLOOKUP($A62,'Data Vlaue (Cr)'!$C:$FB,99)</f>
        <v>3375</v>
      </c>
      <c r="I62" s="75">
        <f>VLOOKUP($A62,'Data Vlaue (Cr)'!$C:$FB,100)</f>
        <v>3434</v>
      </c>
      <c r="J62" s="75">
        <f t="shared" si="2"/>
        <v>-59</v>
      </c>
      <c r="K62" s="75">
        <f t="shared" si="3"/>
        <v>-1.748148148148148</v>
      </c>
      <c r="L62" s="75">
        <f>VLOOKUP($A62,'Data Vlaue (Cr)'!$C:$FB,67)</f>
        <v>4397</v>
      </c>
      <c r="M62" s="75">
        <f>VLOOKUP($A62,'Data Vlaue (Cr)'!$C:$FB,68)</f>
        <v>4933</v>
      </c>
      <c r="N62" s="75">
        <f t="shared" si="4"/>
        <v>-536</v>
      </c>
      <c r="O62" s="75">
        <f t="shared" si="5"/>
        <v>-12.190129633841256</v>
      </c>
      <c r="P62" s="75">
        <f>VLOOKUP($A62,'Data Vlaue (Cr)'!$C:$FB,119)</f>
        <v>0.75</v>
      </c>
      <c r="Q62" s="75">
        <f>VLOOKUP($A62,'Data Vlaue (Cr)'!$C:$FB,122)*100</f>
        <v>2.74</v>
      </c>
      <c r="R62" s="75">
        <f>VLOOKUP($A62,'Data Vlaue (Cr)'!$C:$FB,125)</f>
        <v>1.23</v>
      </c>
      <c r="S62" s="75">
        <f>VLOOKUP($A62,'Data Vlaue (Cr)'!$C:$FB,128)*100</f>
        <v>136.54</v>
      </c>
    </row>
    <row r="63" spans="1:19" x14ac:dyDescent="0.25">
      <c r="A63" s="96" t="str">
        <f>'Data Vlaue (Cr)'!C54</f>
        <v>DABUR</v>
      </c>
      <c r="B63" s="75">
        <f>VLOOKUP($A63,'Data Vlaue (Cr)'!$C:$FB,2)</f>
        <v>1250</v>
      </c>
      <c r="C63" s="75">
        <f>VLOOKUP($A63,'Data Vlaue (Cr)'!$C:$FB,8)</f>
        <v>460</v>
      </c>
      <c r="D63" s="75">
        <f>VLOOKUP($A63,'Data Vlaue (Cr)'!$C:$FB,4)</f>
        <v>459.5</v>
      </c>
      <c r="E63" s="75">
        <f>VLOOKUP($A63,'Data Vlaue (Cr)'!$C:$FB,5)</f>
        <v>459.7</v>
      </c>
      <c r="F63" s="75">
        <f t="shared" si="0"/>
        <v>-0.5</v>
      </c>
      <c r="G63" s="75">
        <f t="shared" si="1"/>
        <v>-4.3525571273120484E-2</v>
      </c>
      <c r="H63" s="75">
        <f>VLOOKUP($A63,'Data Vlaue (Cr)'!$C:$FB,99)</f>
        <v>2255</v>
      </c>
      <c r="I63" s="75">
        <f>VLOOKUP($A63,'Data Vlaue (Cr)'!$C:$FB,100)</f>
        <v>2246</v>
      </c>
      <c r="J63" s="75">
        <f t="shared" si="2"/>
        <v>9</v>
      </c>
      <c r="K63" s="75">
        <f t="shared" si="3"/>
        <v>0.3991130820399113</v>
      </c>
      <c r="L63" s="75">
        <f>VLOOKUP($A63,'Data Vlaue (Cr)'!$C:$FB,67)</f>
        <v>1577</v>
      </c>
      <c r="M63" s="75">
        <f>VLOOKUP($A63,'Data Vlaue (Cr)'!$C:$FB,68)</f>
        <v>1974</v>
      </c>
      <c r="N63" s="75">
        <f t="shared" si="4"/>
        <v>-397</v>
      </c>
      <c r="O63" s="75">
        <f t="shared" si="5"/>
        <v>-25.174381737476221</v>
      </c>
      <c r="P63" s="75">
        <f>VLOOKUP($A63,'Data Vlaue (Cr)'!$C:$FB,119)</f>
        <v>0.88</v>
      </c>
      <c r="Q63" s="75">
        <f>VLOOKUP($A63,'Data Vlaue (Cr)'!$C:$FB,122)*100</f>
        <v>8.64</v>
      </c>
      <c r="R63" s="75">
        <f>VLOOKUP($A63,'Data Vlaue (Cr)'!$C:$FB,125)</f>
        <v>0.43</v>
      </c>
      <c r="S63" s="75">
        <f>VLOOKUP($A63,'Data Vlaue (Cr)'!$C:$FB,128)*100</f>
        <v>19.439999999999998</v>
      </c>
    </row>
    <row r="64" spans="1:19" x14ac:dyDescent="0.25">
      <c r="A64" s="96" t="str">
        <f>'Data Vlaue (Cr)'!C55</f>
        <v>DALBHARAT</v>
      </c>
      <c r="B64" s="75">
        <f>VLOOKUP($A64,'Data Vlaue (Cr)'!$C:$FB,2)</f>
        <v>325</v>
      </c>
      <c r="C64" s="75">
        <f>VLOOKUP($A64,'Data Vlaue (Cr)'!$C:$FB,8)</f>
        <v>1958.8</v>
      </c>
      <c r="D64" s="75">
        <f>VLOOKUP($A64,'Data Vlaue (Cr)'!$C:$FB,4)</f>
        <v>1955.6</v>
      </c>
      <c r="E64" s="75">
        <f>VLOOKUP($A64,'Data Vlaue (Cr)'!$C:$FB,5)</f>
        <v>1990.6</v>
      </c>
      <c r="F64" s="75">
        <f t="shared" si="0"/>
        <v>-3.2000000000000455</v>
      </c>
      <c r="G64" s="75">
        <f t="shared" si="1"/>
        <v>-1.7897320515442832</v>
      </c>
      <c r="H64" s="75">
        <f>VLOOKUP($A64,'Data Vlaue (Cr)'!$C:$FB,99)</f>
        <v>885</v>
      </c>
      <c r="I64" s="75">
        <f>VLOOKUP($A64,'Data Vlaue (Cr)'!$C:$FB,100)</f>
        <v>930</v>
      </c>
      <c r="J64" s="75">
        <f t="shared" si="2"/>
        <v>-45</v>
      </c>
      <c r="K64" s="75">
        <f t="shared" si="3"/>
        <v>-5.0847457627118651</v>
      </c>
      <c r="L64" s="75">
        <f>VLOOKUP($A64,'Data Vlaue (Cr)'!$C:$FB,67)</f>
        <v>933</v>
      </c>
      <c r="M64" s="75">
        <f>VLOOKUP($A64,'Data Vlaue (Cr)'!$C:$FB,68)</f>
        <v>388</v>
      </c>
      <c r="N64" s="75">
        <f t="shared" si="4"/>
        <v>545</v>
      </c>
      <c r="O64" s="75">
        <f t="shared" si="5"/>
        <v>58.413719185423361</v>
      </c>
      <c r="P64" s="75">
        <f>VLOOKUP($A64,'Data Vlaue (Cr)'!$C:$FB,119)</f>
        <v>0.74</v>
      </c>
      <c r="Q64" s="75">
        <f>VLOOKUP($A64,'Data Vlaue (Cr)'!$C:$FB,122)*100</f>
        <v>-15.909999999999998</v>
      </c>
      <c r="R64" s="75">
        <f>VLOOKUP($A64,'Data Vlaue (Cr)'!$C:$FB,125)</f>
        <v>0.72</v>
      </c>
      <c r="S64" s="75">
        <f>VLOOKUP($A64,'Data Vlaue (Cr)'!$C:$FB,128)*100</f>
        <v>53.190000000000005</v>
      </c>
    </row>
    <row r="65" spans="1:19" x14ac:dyDescent="0.25">
      <c r="A65" s="96" t="str">
        <f>'Data Vlaue (Cr)'!C56</f>
        <v>DELHIVERY</v>
      </c>
      <c r="B65" s="75">
        <f>VLOOKUP($A65,'Data Vlaue (Cr)'!$C:$FB,2)</f>
        <v>2075</v>
      </c>
      <c r="C65" s="75">
        <f>VLOOKUP($A65,'Data Vlaue (Cr)'!$C:$FB,8)</f>
        <v>449.4</v>
      </c>
      <c r="D65" s="75">
        <f>VLOOKUP($A65,'Data Vlaue (Cr)'!$C:$FB,4)</f>
        <v>450.35</v>
      </c>
      <c r="E65" s="75">
        <f>VLOOKUP($A65,'Data Vlaue (Cr)'!$C:$FB,5)</f>
        <v>462.55</v>
      </c>
      <c r="F65" s="75">
        <f t="shared" si="0"/>
        <v>0.95000000000004547</v>
      </c>
      <c r="G65" s="75">
        <f t="shared" si="1"/>
        <v>-2.7090041079160625</v>
      </c>
      <c r="H65" s="75">
        <f>VLOOKUP($A65,'Data Vlaue (Cr)'!$C:$FB,99)</f>
        <v>2381</v>
      </c>
      <c r="I65" s="75">
        <f>VLOOKUP($A65,'Data Vlaue (Cr)'!$C:$FB,100)</f>
        <v>2443</v>
      </c>
      <c r="J65" s="75">
        <f t="shared" si="2"/>
        <v>-62</v>
      </c>
      <c r="K65" s="75">
        <f t="shared" si="3"/>
        <v>-2.6039479210415792</v>
      </c>
      <c r="L65" s="75">
        <f>VLOOKUP($A65,'Data Vlaue (Cr)'!$C:$FB,67)</f>
        <v>2082</v>
      </c>
      <c r="M65" s="75">
        <f>VLOOKUP($A65,'Data Vlaue (Cr)'!$C:$FB,68)</f>
        <v>3131</v>
      </c>
      <c r="N65" s="75">
        <f t="shared" si="4"/>
        <v>-1049</v>
      </c>
      <c r="O65" s="75">
        <f t="shared" si="5"/>
        <v>-50.384245917387126</v>
      </c>
      <c r="P65" s="75">
        <f>VLOOKUP($A65,'Data Vlaue (Cr)'!$C:$FB,119)</f>
        <v>0.4</v>
      </c>
      <c r="Q65" s="75">
        <f>VLOOKUP($A65,'Data Vlaue (Cr)'!$C:$FB,122)*100</f>
        <v>5.26</v>
      </c>
      <c r="R65" s="75">
        <f>VLOOKUP($A65,'Data Vlaue (Cr)'!$C:$FB,125)</f>
        <v>0.35</v>
      </c>
      <c r="S65" s="75">
        <f>VLOOKUP($A65,'Data Vlaue (Cr)'!$C:$FB,128)*100</f>
        <v>-38.6</v>
      </c>
    </row>
    <row r="66" spans="1:19" x14ac:dyDescent="0.25">
      <c r="A66" s="96" t="str">
        <f>'Data Vlaue (Cr)'!C57</f>
        <v>DIVISLAB</v>
      </c>
      <c r="B66" s="75">
        <f>VLOOKUP($A66,'Data Vlaue (Cr)'!$C:$FB,2)</f>
        <v>100</v>
      </c>
      <c r="C66" s="75">
        <f>VLOOKUP($A66,'Data Vlaue (Cr)'!$C:$FB,8)</f>
        <v>6378.5</v>
      </c>
      <c r="D66" s="75">
        <f>VLOOKUP($A66,'Data Vlaue (Cr)'!$C:$FB,4)</f>
        <v>6369.5</v>
      </c>
      <c r="E66" s="75">
        <f>VLOOKUP($A66,'Data Vlaue (Cr)'!$C:$FB,5)</f>
        <v>6286.5</v>
      </c>
      <c r="F66" s="75">
        <f t="shared" si="0"/>
        <v>-9</v>
      </c>
      <c r="G66" s="75">
        <f t="shared" si="1"/>
        <v>1.3030850145223329</v>
      </c>
      <c r="H66" s="75">
        <f>VLOOKUP($A66,'Data Vlaue (Cr)'!$C:$FB,99)</f>
        <v>2805</v>
      </c>
      <c r="I66" s="75">
        <f>VLOOKUP($A66,'Data Vlaue (Cr)'!$C:$FB,100)</f>
        <v>2790</v>
      </c>
      <c r="J66" s="75">
        <f t="shared" si="2"/>
        <v>15</v>
      </c>
      <c r="K66" s="75">
        <f t="shared" si="3"/>
        <v>0.53475935828876997</v>
      </c>
      <c r="L66" s="75">
        <f>VLOOKUP($A66,'Data Vlaue (Cr)'!$C:$FB,67)</f>
        <v>4876</v>
      </c>
      <c r="M66" s="75">
        <f>VLOOKUP($A66,'Data Vlaue (Cr)'!$C:$FB,68)</f>
        <v>1519</v>
      </c>
      <c r="N66" s="75">
        <f t="shared" si="4"/>
        <v>3357</v>
      </c>
      <c r="O66" s="75">
        <f t="shared" si="5"/>
        <v>68.847415914684163</v>
      </c>
      <c r="P66" s="75">
        <f>VLOOKUP($A66,'Data Vlaue (Cr)'!$C:$FB,119)</f>
        <v>1.07</v>
      </c>
      <c r="Q66" s="75">
        <f>VLOOKUP($A66,'Data Vlaue (Cr)'!$C:$FB,122)*100</f>
        <v>-2.73</v>
      </c>
      <c r="R66" s="75">
        <f>VLOOKUP($A66,'Data Vlaue (Cr)'!$C:$FB,125)</f>
        <v>0.25</v>
      </c>
      <c r="S66" s="75">
        <f>VLOOKUP($A66,'Data Vlaue (Cr)'!$C:$FB,128)*100</f>
        <v>-51.92</v>
      </c>
    </row>
    <row r="67" spans="1:19" x14ac:dyDescent="0.25">
      <c r="A67" s="96" t="str">
        <f>'Data Vlaue (Cr)'!C58</f>
        <v>DIXON</v>
      </c>
      <c r="B67" s="75">
        <f>VLOOKUP($A67,'Data Vlaue (Cr)'!$C:$FB,2)</f>
        <v>50</v>
      </c>
      <c r="C67" s="75">
        <f>VLOOKUP($A67,'Data Vlaue (Cr)'!$C:$FB,8)</f>
        <v>10866.5</v>
      </c>
      <c r="D67" s="75">
        <f>VLOOKUP($A67,'Data Vlaue (Cr)'!$C:$FB,4)</f>
        <v>10827.5</v>
      </c>
      <c r="E67" s="75">
        <f>VLOOKUP($A67,'Data Vlaue (Cr)'!$C:$FB,5)</f>
        <v>11279</v>
      </c>
      <c r="F67" s="75">
        <f t="shared" si="0"/>
        <v>-39</v>
      </c>
      <c r="G67" s="75">
        <f t="shared" si="1"/>
        <v>-4.1699376587393218</v>
      </c>
      <c r="H67" s="75">
        <f>VLOOKUP($A67,'Data Vlaue (Cr)'!$C:$FB,99)</f>
        <v>7130</v>
      </c>
      <c r="I67" s="75">
        <f>VLOOKUP($A67,'Data Vlaue (Cr)'!$C:$FB,100)</f>
        <v>7130</v>
      </c>
      <c r="J67" s="75">
        <f t="shared" si="2"/>
        <v>0</v>
      </c>
      <c r="K67" s="75">
        <f t="shared" si="3"/>
        <v>0</v>
      </c>
      <c r="L67" s="75">
        <f>VLOOKUP($A67,'Data Vlaue (Cr)'!$C:$FB,67)</f>
        <v>10046</v>
      </c>
      <c r="M67" s="75">
        <f>VLOOKUP($A67,'Data Vlaue (Cr)'!$C:$FB,68)</f>
        <v>4814</v>
      </c>
      <c r="N67" s="75">
        <f t="shared" si="4"/>
        <v>5232</v>
      </c>
      <c r="O67" s="75">
        <f t="shared" si="5"/>
        <v>52.080430021899261</v>
      </c>
      <c r="P67" s="75">
        <f>VLOOKUP($A67,'Data Vlaue (Cr)'!$C:$FB,119)</f>
        <v>0.7</v>
      </c>
      <c r="Q67" s="75">
        <f>VLOOKUP($A67,'Data Vlaue (Cr)'!$C:$FB,122)*100</f>
        <v>-6.67</v>
      </c>
      <c r="R67" s="75">
        <f>VLOOKUP($A67,'Data Vlaue (Cr)'!$C:$FB,125)</f>
        <v>0.65</v>
      </c>
      <c r="S67" s="75">
        <f>VLOOKUP($A67,'Data Vlaue (Cr)'!$C:$FB,128)*100</f>
        <v>8.33</v>
      </c>
    </row>
    <row r="68" spans="1:19" x14ac:dyDescent="0.25">
      <c r="A68" s="96" t="str">
        <f>'Data Vlaue (Cr)'!C59</f>
        <v>DLF</v>
      </c>
      <c r="B68" s="75">
        <f>VLOOKUP($A68,'Data Vlaue (Cr)'!$C:$FB,2)</f>
        <v>825</v>
      </c>
      <c r="C68" s="75">
        <f>VLOOKUP($A68,'Data Vlaue (Cr)'!$C:$FB,8)</f>
        <v>592.79999999999995</v>
      </c>
      <c r="D68" s="75">
        <f>VLOOKUP($A68,'Data Vlaue (Cr)'!$C:$FB,4)</f>
        <v>591.9</v>
      </c>
      <c r="E68" s="75">
        <f>VLOOKUP($A68,'Data Vlaue (Cr)'!$C:$FB,5)</f>
        <v>610.1</v>
      </c>
      <c r="F68" s="75">
        <f t="shared" si="0"/>
        <v>-0.89999999999997726</v>
      </c>
      <c r="G68" s="75">
        <f t="shared" si="1"/>
        <v>-3.0748437236019677</v>
      </c>
      <c r="H68" s="75">
        <f>VLOOKUP($A68,'Data Vlaue (Cr)'!$C:$FB,99)</f>
        <v>4316</v>
      </c>
      <c r="I68" s="75">
        <f>VLOOKUP($A68,'Data Vlaue (Cr)'!$C:$FB,100)</f>
        <v>4283</v>
      </c>
      <c r="J68" s="75">
        <f t="shared" si="2"/>
        <v>33</v>
      </c>
      <c r="K68" s="75">
        <f t="shared" si="3"/>
        <v>0.76459684893419833</v>
      </c>
      <c r="L68" s="75">
        <f>VLOOKUP($A68,'Data Vlaue (Cr)'!$C:$FB,67)</f>
        <v>2664</v>
      </c>
      <c r="M68" s="75">
        <f>VLOOKUP($A68,'Data Vlaue (Cr)'!$C:$FB,68)</f>
        <v>2034</v>
      </c>
      <c r="N68" s="75">
        <f t="shared" si="4"/>
        <v>630</v>
      </c>
      <c r="O68" s="75">
        <f t="shared" si="5"/>
        <v>23.648648648648649</v>
      </c>
      <c r="P68" s="75">
        <f>VLOOKUP($A68,'Data Vlaue (Cr)'!$C:$FB,119)</f>
        <v>0.96</v>
      </c>
      <c r="Q68" s="75">
        <f>VLOOKUP($A68,'Data Vlaue (Cr)'!$C:$FB,122)*100</f>
        <v>-7.6899999999999995</v>
      </c>
      <c r="R68" s="75">
        <f>VLOOKUP($A68,'Data Vlaue (Cr)'!$C:$FB,125)</f>
        <v>0.71</v>
      </c>
      <c r="S68" s="75">
        <f>VLOOKUP($A68,'Data Vlaue (Cr)'!$C:$FB,128)*100</f>
        <v>29.09</v>
      </c>
    </row>
    <row r="69" spans="1:19" x14ac:dyDescent="0.25">
      <c r="A69" s="96" t="str">
        <f>'Data Vlaue (Cr)'!C60</f>
        <v>DMART</v>
      </c>
      <c r="B69" s="75">
        <f>VLOOKUP($A69,'Data Vlaue (Cr)'!$C:$FB,2)</f>
        <v>150</v>
      </c>
      <c r="C69" s="75">
        <f>VLOOKUP($A69,'Data Vlaue (Cr)'!$C:$FB,8)</f>
        <v>4521.2</v>
      </c>
      <c r="D69" s="75">
        <f>VLOOKUP($A69,'Data Vlaue (Cr)'!$C:$FB,4)</f>
        <v>4529.3</v>
      </c>
      <c r="E69" s="75">
        <f>VLOOKUP($A69,'Data Vlaue (Cr)'!$C:$FB,5)</f>
        <v>4592.6000000000004</v>
      </c>
      <c r="F69" s="75">
        <f t="shared" si="0"/>
        <v>8.1000000000003638</v>
      </c>
      <c r="G69" s="75">
        <f t="shared" si="1"/>
        <v>-1.397566952950791</v>
      </c>
      <c r="H69" s="75">
        <f>VLOOKUP($A69,'Data Vlaue (Cr)'!$C:$FB,99)</f>
        <v>3243</v>
      </c>
      <c r="I69" s="75">
        <f>VLOOKUP($A69,'Data Vlaue (Cr)'!$C:$FB,100)</f>
        <v>3457</v>
      </c>
      <c r="J69" s="75">
        <f t="shared" si="2"/>
        <v>-214</v>
      </c>
      <c r="K69" s="75">
        <f t="shared" si="3"/>
        <v>-6.5988282454517417</v>
      </c>
      <c r="L69" s="75">
        <f>VLOOKUP($A69,'Data Vlaue (Cr)'!$C:$FB,67)</f>
        <v>3506</v>
      </c>
      <c r="M69" s="75">
        <f>VLOOKUP($A69,'Data Vlaue (Cr)'!$C:$FB,68)</f>
        <v>2675</v>
      </c>
      <c r="N69" s="75">
        <f t="shared" si="4"/>
        <v>831</v>
      </c>
      <c r="O69" s="75">
        <f t="shared" si="5"/>
        <v>23.702224757558472</v>
      </c>
      <c r="P69" s="75">
        <f>VLOOKUP($A69,'Data Vlaue (Cr)'!$C:$FB,119)</f>
        <v>0.86</v>
      </c>
      <c r="Q69" s="75">
        <f>VLOOKUP($A69,'Data Vlaue (Cr)'!$C:$FB,122)*100</f>
        <v>-3.37</v>
      </c>
      <c r="R69" s="75">
        <f>VLOOKUP($A69,'Data Vlaue (Cr)'!$C:$FB,125)</f>
        <v>0.77</v>
      </c>
      <c r="S69" s="75">
        <f>VLOOKUP($A69,'Data Vlaue (Cr)'!$C:$FB,128)*100</f>
        <v>-1.28</v>
      </c>
    </row>
    <row r="70" spans="1:19" x14ac:dyDescent="0.25">
      <c r="A70" s="96" t="str">
        <f>'Data Vlaue (Cr)'!C61</f>
        <v>DRREDDY</v>
      </c>
      <c r="B70" s="75">
        <f>VLOOKUP($A70,'Data Vlaue (Cr)'!$C:$FB,2)</f>
        <v>625</v>
      </c>
      <c r="C70" s="75">
        <f>VLOOKUP($A70,'Data Vlaue (Cr)'!$C:$FB,8)</f>
        <v>1331</v>
      </c>
      <c r="D70" s="75">
        <f>VLOOKUP($A70,'Data Vlaue (Cr)'!$C:$FB,4)</f>
        <v>1323.8</v>
      </c>
      <c r="E70" s="75">
        <f>VLOOKUP($A70,'Data Vlaue (Cr)'!$C:$FB,5)</f>
        <v>1210.9000000000001</v>
      </c>
      <c r="F70" s="75">
        <f t="shared" si="0"/>
        <v>-7.2000000000000455</v>
      </c>
      <c r="G70" s="75">
        <f t="shared" si="1"/>
        <v>8.5284786221483522</v>
      </c>
      <c r="H70" s="75">
        <f>VLOOKUP($A70,'Data Vlaue (Cr)'!$C:$FB,99)</f>
        <v>5026</v>
      </c>
      <c r="I70" s="75">
        <f>VLOOKUP($A70,'Data Vlaue (Cr)'!$C:$FB,100)</f>
        <v>3749</v>
      </c>
      <c r="J70" s="75">
        <f t="shared" si="2"/>
        <v>1277</v>
      </c>
      <c r="K70" s="75">
        <f t="shared" si="3"/>
        <v>25.407879029048946</v>
      </c>
      <c r="L70" s="75">
        <f>VLOOKUP($A70,'Data Vlaue (Cr)'!$C:$FB,67)</f>
        <v>39770</v>
      </c>
      <c r="M70" s="75">
        <f>VLOOKUP($A70,'Data Vlaue (Cr)'!$C:$FB,68)</f>
        <v>2488</v>
      </c>
      <c r="N70" s="75">
        <f t="shared" si="4"/>
        <v>37282</v>
      </c>
      <c r="O70" s="75">
        <f t="shared" si="5"/>
        <v>93.744028161931098</v>
      </c>
      <c r="P70" s="75">
        <f>VLOOKUP($A70,'Data Vlaue (Cr)'!$C:$FB,119)</f>
        <v>0.66</v>
      </c>
      <c r="Q70" s="75">
        <f>VLOOKUP($A70,'Data Vlaue (Cr)'!$C:$FB,122)*100</f>
        <v>-4.3499999999999996</v>
      </c>
      <c r="R70" s="75">
        <f>VLOOKUP($A70,'Data Vlaue (Cr)'!$C:$FB,125)</f>
        <v>0.4</v>
      </c>
      <c r="S70" s="75">
        <f>VLOOKUP($A70,'Data Vlaue (Cr)'!$C:$FB,128)*100</f>
        <v>-11.110000000000001</v>
      </c>
    </row>
    <row r="71" spans="1:19" x14ac:dyDescent="0.25">
      <c r="A71" s="96" t="str">
        <f>'Data Vlaue (Cr)'!C62</f>
        <v>EICHERMOT</v>
      </c>
      <c r="B71" s="75">
        <f>VLOOKUP($A71,'Data Vlaue (Cr)'!$C:$FB,2)</f>
        <v>100</v>
      </c>
      <c r="C71" s="75">
        <f>VLOOKUP($A71,'Data Vlaue (Cr)'!$C:$FB,8)</f>
        <v>7092.5</v>
      </c>
      <c r="D71" s="75">
        <f>VLOOKUP($A71,'Data Vlaue (Cr)'!$C:$FB,4)</f>
        <v>7086</v>
      </c>
      <c r="E71" s="75">
        <f>VLOOKUP($A71,'Data Vlaue (Cr)'!$C:$FB,5)</f>
        <v>7220.5</v>
      </c>
      <c r="F71" s="75">
        <f t="shared" si="0"/>
        <v>-6.5</v>
      </c>
      <c r="G71" s="75">
        <f t="shared" si="1"/>
        <v>-1.8981089472198702</v>
      </c>
      <c r="H71" s="75">
        <f>VLOOKUP($A71,'Data Vlaue (Cr)'!$C:$FB,99)</f>
        <v>5278</v>
      </c>
      <c r="I71" s="75">
        <f>VLOOKUP($A71,'Data Vlaue (Cr)'!$C:$FB,100)</f>
        <v>5364</v>
      </c>
      <c r="J71" s="75">
        <f t="shared" si="2"/>
        <v>-86</v>
      </c>
      <c r="K71" s="75">
        <f t="shared" si="3"/>
        <v>-1.6294050776809399</v>
      </c>
      <c r="L71" s="75">
        <f>VLOOKUP($A71,'Data Vlaue (Cr)'!$C:$FB,67)</f>
        <v>4680</v>
      </c>
      <c r="M71" s="75">
        <f>VLOOKUP($A71,'Data Vlaue (Cr)'!$C:$FB,68)</f>
        <v>2967</v>
      </c>
      <c r="N71" s="75">
        <f t="shared" si="4"/>
        <v>1713</v>
      </c>
      <c r="O71" s="75">
        <f t="shared" si="5"/>
        <v>36.602564102564102</v>
      </c>
      <c r="P71" s="75">
        <f>VLOOKUP($A71,'Data Vlaue (Cr)'!$C:$FB,119)</f>
        <v>0.73</v>
      </c>
      <c r="Q71" s="75">
        <f>VLOOKUP($A71,'Data Vlaue (Cr)'!$C:$FB,122)*100</f>
        <v>-3.95</v>
      </c>
      <c r="R71" s="75">
        <f>VLOOKUP($A71,'Data Vlaue (Cr)'!$C:$FB,125)</f>
        <v>0.66</v>
      </c>
      <c r="S71" s="75">
        <f>VLOOKUP($A71,'Data Vlaue (Cr)'!$C:$FB,128)*100</f>
        <v>22.220000000000002</v>
      </c>
    </row>
    <row r="72" spans="1:19" x14ac:dyDescent="0.25">
      <c r="A72" s="96" t="str">
        <f>'Data Vlaue (Cr)'!C63</f>
        <v>ETERNAL</v>
      </c>
      <c r="B72" s="75">
        <f>VLOOKUP($A72,'Data Vlaue (Cr)'!$C:$FB,2)</f>
        <v>2425</v>
      </c>
      <c r="C72" s="75">
        <f>VLOOKUP($A72,'Data Vlaue (Cr)'!$C:$FB,8)</f>
        <v>259.92</v>
      </c>
      <c r="D72" s="75">
        <f>VLOOKUP($A72,'Data Vlaue (Cr)'!$C:$FB,4)</f>
        <v>259.55</v>
      </c>
      <c r="E72" s="75">
        <f>VLOOKUP($A72,'Data Vlaue (Cr)'!$C:$FB,5)</f>
        <v>262.62</v>
      </c>
      <c r="F72" s="75">
        <f t="shared" si="0"/>
        <v>-0.37000000000000455</v>
      </c>
      <c r="G72" s="75">
        <f t="shared" si="1"/>
        <v>-1.1828164130225365</v>
      </c>
      <c r="H72" s="75">
        <f>VLOOKUP($A72,'Data Vlaue (Cr)'!$C:$FB,99)</f>
        <v>7692</v>
      </c>
      <c r="I72" s="75">
        <f>VLOOKUP($A72,'Data Vlaue (Cr)'!$C:$FB,100)</f>
        <v>7726</v>
      </c>
      <c r="J72" s="75">
        <f t="shared" si="2"/>
        <v>-34</v>
      </c>
      <c r="K72" s="75">
        <f t="shared" si="3"/>
        <v>-0.4420176807072283</v>
      </c>
      <c r="L72" s="75">
        <f>VLOOKUP($A72,'Data Vlaue (Cr)'!$C:$FB,67)</f>
        <v>6223</v>
      </c>
      <c r="M72" s="75">
        <f>VLOOKUP($A72,'Data Vlaue (Cr)'!$C:$FB,68)</f>
        <v>5531</v>
      </c>
      <c r="N72" s="75">
        <f t="shared" si="4"/>
        <v>692</v>
      </c>
      <c r="O72" s="75">
        <f t="shared" si="5"/>
        <v>11.120038566607745</v>
      </c>
      <c r="P72" s="75">
        <f>VLOOKUP($A72,'Data Vlaue (Cr)'!$C:$FB,119)</f>
        <v>0.83</v>
      </c>
      <c r="Q72" s="75">
        <f>VLOOKUP($A72,'Data Vlaue (Cr)'!$C:$FB,122)*100</f>
        <v>0</v>
      </c>
      <c r="R72" s="75">
        <f>VLOOKUP($A72,'Data Vlaue (Cr)'!$C:$FB,125)</f>
        <v>0.71</v>
      </c>
      <c r="S72" s="75">
        <f>VLOOKUP($A72,'Data Vlaue (Cr)'!$C:$FB,128)*100</f>
        <v>10.94</v>
      </c>
    </row>
    <row r="73" spans="1:19" x14ac:dyDescent="0.25">
      <c r="A73" s="96" t="str">
        <f>'Data Vlaue (Cr)'!C64</f>
        <v>EXIDEIND</v>
      </c>
      <c r="B73" s="75">
        <f>VLOOKUP($A73,'Data Vlaue (Cr)'!$C:$FB,2)</f>
        <v>1800</v>
      </c>
      <c r="C73" s="75">
        <f>VLOOKUP($A73,'Data Vlaue (Cr)'!$C:$FB,8)</f>
        <v>347.25</v>
      </c>
      <c r="D73" s="75">
        <f>VLOOKUP($A73,'Data Vlaue (Cr)'!$C:$FB,4)</f>
        <v>346.85</v>
      </c>
      <c r="E73" s="75">
        <f>VLOOKUP($A73,'Data Vlaue (Cr)'!$C:$FB,5)</f>
        <v>354.4</v>
      </c>
      <c r="F73" s="75">
        <f t="shared" si="0"/>
        <v>-0.39999999999997726</v>
      </c>
      <c r="G73" s="75">
        <f t="shared" si="1"/>
        <v>-2.1767334582672495</v>
      </c>
      <c r="H73" s="75">
        <f>VLOOKUP($A73,'Data Vlaue (Cr)'!$C:$FB,99)</f>
        <v>2294</v>
      </c>
      <c r="I73" s="75">
        <f>VLOOKUP($A73,'Data Vlaue (Cr)'!$C:$FB,100)</f>
        <v>2145</v>
      </c>
      <c r="J73" s="75">
        <f t="shared" si="2"/>
        <v>149</v>
      </c>
      <c r="K73" s="75">
        <f t="shared" si="3"/>
        <v>6.4952048823016568</v>
      </c>
      <c r="L73" s="75">
        <f>VLOOKUP($A73,'Data Vlaue (Cr)'!$C:$FB,67)</f>
        <v>2578</v>
      </c>
      <c r="M73" s="75">
        <f>VLOOKUP($A73,'Data Vlaue (Cr)'!$C:$FB,68)</f>
        <v>6131</v>
      </c>
      <c r="N73" s="75">
        <f t="shared" si="4"/>
        <v>-3553</v>
      </c>
      <c r="O73" s="75">
        <f t="shared" si="5"/>
        <v>-137.8200155159038</v>
      </c>
      <c r="P73" s="75">
        <f>VLOOKUP($A73,'Data Vlaue (Cr)'!$C:$FB,119)</f>
        <v>0.87</v>
      </c>
      <c r="Q73" s="75">
        <f>VLOOKUP($A73,'Data Vlaue (Cr)'!$C:$FB,122)*100</f>
        <v>-8.42</v>
      </c>
      <c r="R73" s="75">
        <f>VLOOKUP($A73,'Data Vlaue (Cr)'!$C:$FB,125)</f>
        <v>0.38</v>
      </c>
      <c r="S73" s="75">
        <f>VLOOKUP($A73,'Data Vlaue (Cr)'!$C:$FB,128)*100</f>
        <v>18.75</v>
      </c>
    </row>
    <row r="74" spans="1:19" x14ac:dyDescent="0.25">
      <c r="A74" s="96" t="str">
        <f>'Data Vlaue (Cr)'!C65</f>
        <v>FEDERALBNK</v>
      </c>
      <c r="B74" s="75">
        <f>VLOOKUP($A74,'Data Vlaue (Cr)'!$C:$FB,2)</f>
        <v>5000</v>
      </c>
      <c r="C74" s="75">
        <f>VLOOKUP($A74,'Data Vlaue (Cr)'!$C:$FB,8)</f>
        <v>295.39999999999998</v>
      </c>
      <c r="D74" s="75">
        <f>VLOOKUP($A74,'Data Vlaue (Cr)'!$C:$FB,4)</f>
        <v>295.60000000000002</v>
      </c>
      <c r="E74" s="75">
        <f>VLOOKUP($A74,'Data Vlaue (Cr)'!$C:$FB,5)</f>
        <v>296.95</v>
      </c>
      <c r="F74" s="75">
        <f t="shared" si="0"/>
        <v>0.20000000000004547</v>
      </c>
      <c r="G74" s="75">
        <f t="shared" si="1"/>
        <v>-0.45669824086602356</v>
      </c>
      <c r="H74" s="75">
        <f>VLOOKUP($A74,'Data Vlaue (Cr)'!$C:$FB,99)</f>
        <v>4491</v>
      </c>
      <c r="I74" s="75">
        <f>VLOOKUP($A74,'Data Vlaue (Cr)'!$C:$FB,100)</f>
        <v>4459</v>
      </c>
      <c r="J74" s="75">
        <f t="shared" si="2"/>
        <v>32</v>
      </c>
      <c r="K74" s="75">
        <f t="shared" si="3"/>
        <v>0.71253618347806724</v>
      </c>
      <c r="L74" s="75">
        <f>VLOOKUP($A74,'Data Vlaue (Cr)'!$C:$FB,67)</f>
        <v>2856</v>
      </c>
      <c r="M74" s="75">
        <f>VLOOKUP($A74,'Data Vlaue (Cr)'!$C:$FB,68)</f>
        <v>2399</v>
      </c>
      <c r="N74" s="75">
        <f t="shared" si="4"/>
        <v>457</v>
      </c>
      <c r="O74" s="75">
        <f t="shared" si="5"/>
        <v>16.001400560224088</v>
      </c>
      <c r="P74" s="75">
        <f>VLOOKUP($A74,'Data Vlaue (Cr)'!$C:$FB,119)</f>
        <v>0.91</v>
      </c>
      <c r="Q74" s="75">
        <f>VLOOKUP($A74,'Data Vlaue (Cr)'!$C:$FB,122)*100</f>
        <v>0</v>
      </c>
      <c r="R74" s="75">
        <f>VLOOKUP($A74,'Data Vlaue (Cr)'!$C:$FB,125)</f>
        <v>0.6</v>
      </c>
      <c r="S74" s="75">
        <f>VLOOKUP($A74,'Data Vlaue (Cr)'!$C:$FB,128)*100</f>
        <v>-11.76</v>
      </c>
    </row>
    <row r="75" spans="1:19" x14ac:dyDescent="0.25">
      <c r="A75" s="96" t="str">
        <f>'Data Vlaue (Cr)'!C66</f>
        <v>FINNIFTY</v>
      </c>
      <c r="B75" s="75">
        <f>VLOOKUP($A75,'Data Vlaue (Cr)'!$C:$FB,2)</f>
        <v>60</v>
      </c>
      <c r="C75" s="75">
        <f>VLOOKUP($A75,'Data Vlaue (Cr)'!$C:$FB,8)</f>
        <v>26247.200000000001</v>
      </c>
      <c r="D75" s="75">
        <f>VLOOKUP($A75,'Data Vlaue (Cr)'!$C:$FB,4)</f>
        <v>26273.9</v>
      </c>
      <c r="E75" s="75">
        <f>VLOOKUP($A75,'Data Vlaue (Cr)'!$C:$FB,5)</f>
        <v>26644.9</v>
      </c>
      <c r="F75" s="75">
        <f t="shared" si="0"/>
        <v>26.700000000000728</v>
      </c>
      <c r="G75" s="75">
        <f>(D75-E75)/D75*100</f>
        <v>-1.4120476975249201</v>
      </c>
      <c r="H75" s="75">
        <f>VLOOKUP($A75,'Data Vlaue (Cr)'!$C:$FB,99)</f>
        <v>3059</v>
      </c>
      <c r="I75" s="75">
        <f>VLOOKUP($A75,'Data Vlaue (Cr)'!$C:$FB,100)</f>
        <v>2729</v>
      </c>
      <c r="J75" s="75">
        <f t="shared" si="2"/>
        <v>330</v>
      </c>
      <c r="K75" s="75">
        <f t="shared" si="3"/>
        <v>10.787839163125204</v>
      </c>
      <c r="L75" s="75">
        <f>VLOOKUP($A75,'Data Vlaue (Cr)'!$C:$FB,67)</f>
        <v>8698</v>
      </c>
      <c r="M75" s="75">
        <f>VLOOKUP($A75,'Data Vlaue (Cr)'!$C:$FB,68)</f>
        <v>6566</v>
      </c>
      <c r="N75" s="75">
        <f t="shared" si="4"/>
        <v>2132</v>
      </c>
      <c r="O75" s="75">
        <f t="shared" si="5"/>
        <v>24.511381926879743</v>
      </c>
      <c r="P75" s="75">
        <f>VLOOKUP($A75,'Data Vlaue (Cr)'!$C:$FB,119)</f>
        <v>0.89</v>
      </c>
      <c r="Q75" s="75">
        <f>VLOOKUP($A75,'Data Vlaue (Cr)'!$C:$FB,122)*100</f>
        <v>-6.32</v>
      </c>
      <c r="R75" s="75">
        <f>VLOOKUP($A75,'Data Vlaue (Cr)'!$C:$FB,125)</f>
        <v>0.78</v>
      </c>
      <c r="S75" s="75">
        <f>VLOOKUP($A75,'Data Vlaue (Cr)'!$C:$FB,128)*100</f>
        <v>-4.88</v>
      </c>
    </row>
    <row r="76" spans="1:19" x14ac:dyDescent="0.25">
      <c r="A76" s="96" t="str">
        <f>'Data Vlaue (Cr)'!C67</f>
        <v>FORCEMOT</v>
      </c>
      <c r="B76" s="75">
        <f>VLOOKUP($A76,'Data Vlaue (Cr)'!$C:$FB,2)</f>
        <v>25</v>
      </c>
      <c r="C76" s="75">
        <f>VLOOKUP($A76,'Data Vlaue (Cr)'!$C:$FB,8)</f>
        <v>20750</v>
      </c>
      <c r="D76" s="75">
        <f>VLOOKUP($A76,'Data Vlaue (Cr)'!$C:$FB,4)</f>
        <v>20663</v>
      </c>
      <c r="E76" s="75">
        <f>VLOOKUP($A76,'Data Vlaue (Cr)'!$C:$FB,5)</f>
        <v>21720</v>
      </c>
      <c r="F76" s="75">
        <f t="shared" ref="F76:F139" si="6">D76-C76</f>
        <v>-87</v>
      </c>
      <c r="G76" s="75">
        <f t="shared" ref="G76:G139" si="7">(D76-E76)/D76*100</f>
        <v>-5.1154237042055852</v>
      </c>
      <c r="H76" s="75">
        <f>VLOOKUP($A76,'Data Vlaue (Cr)'!$C:$FB,99)</f>
        <v>647</v>
      </c>
      <c r="I76" s="75">
        <f>VLOOKUP($A76,'Data Vlaue (Cr)'!$C:$FB,100)</f>
        <v>568</v>
      </c>
      <c r="J76" s="75">
        <f t="shared" ref="J76:J139" si="8">H76-I76</f>
        <v>79</v>
      </c>
      <c r="K76" s="75">
        <f t="shared" ref="K76:K139" si="9">J76/H76*100</f>
        <v>12.210200927357032</v>
      </c>
      <c r="L76" s="75">
        <f>VLOOKUP($A76,'Data Vlaue (Cr)'!$C:$FB,67)</f>
        <v>915</v>
      </c>
      <c r="M76" s="75">
        <f>VLOOKUP($A76,'Data Vlaue (Cr)'!$C:$FB,68)</f>
        <v>361</v>
      </c>
      <c r="N76" s="75">
        <f t="shared" ref="N76:N139" si="10">L76-M76</f>
        <v>554</v>
      </c>
      <c r="O76" s="75">
        <f t="shared" ref="O76:O139" si="11">N76/L76*100</f>
        <v>60.546448087431692</v>
      </c>
      <c r="P76" s="75">
        <f>VLOOKUP($A76,'Data Vlaue (Cr)'!$C:$FB,119)</f>
        <v>0.31</v>
      </c>
      <c r="Q76" s="75">
        <f>VLOOKUP($A76,'Data Vlaue (Cr)'!$C:$FB,122)*100</f>
        <v>-13.889999999999999</v>
      </c>
      <c r="R76" s="75">
        <f>VLOOKUP($A76,'Data Vlaue (Cr)'!$C:$FB,125)</f>
        <v>0.49</v>
      </c>
      <c r="S76" s="75">
        <f>VLOOKUP($A76,'Data Vlaue (Cr)'!$C:$FB,128)*100</f>
        <v>-37.97</v>
      </c>
    </row>
    <row r="77" spans="1:19" x14ac:dyDescent="0.25">
      <c r="A77" s="96" t="str">
        <f>'Data Vlaue (Cr)'!C68</f>
        <v>FORTIS</v>
      </c>
      <c r="B77" s="75">
        <f>VLOOKUP($A77,'Data Vlaue (Cr)'!$C:$FB,2)</f>
        <v>775</v>
      </c>
      <c r="C77" s="75">
        <f>VLOOKUP($A77,'Data Vlaue (Cr)'!$C:$FB,8)</f>
        <v>926.75</v>
      </c>
      <c r="D77" s="75">
        <f>VLOOKUP($A77,'Data Vlaue (Cr)'!$C:$FB,4)</f>
        <v>925.45</v>
      </c>
      <c r="E77" s="75">
        <f>VLOOKUP($A77,'Data Vlaue (Cr)'!$C:$FB,5)</f>
        <v>923.7</v>
      </c>
      <c r="F77" s="75">
        <f t="shared" si="6"/>
        <v>-1.2999999999999545</v>
      </c>
      <c r="G77" s="75">
        <f t="shared" si="7"/>
        <v>0.18909719595872279</v>
      </c>
      <c r="H77" s="75">
        <f>VLOOKUP($A77,'Data Vlaue (Cr)'!$C:$FB,99)</f>
        <v>1402</v>
      </c>
      <c r="I77" s="75">
        <f>VLOOKUP($A77,'Data Vlaue (Cr)'!$C:$FB,100)</f>
        <v>1448</v>
      </c>
      <c r="J77" s="75">
        <f t="shared" si="8"/>
        <v>-46</v>
      </c>
      <c r="K77" s="75">
        <f t="shared" si="9"/>
        <v>-3.2810271041369474</v>
      </c>
      <c r="L77" s="75">
        <f>VLOOKUP($A77,'Data Vlaue (Cr)'!$C:$FB,67)</f>
        <v>1126</v>
      </c>
      <c r="M77" s="75">
        <f>VLOOKUP($A77,'Data Vlaue (Cr)'!$C:$FB,68)</f>
        <v>1767</v>
      </c>
      <c r="N77" s="75">
        <f t="shared" si="10"/>
        <v>-641</v>
      </c>
      <c r="O77" s="75">
        <f t="shared" si="11"/>
        <v>-56.927175843694485</v>
      </c>
      <c r="P77" s="75">
        <f>VLOOKUP($A77,'Data Vlaue (Cr)'!$C:$FB,119)</f>
        <v>0.78</v>
      </c>
      <c r="Q77" s="75">
        <f>VLOOKUP($A77,'Data Vlaue (Cr)'!$C:$FB,122)*100</f>
        <v>-2.5</v>
      </c>
      <c r="R77" s="75">
        <f>VLOOKUP($A77,'Data Vlaue (Cr)'!$C:$FB,125)</f>
        <v>0.39</v>
      </c>
      <c r="S77" s="75">
        <f>VLOOKUP($A77,'Data Vlaue (Cr)'!$C:$FB,128)*100</f>
        <v>-53.569999999999993</v>
      </c>
    </row>
    <row r="78" spans="1:19" x14ac:dyDescent="0.25">
      <c r="A78" s="96" t="str">
        <f>'Data Vlaue (Cr)'!C69</f>
        <v>GAIL</v>
      </c>
      <c r="B78" s="75">
        <f>VLOOKUP($A78,'Data Vlaue (Cr)'!$C:$FB,2)</f>
        <v>3150</v>
      </c>
      <c r="C78" s="75">
        <f>VLOOKUP($A78,'Data Vlaue (Cr)'!$C:$FB,8)</f>
        <v>164.96</v>
      </c>
      <c r="D78" s="75">
        <f>VLOOKUP($A78,'Data Vlaue (Cr)'!$C:$FB,4)</f>
        <v>164.63</v>
      </c>
      <c r="E78" s="75">
        <f>VLOOKUP($A78,'Data Vlaue (Cr)'!$C:$FB,5)</f>
        <v>165.94</v>
      </c>
      <c r="F78" s="75">
        <f t="shared" si="6"/>
        <v>-0.33000000000001251</v>
      </c>
      <c r="G78" s="75">
        <f t="shared" si="7"/>
        <v>-0.79572374415355784</v>
      </c>
      <c r="H78" s="75">
        <f>VLOOKUP($A78,'Data Vlaue (Cr)'!$C:$FB,99)</f>
        <v>2365</v>
      </c>
      <c r="I78" s="75">
        <f>VLOOKUP($A78,'Data Vlaue (Cr)'!$C:$FB,100)</f>
        <v>2386</v>
      </c>
      <c r="J78" s="75">
        <f t="shared" si="8"/>
        <v>-21</v>
      </c>
      <c r="K78" s="75">
        <f t="shared" si="9"/>
        <v>-0.88794926004228325</v>
      </c>
      <c r="L78" s="75">
        <f>VLOOKUP($A78,'Data Vlaue (Cr)'!$C:$FB,67)</f>
        <v>1632</v>
      </c>
      <c r="M78" s="75">
        <f>VLOOKUP($A78,'Data Vlaue (Cr)'!$C:$FB,68)</f>
        <v>1639</v>
      </c>
      <c r="N78" s="75">
        <f t="shared" si="10"/>
        <v>-7</v>
      </c>
      <c r="O78" s="75">
        <f t="shared" si="11"/>
        <v>-0.42892156862745101</v>
      </c>
      <c r="P78" s="75">
        <f>VLOOKUP($A78,'Data Vlaue (Cr)'!$C:$FB,119)</f>
        <v>1.35</v>
      </c>
      <c r="Q78" s="75">
        <f>VLOOKUP($A78,'Data Vlaue (Cr)'!$C:$FB,122)*100</f>
        <v>-4.93</v>
      </c>
      <c r="R78" s="75">
        <f>VLOOKUP($A78,'Data Vlaue (Cr)'!$C:$FB,125)</f>
        <v>0.81</v>
      </c>
      <c r="S78" s="75">
        <f>VLOOKUP($A78,'Data Vlaue (Cr)'!$C:$FB,128)*100</f>
        <v>1.25</v>
      </c>
    </row>
    <row r="79" spans="1:19" x14ac:dyDescent="0.25">
      <c r="A79" s="96" t="str">
        <f>'Data Vlaue (Cr)'!C70</f>
        <v>GLENMARK</v>
      </c>
      <c r="B79" s="75">
        <f>VLOOKUP($A79,'Data Vlaue (Cr)'!$C:$FB,2)</f>
        <v>375</v>
      </c>
      <c r="C79" s="75">
        <f>VLOOKUP($A79,'Data Vlaue (Cr)'!$C:$FB,8)</f>
        <v>2335</v>
      </c>
      <c r="D79" s="75">
        <f>VLOOKUP($A79,'Data Vlaue (Cr)'!$C:$FB,4)</f>
        <v>2336.6</v>
      </c>
      <c r="E79" s="75">
        <f>VLOOKUP($A79,'Data Vlaue (Cr)'!$C:$FB,5)</f>
        <v>2239</v>
      </c>
      <c r="F79" s="75">
        <f t="shared" si="6"/>
        <v>1.5999999999999091</v>
      </c>
      <c r="G79" s="75">
        <f t="shared" si="7"/>
        <v>4.1770093297954256</v>
      </c>
      <c r="H79" s="75">
        <f>VLOOKUP($A79,'Data Vlaue (Cr)'!$C:$FB,99)</f>
        <v>3440</v>
      </c>
      <c r="I79" s="75">
        <f>VLOOKUP($A79,'Data Vlaue (Cr)'!$C:$FB,100)</f>
        <v>3175</v>
      </c>
      <c r="J79" s="75">
        <f t="shared" si="8"/>
        <v>265</v>
      </c>
      <c r="K79" s="75">
        <f t="shared" si="9"/>
        <v>7.7034883720930232</v>
      </c>
      <c r="L79" s="75">
        <f>VLOOKUP($A79,'Data Vlaue (Cr)'!$C:$FB,67)</f>
        <v>9907</v>
      </c>
      <c r="M79" s="75">
        <f>VLOOKUP($A79,'Data Vlaue (Cr)'!$C:$FB,68)</f>
        <v>1185</v>
      </c>
      <c r="N79" s="75">
        <f t="shared" si="10"/>
        <v>8722</v>
      </c>
      <c r="O79" s="75">
        <f t="shared" si="11"/>
        <v>88.038760472393264</v>
      </c>
      <c r="P79" s="75">
        <f>VLOOKUP($A79,'Data Vlaue (Cr)'!$C:$FB,119)</f>
        <v>0.73</v>
      </c>
      <c r="Q79" s="75">
        <f>VLOOKUP($A79,'Data Vlaue (Cr)'!$C:$FB,122)*100</f>
        <v>30.36</v>
      </c>
      <c r="R79" s="75">
        <f>VLOOKUP($A79,'Data Vlaue (Cr)'!$C:$FB,125)</f>
        <v>0.28999999999999998</v>
      </c>
      <c r="S79" s="75">
        <f>VLOOKUP($A79,'Data Vlaue (Cr)'!$C:$FB,128)*100</f>
        <v>-60.27</v>
      </c>
    </row>
    <row r="80" spans="1:19" x14ac:dyDescent="0.25">
      <c r="A80" s="96" t="str">
        <f>'Data Vlaue (Cr)'!C71</f>
        <v>GMRAIRPORT</v>
      </c>
      <c r="B80" s="75">
        <f>VLOOKUP($A80,'Data Vlaue (Cr)'!$C:$FB,2)</f>
        <v>6975</v>
      </c>
      <c r="C80" s="75">
        <f>VLOOKUP($A80,'Data Vlaue (Cr)'!$C:$FB,8)</f>
        <v>96.44</v>
      </c>
      <c r="D80" s="75">
        <f>VLOOKUP($A80,'Data Vlaue (Cr)'!$C:$FB,4)</f>
        <v>96.51</v>
      </c>
      <c r="E80" s="75">
        <f>VLOOKUP($A80,'Data Vlaue (Cr)'!$C:$FB,5)</f>
        <v>97.5</v>
      </c>
      <c r="F80" s="75">
        <f t="shared" si="6"/>
        <v>7.000000000000739E-2</v>
      </c>
      <c r="G80" s="75">
        <f t="shared" si="7"/>
        <v>-1.0258004351880581</v>
      </c>
      <c r="H80" s="75">
        <f>VLOOKUP($A80,'Data Vlaue (Cr)'!$C:$FB,99)</f>
        <v>2209</v>
      </c>
      <c r="I80" s="75">
        <f>VLOOKUP($A80,'Data Vlaue (Cr)'!$C:$FB,100)</f>
        <v>2184</v>
      </c>
      <c r="J80" s="75">
        <f t="shared" si="8"/>
        <v>25</v>
      </c>
      <c r="K80" s="75">
        <f t="shared" si="9"/>
        <v>1.1317338162064281</v>
      </c>
      <c r="L80" s="75">
        <f>VLOOKUP($A80,'Data Vlaue (Cr)'!$C:$FB,67)</f>
        <v>1268</v>
      </c>
      <c r="M80" s="75">
        <f>VLOOKUP($A80,'Data Vlaue (Cr)'!$C:$FB,68)</f>
        <v>669</v>
      </c>
      <c r="N80" s="75">
        <f t="shared" si="10"/>
        <v>599</v>
      </c>
      <c r="O80" s="75">
        <f t="shared" si="11"/>
        <v>47.239747634069403</v>
      </c>
      <c r="P80" s="75">
        <f>VLOOKUP($A80,'Data Vlaue (Cr)'!$C:$FB,119)</f>
        <v>0.69</v>
      </c>
      <c r="Q80" s="75">
        <f>VLOOKUP($A80,'Data Vlaue (Cr)'!$C:$FB,122)*100</f>
        <v>6.15</v>
      </c>
      <c r="R80" s="75">
        <f>VLOOKUP($A80,'Data Vlaue (Cr)'!$C:$FB,125)</f>
        <v>0.48</v>
      </c>
      <c r="S80" s="75">
        <f>VLOOKUP($A80,'Data Vlaue (Cr)'!$C:$FB,128)*100</f>
        <v>60</v>
      </c>
    </row>
    <row r="81" spans="1:19" x14ac:dyDescent="0.25">
      <c r="A81" s="96" t="str">
        <f>'Data Vlaue (Cr)'!C72</f>
        <v>GODFRYPHLP</v>
      </c>
      <c r="B81" s="75">
        <f>VLOOKUP($A81,'Data Vlaue (Cr)'!$C:$FB,2)</f>
        <v>275</v>
      </c>
      <c r="C81" s="75">
        <f>VLOOKUP($A81,'Data Vlaue (Cr)'!$C:$FB,8)</f>
        <v>2153.3000000000002</v>
      </c>
      <c r="D81" s="75">
        <f>VLOOKUP($A81,'Data Vlaue (Cr)'!$C:$FB,4)</f>
        <v>2160.5</v>
      </c>
      <c r="E81" s="75">
        <f>VLOOKUP($A81,'Data Vlaue (Cr)'!$C:$FB,5)</f>
        <v>2171.1999999999998</v>
      </c>
      <c r="F81" s="75">
        <f t="shared" si="6"/>
        <v>7.1999999999998181</v>
      </c>
      <c r="G81" s="75">
        <f t="shared" si="7"/>
        <v>-0.49525572784076916</v>
      </c>
      <c r="H81" s="75">
        <f>VLOOKUP($A81,'Data Vlaue (Cr)'!$C:$FB,99)</f>
        <v>629</v>
      </c>
      <c r="I81" s="75">
        <f>VLOOKUP($A81,'Data Vlaue (Cr)'!$C:$FB,100)</f>
        <v>600</v>
      </c>
      <c r="J81" s="75">
        <f t="shared" si="8"/>
        <v>29</v>
      </c>
      <c r="K81" s="75">
        <f t="shared" si="9"/>
        <v>4.6104928457869638</v>
      </c>
      <c r="L81" s="75">
        <f>VLOOKUP($A81,'Data Vlaue (Cr)'!$C:$FB,67)</f>
        <v>702</v>
      </c>
      <c r="M81" s="75">
        <f>VLOOKUP($A81,'Data Vlaue (Cr)'!$C:$FB,68)</f>
        <v>848</v>
      </c>
      <c r="N81" s="75">
        <f t="shared" si="10"/>
        <v>-146</v>
      </c>
      <c r="O81" s="75">
        <f t="shared" si="11"/>
        <v>-20.7977207977208</v>
      </c>
      <c r="P81" s="75">
        <f>VLOOKUP($A81,'Data Vlaue (Cr)'!$C:$FB,119)</f>
        <v>0.43</v>
      </c>
      <c r="Q81" s="75">
        <f>VLOOKUP($A81,'Data Vlaue (Cr)'!$C:$FB,122)*100</f>
        <v>2.3800000000000003</v>
      </c>
      <c r="R81" s="75">
        <f>VLOOKUP($A81,'Data Vlaue (Cr)'!$C:$FB,125)</f>
        <v>0.54</v>
      </c>
      <c r="S81" s="75">
        <f>VLOOKUP($A81,'Data Vlaue (Cr)'!$C:$FB,128)*100</f>
        <v>107.69</v>
      </c>
    </row>
    <row r="82" spans="1:19" x14ac:dyDescent="0.25">
      <c r="A82" s="96" t="str">
        <f>'Data Vlaue (Cr)'!C73</f>
        <v>GODREJCP</v>
      </c>
      <c r="B82" s="75">
        <f>VLOOKUP($A82,'Data Vlaue (Cr)'!$C:$FB,2)</f>
        <v>500</v>
      </c>
      <c r="C82" s="75">
        <f>VLOOKUP($A82,'Data Vlaue (Cr)'!$C:$FB,8)</f>
        <v>1142.95</v>
      </c>
      <c r="D82" s="75">
        <f>VLOOKUP($A82,'Data Vlaue (Cr)'!$C:$FB,4)</f>
        <v>1140.8</v>
      </c>
      <c r="E82" s="75">
        <f>VLOOKUP($A82,'Data Vlaue (Cr)'!$C:$FB,5)</f>
        <v>1137.9000000000001</v>
      </c>
      <c r="F82" s="75">
        <f t="shared" si="6"/>
        <v>-2.1500000000000909</v>
      </c>
      <c r="G82" s="75">
        <f t="shared" si="7"/>
        <v>0.25420757363252666</v>
      </c>
      <c r="H82" s="75">
        <f>VLOOKUP($A82,'Data Vlaue (Cr)'!$C:$FB,99)</f>
        <v>1874</v>
      </c>
      <c r="I82" s="75">
        <f>VLOOKUP($A82,'Data Vlaue (Cr)'!$C:$FB,100)</f>
        <v>1876</v>
      </c>
      <c r="J82" s="75">
        <f t="shared" si="8"/>
        <v>-2</v>
      </c>
      <c r="K82" s="75">
        <f t="shared" si="9"/>
        <v>-0.10672358591248667</v>
      </c>
      <c r="L82" s="75">
        <f>VLOOKUP($A82,'Data Vlaue (Cr)'!$C:$FB,67)</f>
        <v>1072</v>
      </c>
      <c r="M82" s="75">
        <f>VLOOKUP($A82,'Data Vlaue (Cr)'!$C:$FB,68)</f>
        <v>869</v>
      </c>
      <c r="N82" s="75">
        <f t="shared" si="10"/>
        <v>203</v>
      </c>
      <c r="O82" s="75">
        <f t="shared" si="11"/>
        <v>18.936567164179106</v>
      </c>
      <c r="P82" s="75">
        <f>VLOOKUP($A82,'Data Vlaue (Cr)'!$C:$FB,119)</f>
        <v>0.88</v>
      </c>
      <c r="Q82" s="75">
        <f>VLOOKUP($A82,'Data Vlaue (Cr)'!$C:$FB,122)*100</f>
        <v>3.53</v>
      </c>
      <c r="R82" s="75">
        <f>VLOOKUP($A82,'Data Vlaue (Cr)'!$C:$FB,125)</f>
        <v>0.56000000000000005</v>
      </c>
      <c r="S82" s="75">
        <f>VLOOKUP($A82,'Data Vlaue (Cr)'!$C:$FB,128)*100</f>
        <v>51.349999999999994</v>
      </c>
    </row>
    <row r="83" spans="1:19" x14ac:dyDescent="0.25">
      <c r="A83" s="96" t="str">
        <f>'Data Vlaue (Cr)'!C74</f>
        <v>GODREJPROP</v>
      </c>
      <c r="B83" s="75">
        <f>VLOOKUP($A83,'Data Vlaue (Cr)'!$C:$FB,2)</f>
        <v>275</v>
      </c>
      <c r="C83" s="75">
        <f>VLOOKUP($A83,'Data Vlaue (Cr)'!$C:$FB,8)</f>
        <v>1791</v>
      </c>
      <c r="D83" s="75">
        <f>VLOOKUP($A83,'Data Vlaue (Cr)'!$C:$FB,4)</f>
        <v>1789.3</v>
      </c>
      <c r="E83" s="75">
        <f>VLOOKUP($A83,'Data Vlaue (Cr)'!$C:$FB,5)</f>
        <v>1828.4</v>
      </c>
      <c r="F83" s="75">
        <f t="shared" si="6"/>
        <v>-1.7000000000000455</v>
      </c>
      <c r="G83" s="75">
        <f t="shared" si="7"/>
        <v>-2.1852120941150246</v>
      </c>
      <c r="H83" s="75">
        <f>VLOOKUP($A83,'Data Vlaue (Cr)'!$C:$FB,99)</f>
        <v>2562</v>
      </c>
      <c r="I83" s="75">
        <f>VLOOKUP($A83,'Data Vlaue (Cr)'!$C:$FB,100)</f>
        <v>2578</v>
      </c>
      <c r="J83" s="75">
        <f t="shared" si="8"/>
        <v>-16</v>
      </c>
      <c r="K83" s="75">
        <f t="shared" si="9"/>
        <v>-0.62451209992193601</v>
      </c>
      <c r="L83" s="75">
        <f>VLOOKUP($A83,'Data Vlaue (Cr)'!$C:$FB,67)</f>
        <v>2407</v>
      </c>
      <c r="M83" s="75">
        <f>VLOOKUP($A83,'Data Vlaue (Cr)'!$C:$FB,68)</f>
        <v>2108</v>
      </c>
      <c r="N83" s="75">
        <f t="shared" si="10"/>
        <v>299</v>
      </c>
      <c r="O83" s="75">
        <f t="shared" si="11"/>
        <v>12.422102201911093</v>
      </c>
      <c r="P83" s="75">
        <f>VLOOKUP($A83,'Data Vlaue (Cr)'!$C:$FB,119)</f>
        <v>0.82</v>
      </c>
      <c r="Q83" s="75">
        <f>VLOOKUP($A83,'Data Vlaue (Cr)'!$C:$FB,122)*100</f>
        <v>-1.2</v>
      </c>
      <c r="R83" s="75">
        <f>VLOOKUP($A83,'Data Vlaue (Cr)'!$C:$FB,125)</f>
        <v>0.68</v>
      </c>
      <c r="S83" s="75">
        <f>VLOOKUP($A83,'Data Vlaue (Cr)'!$C:$FB,128)*100</f>
        <v>-17.07</v>
      </c>
    </row>
    <row r="84" spans="1:19" x14ac:dyDescent="0.25">
      <c r="A84" s="96" t="str">
        <f>'Data Vlaue (Cr)'!C75</f>
        <v>GRASIM</v>
      </c>
      <c r="B84" s="75">
        <f>VLOOKUP($A84,'Data Vlaue (Cr)'!$C:$FB,2)</f>
        <v>250</v>
      </c>
      <c r="C84" s="75">
        <f>VLOOKUP($A84,'Data Vlaue (Cr)'!$C:$FB,8)</f>
        <v>2735</v>
      </c>
      <c r="D84" s="75">
        <f>VLOOKUP($A84,'Data Vlaue (Cr)'!$C:$FB,4)</f>
        <v>2738.9</v>
      </c>
      <c r="E84" s="75">
        <f>VLOOKUP($A84,'Data Vlaue (Cr)'!$C:$FB,5)</f>
        <v>2784.1</v>
      </c>
      <c r="F84" s="75">
        <f t="shared" si="6"/>
        <v>3.9000000000000909</v>
      </c>
      <c r="G84" s="75">
        <f t="shared" si="7"/>
        <v>-1.6502975647157549</v>
      </c>
      <c r="H84" s="75">
        <f>VLOOKUP($A84,'Data Vlaue (Cr)'!$C:$FB,99)</f>
        <v>4682</v>
      </c>
      <c r="I84" s="75">
        <f>VLOOKUP($A84,'Data Vlaue (Cr)'!$C:$FB,100)</f>
        <v>4652</v>
      </c>
      <c r="J84" s="75">
        <f t="shared" si="8"/>
        <v>30</v>
      </c>
      <c r="K84" s="75">
        <f t="shared" si="9"/>
        <v>0.64075181546347715</v>
      </c>
      <c r="L84" s="75">
        <f>VLOOKUP($A84,'Data Vlaue (Cr)'!$C:$FB,67)</f>
        <v>2499</v>
      </c>
      <c r="M84" s="75">
        <f>VLOOKUP($A84,'Data Vlaue (Cr)'!$C:$FB,68)</f>
        <v>2202</v>
      </c>
      <c r="N84" s="75">
        <f t="shared" si="10"/>
        <v>297</v>
      </c>
      <c r="O84" s="75">
        <f t="shared" si="11"/>
        <v>11.884753901560623</v>
      </c>
      <c r="P84" s="75">
        <f>VLOOKUP($A84,'Data Vlaue (Cr)'!$C:$FB,119)</f>
        <v>0.88</v>
      </c>
      <c r="Q84" s="75">
        <f>VLOOKUP($A84,'Data Vlaue (Cr)'!$C:$FB,122)*100</f>
        <v>4.7600000000000007</v>
      </c>
      <c r="R84" s="75">
        <f>VLOOKUP($A84,'Data Vlaue (Cr)'!$C:$FB,125)</f>
        <v>0.74</v>
      </c>
      <c r="S84" s="75">
        <f>VLOOKUP($A84,'Data Vlaue (Cr)'!$C:$FB,128)*100</f>
        <v>60.870000000000005</v>
      </c>
    </row>
    <row r="85" spans="1:19" x14ac:dyDescent="0.25">
      <c r="A85" s="96" t="str">
        <f>'Data Vlaue (Cr)'!C76</f>
        <v>HAL</v>
      </c>
      <c r="B85" s="75">
        <f>VLOOKUP($A85,'Data Vlaue (Cr)'!$C:$FB,2)</f>
        <v>150</v>
      </c>
      <c r="C85" s="75">
        <f>VLOOKUP($A85,'Data Vlaue (Cr)'!$C:$FB,8)</f>
        <v>4352.5</v>
      </c>
      <c r="D85" s="75">
        <f>VLOOKUP($A85,'Data Vlaue (Cr)'!$C:$FB,4)</f>
        <v>4357.7</v>
      </c>
      <c r="E85" s="75">
        <f>VLOOKUP($A85,'Data Vlaue (Cr)'!$C:$FB,5)</f>
        <v>4399.8</v>
      </c>
      <c r="F85" s="75">
        <f t="shared" si="6"/>
        <v>5.1999999999998181</v>
      </c>
      <c r="G85" s="75">
        <f t="shared" si="7"/>
        <v>-0.9661059733345656</v>
      </c>
      <c r="H85" s="75">
        <f>VLOOKUP($A85,'Data Vlaue (Cr)'!$C:$FB,99)</f>
        <v>6156</v>
      </c>
      <c r="I85" s="75">
        <f>VLOOKUP($A85,'Data Vlaue (Cr)'!$C:$FB,100)</f>
        <v>6152</v>
      </c>
      <c r="J85" s="75">
        <f t="shared" si="8"/>
        <v>4</v>
      </c>
      <c r="K85" s="75">
        <f t="shared" si="9"/>
        <v>6.4977257959714096E-2</v>
      </c>
      <c r="L85" s="75">
        <f>VLOOKUP($A85,'Data Vlaue (Cr)'!$C:$FB,67)</f>
        <v>4236</v>
      </c>
      <c r="M85" s="75">
        <f>VLOOKUP($A85,'Data Vlaue (Cr)'!$C:$FB,68)</f>
        <v>4160</v>
      </c>
      <c r="N85" s="75">
        <f t="shared" si="10"/>
        <v>76</v>
      </c>
      <c r="O85" s="75">
        <f t="shared" si="11"/>
        <v>1.7941454202077429</v>
      </c>
      <c r="P85" s="75">
        <f>VLOOKUP($A85,'Data Vlaue (Cr)'!$C:$FB,119)</f>
        <v>0.95</v>
      </c>
      <c r="Q85" s="75">
        <f>VLOOKUP($A85,'Data Vlaue (Cr)'!$C:$FB,122)*100</f>
        <v>2.15</v>
      </c>
      <c r="R85" s="75">
        <f>VLOOKUP($A85,'Data Vlaue (Cr)'!$C:$FB,125)</f>
        <v>0.53</v>
      </c>
      <c r="S85" s="75">
        <f>VLOOKUP($A85,'Data Vlaue (Cr)'!$C:$FB,128)*100</f>
        <v>6</v>
      </c>
    </row>
    <row r="86" spans="1:19" x14ac:dyDescent="0.25">
      <c r="A86" s="96" t="str">
        <f>'Data Vlaue (Cr)'!C77</f>
        <v>HAVELLS</v>
      </c>
      <c r="B86" s="75">
        <f>VLOOKUP($A86,'Data Vlaue (Cr)'!$C:$FB,2)</f>
        <v>500</v>
      </c>
      <c r="C86" s="75">
        <f>VLOOKUP($A86,'Data Vlaue (Cr)'!$C:$FB,8)</f>
        <v>1260.3</v>
      </c>
      <c r="D86" s="75">
        <f>VLOOKUP($A86,'Data Vlaue (Cr)'!$C:$FB,4)</f>
        <v>1243</v>
      </c>
      <c r="E86" s="75">
        <f>VLOOKUP($A86,'Data Vlaue (Cr)'!$C:$FB,5)</f>
        <v>1343.7</v>
      </c>
      <c r="F86" s="75">
        <f t="shared" si="6"/>
        <v>-17.299999999999955</v>
      </c>
      <c r="G86" s="75">
        <f t="shared" si="7"/>
        <v>-8.1013676588897869</v>
      </c>
      <c r="H86" s="75">
        <f>VLOOKUP($A86,'Data Vlaue (Cr)'!$C:$FB,99)</f>
        <v>3880</v>
      </c>
      <c r="I86" s="75">
        <f>VLOOKUP($A86,'Data Vlaue (Cr)'!$C:$FB,100)</f>
        <v>3389</v>
      </c>
      <c r="J86" s="75">
        <f t="shared" si="8"/>
        <v>491</v>
      </c>
      <c r="K86" s="75">
        <f t="shared" si="9"/>
        <v>12.654639175257731</v>
      </c>
      <c r="L86" s="75">
        <f>VLOOKUP($A86,'Data Vlaue (Cr)'!$C:$FB,67)</f>
        <v>11867</v>
      </c>
      <c r="M86" s="75">
        <f>VLOOKUP($A86,'Data Vlaue (Cr)'!$C:$FB,68)</f>
        <v>16295</v>
      </c>
      <c r="N86" s="75">
        <f t="shared" si="10"/>
        <v>-4428</v>
      </c>
      <c r="O86" s="75">
        <f t="shared" si="11"/>
        <v>-37.313558607904277</v>
      </c>
      <c r="P86" s="75">
        <f>VLOOKUP($A86,'Data Vlaue (Cr)'!$C:$FB,119)</f>
        <v>0.42</v>
      </c>
      <c r="Q86" s="75">
        <f>VLOOKUP($A86,'Data Vlaue (Cr)'!$C:$FB,122)*100</f>
        <v>-12.5</v>
      </c>
      <c r="R86" s="75">
        <f>VLOOKUP($A86,'Data Vlaue (Cr)'!$C:$FB,125)</f>
        <v>0.61</v>
      </c>
      <c r="S86" s="75">
        <f>VLOOKUP($A86,'Data Vlaue (Cr)'!$C:$FB,128)*100</f>
        <v>48.78</v>
      </c>
    </row>
    <row r="87" spans="1:19" x14ac:dyDescent="0.25">
      <c r="A87" s="96" t="str">
        <f>'Data Vlaue (Cr)'!C78</f>
        <v>HCLTECH</v>
      </c>
      <c r="B87" s="75">
        <f>VLOOKUP($A87,'Data Vlaue (Cr)'!$C:$FB,2)</f>
        <v>350</v>
      </c>
      <c r="C87" s="75">
        <f>VLOOKUP($A87,'Data Vlaue (Cr)'!$C:$FB,8)</f>
        <v>1277.5999999999999</v>
      </c>
      <c r="D87" s="75">
        <f>VLOOKUP($A87,'Data Vlaue (Cr)'!$C:$FB,4)</f>
        <v>1247.9000000000001</v>
      </c>
      <c r="E87" s="75">
        <f>VLOOKUP($A87,'Data Vlaue (Cr)'!$C:$FB,5)</f>
        <v>1264.5</v>
      </c>
      <c r="F87" s="75">
        <f t="shared" si="6"/>
        <v>-29.699999999999818</v>
      </c>
      <c r="G87" s="75">
        <f t="shared" si="7"/>
        <v>-1.3302347944546764</v>
      </c>
      <c r="H87" s="75">
        <f>VLOOKUP($A87,'Data Vlaue (Cr)'!$C:$FB,99)</f>
        <v>13207</v>
      </c>
      <c r="I87" s="75">
        <f>VLOOKUP($A87,'Data Vlaue (Cr)'!$C:$FB,100)</f>
        <v>13261</v>
      </c>
      <c r="J87" s="75">
        <f t="shared" si="8"/>
        <v>-54</v>
      </c>
      <c r="K87" s="75">
        <f t="shared" si="9"/>
        <v>-0.40887408192625124</v>
      </c>
      <c r="L87" s="75">
        <f>VLOOKUP($A87,'Data Vlaue (Cr)'!$C:$FB,67)</f>
        <v>17182</v>
      </c>
      <c r="M87" s="75">
        <f>VLOOKUP($A87,'Data Vlaue (Cr)'!$C:$FB,68)</f>
        <v>36966</v>
      </c>
      <c r="N87" s="75">
        <f t="shared" si="10"/>
        <v>-19784</v>
      </c>
      <c r="O87" s="75">
        <f t="shared" si="11"/>
        <v>-115.14375509253871</v>
      </c>
      <c r="P87" s="75">
        <f>VLOOKUP($A87,'Data Vlaue (Cr)'!$C:$FB,119)</f>
        <v>0.44</v>
      </c>
      <c r="Q87" s="75">
        <f>VLOOKUP($A87,'Data Vlaue (Cr)'!$C:$FB,122)*100</f>
        <v>0</v>
      </c>
      <c r="R87" s="75">
        <f>VLOOKUP($A87,'Data Vlaue (Cr)'!$C:$FB,125)</f>
        <v>0.37</v>
      </c>
      <c r="S87" s="75">
        <f>VLOOKUP($A87,'Data Vlaue (Cr)'!$C:$FB,128)*100</f>
        <v>-42.19</v>
      </c>
    </row>
    <row r="88" spans="1:19" x14ac:dyDescent="0.25">
      <c r="A88" s="96" t="str">
        <f>'Data Vlaue (Cr)'!C79</f>
        <v>HDFCAMC</v>
      </c>
      <c r="B88" s="75">
        <f>VLOOKUP($A88,'Data Vlaue (Cr)'!$C:$FB,2)</f>
        <v>300</v>
      </c>
      <c r="C88" s="75">
        <f>VLOOKUP($A88,'Data Vlaue (Cr)'!$C:$FB,8)</f>
        <v>2708.2</v>
      </c>
      <c r="D88" s="75">
        <f>VLOOKUP($A88,'Data Vlaue (Cr)'!$C:$FB,4)</f>
        <v>2713.8</v>
      </c>
      <c r="E88" s="75">
        <f>VLOOKUP($A88,'Data Vlaue (Cr)'!$C:$FB,5)</f>
        <v>2770.5</v>
      </c>
      <c r="F88" s="75">
        <f t="shared" si="6"/>
        <v>5.6000000000003638</v>
      </c>
      <c r="G88" s="75">
        <f t="shared" si="7"/>
        <v>-2.0893212469599756</v>
      </c>
      <c r="H88" s="75">
        <f>VLOOKUP($A88,'Data Vlaue (Cr)'!$C:$FB,99)</f>
        <v>2459</v>
      </c>
      <c r="I88" s="75">
        <f>VLOOKUP($A88,'Data Vlaue (Cr)'!$C:$FB,100)</f>
        <v>2612</v>
      </c>
      <c r="J88" s="75">
        <f t="shared" si="8"/>
        <v>-153</v>
      </c>
      <c r="K88" s="75">
        <f t="shared" si="9"/>
        <v>-6.2220414802765349</v>
      </c>
      <c r="L88" s="75">
        <f>VLOOKUP($A88,'Data Vlaue (Cr)'!$C:$FB,67)</f>
        <v>2344</v>
      </c>
      <c r="M88" s="75">
        <f>VLOOKUP($A88,'Data Vlaue (Cr)'!$C:$FB,68)</f>
        <v>1476</v>
      </c>
      <c r="N88" s="75">
        <f t="shared" si="10"/>
        <v>868</v>
      </c>
      <c r="O88" s="75">
        <f t="shared" si="11"/>
        <v>37.030716723549489</v>
      </c>
      <c r="P88" s="75">
        <f>VLOOKUP($A88,'Data Vlaue (Cr)'!$C:$FB,119)</f>
        <v>0.82</v>
      </c>
      <c r="Q88" s="75">
        <f>VLOOKUP($A88,'Data Vlaue (Cr)'!$C:$FB,122)*100</f>
        <v>-3.53</v>
      </c>
      <c r="R88" s="75">
        <f>VLOOKUP($A88,'Data Vlaue (Cr)'!$C:$FB,125)</f>
        <v>0.91</v>
      </c>
      <c r="S88" s="75">
        <f>VLOOKUP($A88,'Data Vlaue (Cr)'!$C:$FB,128)*100</f>
        <v>4.5999999999999996</v>
      </c>
    </row>
    <row r="89" spans="1:19" x14ac:dyDescent="0.25">
      <c r="A89" s="96" t="str">
        <f>'Data Vlaue (Cr)'!C80</f>
        <v>HDFCBANK</v>
      </c>
      <c r="B89" s="75">
        <f>VLOOKUP($A89,'Data Vlaue (Cr)'!$C:$FB,2)</f>
        <v>550</v>
      </c>
      <c r="C89" s="75">
        <f>VLOOKUP($A89,'Data Vlaue (Cr)'!$C:$FB,8)</f>
        <v>784.35</v>
      </c>
      <c r="D89" s="75">
        <f>VLOOKUP($A89,'Data Vlaue (Cr)'!$C:$FB,4)</f>
        <v>784.45</v>
      </c>
      <c r="E89" s="75">
        <f>VLOOKUP($A89,'Data Vlaue (Cr)'!$C:$FB,5)</f>
        <v>800</v>
      </c>
      <c r="F89" s="75">
        <f t="shared" si="6"/>
        <v>0.10000000000002274</v>
      </c>
      <c r="G89" s="75">
        <f t="shared" si="7"/>
        <v>-1.9822805787494364</v>
      </c>
      <c r="H89" s="75">
        <f>VLOOKUP($A89,'Data Vlaue (Cr)'!$C:$FB,99)</f>
        <v>38391</v>
      </c>
      <c r="I89" s="75">
        <f>VLOOKUP($A89,'Data Vlaue (Cr)'!$C:$FB,100)</f>
        <v>37137</v>
      </c>
      <c r="J89" s="75">
        <f t="shared" si="8"/>
        <v>1254</v>
      </c>
      <c r="K89" s="75">
        <f t="shared" si="9"/>
        <v>3.2663905602875674</v>
      </c>
      <c r="L89" s="75">
        <f>VLOOKUP($A89,'Data Vlaue (Cr)'!$C:$FB,67)</f>
        <v>28112</v>
      </c>
      <c r="M89" s="75">
        <f>VLOOKUP($A89,'Data Vlaue (Cr)'!$C:$FB,68)</f>
        <v>18803</v>
      </c>
      <c r="N89" s="75">
        <f t="shared" si="10"/>
        <v>9309</v>
      </c>
      <c r="O89" s="75">
        <f t="shared" si="11"/>
        <v>33.11397268070575</v>
      </c>
      <c r="P89" s="75">
        <f>VLOOKUP($A89,'Data Vlaue (Cr)'!$C:$FB,119)</f>
        <v>0.51</v>
      </c>
      <c r="Q89" s="75">
        <f>VLOOKUP($A89,'Data Vlaue (Cr)'!$C:$FB,122)*100</f>
        <v>-8.93</v>
      </c>
      <c r="R89" s="75">
        <f>VLOOKUP($A89,'Data Vlaue (Cr)'!$C:$FB,125)</f>
        <v>0.59</v>
      </c>
      <c r="S89" s="75">
        <f>VLOOKUP($A89,'Data Vlaue (Cr)'!$C:$FB,128)*100</f>
        <v>-9.2299999999999986</v>
      </c>
    </row>
    <row r="90" spans="1:19" x14ac:dyDescent="0.25">
      <c r="A90" s="96" t="str">
        <f>'Data Vlaue (Cr)'!C81</f>
        <v>HDFCLIFE</v>
      </c>
      <c r="B90" s="75">
        <f>VLOOKUP($A90,'Data Vlaue (Cr)'!$C:$FB,2)</f>
        <v>1100</v>
      </c>
      <c r="C90" s="75">
        <f>VLOOKUP($A90,'Data Vlaue (Cr)'!$C:$FB,8)</f>
        <v>598.65</v>
      </c>
      <c r="D90" s="75">
        <f>VLOOKUP($A90,'Data Vlaue (Cr)'!$C:$FB,4)</f>
        <v>598.95000000000005</v>
      </c>
      <c r="E90" s="75">
        <f>VLOOKUP($A90,'Data Vlaue (Cr)'!$C:$FB,5)</f>
        <v>604.70000000000005</v>
      </c>
      <c r="F90" s="75">
        <f t="shared" si="6"/>
        <v>0.30000000000006821</v>
      </c>
      <c r="G90" s="75">
        <f t="shared" si="7"/>
        <v>-0.96001335670757149</v>
      </c>
      <c r="H90" s="75">
        <f>VLOOKUP($A90,'Data Vlaue (Cr)'!$C:$FB,99)</f>
        <v>4615</v>
      </c>
      <c r="I90" s="75">
        <f>VLOOKUP($A90,'Data Vlaue (Cr)'!$C:$FB,100)</f>
        <v>4707</v>
      </c>
      <c r="J90" s="75">
        <f t="shared" si="8"/>
        <v>-92</v>
      </c>
      <c r="K90" s="75">
        <f t="shared" si="9"/>
        <v>-1.9934994582881906</v>
      </c>
      <c r="L90" s="75">
        <f>VLOOKUP($A90,'Data Vlaue (Cr)'!$C:$FB,67)</f>
        <v>3690</v>
      </c>
      <c r="M90" s="75">
        <f>VLOOKUP($A90,'Data Vlaue (Cr)'!$C:$FB,68)</f>
        <v>2942</v>
      </c>
      <c r="N90" s="75">
        <f t="shared" si="10"/>
        <v>748</v>
      </c>
      <c r="O90" s="75">
        <f t="shared" si="11"/>
        <v>20.271002710027101</v>
      </c>
      <c r="P90" s="75">
        <f>VLOOKUP($A90,'Data Vlaue (Cr)'!$C:$FB,119)</f>
        <v>0.55000000000000004</v>
      </c>
      <c r="Q90" s="75">
        <f>VLOOKUP($A90,'Data Vlaue (Cr)'!$C:$FB,122)*100</f>
        <v>-3.51</v>
      </c>
      <c r="R90" s="75">
        <f>VLOOKUP($A90,'Data Vlaue (Cr)'!$C:$FB,125)</f>
        <v>0.44</v>
      </c>
      <c r="S90" s="75">
        <f>VLOOKUP($A90,'Data Vlaue (Cr)'!$C:$FB,128)*100</f>
        <v>4.7600000000000007</v>
      </c>
    </row>
    <row r="91" spans="1:19" x14ac:dyDescent="0.25">
      <c r="A91" s="96" t="str">
        <f>'Data Vlaue (Cr)'!C82</f>
        <v>HEROMOTOCO</v>
      </c>
      <c r="B91" s="75">
        <f>VLOOKUP($A91,'Data Vlaue (Cr)'!$C:$FB,2)</f>
        <v>150</v>
      </c>
      <c r="C91" s="75">
        <f>VLOOKUP($A91,'Data Vlaue (Cr)'!$C:$FB,8)</f>
        <v>5032</v>
      </c>
      <c r="D91" s="75">
        <f>VLOOKUP($A91,'Data Vlaue (Cr)'!$C:$FB,4)</f>
        <v>5034.5</v>
      </c>
      <c r="E91" s="75">
        <f>VLOOKUP($A91,'Data Vlaue (Cr)'!$C:$FB,5)</f>
        <v>5193</v>
      </c>
      <c r="F91" s="75">
        <f t="shared" si="6"/>
        <v>2.5</v>
      </c>
      <c r="G91" s="75">
        <f t="shared" si="7"/>
        <v>-3.1482768894627076</v>
      </c>
      <c r="H91" s="75">
        <f>VLOOKUP($A91,'Data Vlaue (Cr)'!$C:$FB,99)</f>
        <v>4471</v>
      </c>
      <c r="I91" s="75">
        <f>VLOOKUP($A91,'Data Vlaue (Cr)'!$C:$FB,100)</f>
        <v>4200</v>
      </c>
      <c r="J91" s="75">
        <f t="shared" si="8"/>
        <v>271</v>
      </c>
      <c r="K91" s="75">
        <f t="shared" si="9"/>
        <v>6.0612838291210025</v>
      </c>
      <c r="L91" s="75">
        <f>VLOOKUP($A91,'Data Vlaue (Cr)'!$C:$FB,67)</f>
        <v>5381</v>
      </c>
      <c r="M91" s="75">
        <f>VLOOKUP($A91,'Data Vlaue (Cr)'!$C:$FB,68)</f>
        <v>2333</v>
      </c>
      <c r="N91" s="75">
        <f t="shared" si="10"/>
        <v>3048</v>
      </c>
      <c r="O91" s="75">
        <f t="shared" si="11"/>
        <v>56.643746515517556</v>
      </c>
      <c r="P91" s="75">
        <f>VLOOKUP($A91,'Data Vlaue (Cr)'!$C:$FB,119)</f>
        <v>0.44</v>
      </c>
      <c r="Q91" s="75">
        <f>VLOOKUP($A91,'Data Vlaue (Cr)'!$C:$FB,122)*100</f>
        <v>-20</v>
      </c>
      <c r="R91" s="75">
        <f>VLOOKUP($A91,'Data Vlaue (Cr)'!$C:$FB,125)</f>
        <v>0.43</v>
      </c>
      <c r="S91" s="75">
        <f>VLOOKUP($A91,'Data Vlaue (Cr)'!$C:$FB,128)*100</f>
        <v>16.220000000000002</v>
      </c>
    </row>
    <row r="92" spans="1:19" x14ac:dyDescent="0.25">
      <c r="A92" s="96" t="str">
        <f>'Data Vlaue (Cr)'!C83</f>
        <v>HINDALCO</v>
      </c>
      <c r="B92" s="75">
        <f>VLOOKUP($A92,'Data Vlaue (Cr)'!$C:$FB,2)</f>
        <v>700</v>
      </c>
      <c r="C92" s="75">
        <f>VLOOKUP($A92,'Data Vlaue (Cr)'!$C:$FB,8)</f>
        <v>1041.3499999999999</v>
      </c>
      <c r="D92" s="75">
        <f>VLOOKUP($A92,'Data Vlaue (Cr)'!$C:$FB,4)</f>
        <v>1039.05</v>
      </c>
      <c r="E92" s="75">
        <f>VLOOKUP($A92,'Data Vlaue (Cr)'!$C:$FB,5)</f>
        <v>1039.25</v>
      </c>
      <c r="F92" s="75">
        <f t="shared" si="6"/>
        <v>-2.2999999999999545</v>
      </c>
      <c r="G92" s="75">
        <f t="shared" si="7"/>
        <v>-1.9248351859876375E-2</v>
      </c>
      <c r="H92" s="75">
        <f>VLOOKUP($A92,'Data Vlaue (Cr)'!$C:$FB,99)</f>
        <v>6604</v>
      </c>
      <c r="I92" s="75">
        <f>VLOOKUP($A92,'Data Vlaue (Cr)'!$C:$FB,100)</f>
        <v>6579</v>
      </c>
      <c r="J92" s="75">
        <f t="shared" si="8"/>
        <v>25</v>
      </c>
      <c r="K92" s="75">
        <f t="shared" si="9"/>
        <v>0.37855844942459116</v>
      </c>
      <c r="L92" s="75">
        <f>VLOOKUP($A92,'Data Vlaue (Cr)'!$C:$FB,67)</f>
        <v>6348</v>
      </c>
      <c r="M92" s="75">
        <f>VLOOKUP($A92,'Data Vlaue (Cr)'!$C:$FB,68)</f>
        <v>5623</v>
      </c>
      <c r="N92" s="75">
        <f t="shared" si="10"/>
        <v>725</v>
      </c>
      <c r="O92" s="75">
        <f t="shared" si="11"/>
        <v>11.420919974795211</v>
      </c>
      <c r="P92" s="75">
        <f>VLOOKUP($A92,'Data Vlaue (Cr)'!$C:$FB,119)</f>
        <v>0.76</v>
      </c>
      <c r="Q92" s="75">
        <f>VLOOKUP($A92,'Data Vlaue (Cr)'!$C:$FB,122)*100</f>
        <v>-3.8</v>
      </c>
      <c r="R92" s="75">
        <f>VLOOKUP($A92,'Data Vlaue (Cr)'!$C:$FB,125)</f>
        <v>0.55000000000000004</v>
      </c>
      <c r="S92" s="75">
        <f>VLOOKUP($A92,'Data Vlaue (Cr)'!$C:$FB,128)*100</f>
        <v>19.57</v>
      </c>
    </row>
    <row r="93" spans="1:19" x14ac:dyDescent="0.25">
      <c r="A93" s="96" t="str">
        <f>'Data Vlaue (Cr)'!C84</f>
        <v>HINDPETRO</v>
      </c>
      <c r="B93" s="75">
        <f>VLOOKUP($A93,'Data Vlaue (Cr)'!$C:$FB,2)</f>
        <v>2025</v>
      </c>
      <c r="C93" s="75">
        <f>VLOOKUP($A93,'Data Vlaue (Cr)'!$C:$FB,8)</f>
        <v>376.9</v>
      </c>
      <c r="D93" s="75">
        <f>VLOOKUP($A93,'Data Vlaue (Cr)'!$C:$FB,4)</f>
        <v>376.65</v>
      </c>
      <c r="E93" s="75">
        <f>VLOOKUP($A93,'Data Vlaue (Cr)'!$C:$FB,5)</f>
        <v>383.2</v>
      </c>
      <c r="F93" s="75">
        <f t="shared" si="6"/>
        <v>-0.25</v>
      </c>
      <c r="G93" s="75">
        <f t="shared" si="7"/>
        <v>-1.7390150006637493</v>
      </c>
      <c r="H93" s="75">
        <f>VLOOKUP($A93,'Data Vlaue (Cr)'!$C:$FB,99)</f>
        <v>2798</v>
      </c>
      <c r="I93" s="75">
        <f>VLOOKUP($A93,'Data Vlaue (Cr)'!$C:$FB,100)</f>
        <v>2802</v>
      </c>
      <c r="J93" s="75">
        <f t="shared" si="8"/>
        <v>-4</v>
      </c>
      <c r="K93" s="75">
        <f t="shared" si="9"/>
        <v>-0.14295925661186562</v>
      </c>
      <c r="L93" s="75">
        <f>VLOOKUP($A93,'Data Vlaue (Cr)'!$C:$FB,67)</f>
        <v>2720</v>
      </c>
      <c r="M93" s="75">
        <f>VLOOKUP($A93,'Data Vlaue (Cr)'!$C:$FB,68)</f>
        <v>1784</v>
      </c>
      <c r="N93" s="75">
        <f t="shared" si="10"/>
        <v>936</v>
      </c>
      <c r="O93" s="75">
        <f t="shared" si="11"/>
        <v>34.411764705882355</v>
      </c>
      <c r="P93" s="75">
        <f>VLOOKUP($A93,'Data Vlaue (Cr)'!$C:$FB,119)</f>
        <v>0.96</v>
      </c>
      <c r="Q93" s="75">
        <f>VLOOKUP($A93,'Data Vlaue (Cr)'!$C:$FB,122)*100</f>
        <v>-5.88</v>
      </c>
      <c r="R93" s="75">
        <f>VLOOKUP($A93,'Data Vlaue (Cr)'!$C:$FB,125)</f>
        <v>1.08</v>
      </c>
      <c r="S93" s="75">
        <f>VLOOKUP($A93,'Data Vlaue (Cr)'!$C:$FB,128)*100</f>
        <v>35</v>
      </c>
    </row>
    <row r="94" spans="1:19" x14ac:dyDescent="0.25">
      <c r="A94" s="96" t="str">
        <f>'Data Vlaue (Cr)'!C85</f>
        <v>HINDUNILVR</v>
      </c>
      <c r="B94" s="75">
        <f>VLOOKUP($A94,'Data Vlaue (Cr)'!$C:$FB,2)</f>
        <v>300</v>
      </c>
      <c r="C94" s="75">
        <f>VLOOKUP($A94,'Data Vlaue (Cr)'!$C:$FB,8)</f>
        <v>2366.4</v>
      </c>
      <c r="D94" s="75">
        <f>VLOOKUP($A94,'Data Vlaue (Cr)'!$C:$FB,4)</f>
        <v>2364.4</v>
      </c>
      <c r="E94" s="75">
        <f>VLOOKUP($A94,'Data Vlaue (Cr)'!$C:$FB,5)</f>
        <v>2366.8000000000002</v>
      </c>
      <c r="F94" s="75">
        <f t="shared" si="6"/>
        <v>-2</v>
      </c>
      <c r="G94" s="75">
        <f t="shared" si="7"/>
        <v>-0.10150566739976701</v>
      </c>
      <c r="H94" s="75">
        <f>VLOOKUP($A94,'Data Vlaue (Cr)'!$C:$FB,99)</f>
        <v>8070</v>
      </c>
      <c r="I94" s="75">
        <f>VLOOKUP($A94,'Data Vlaue (Cr)'!$C:$FB,100)</f>
        <v>8113</v>
      </c>
      <c r="J94" s="75">
        <f t="shared" si="8"/>
        <v>-43</v>
      </c>
      <c r="K94" s="75">
        <f t="shared" si="9"/>
        <v>-0.53283767038413876</v>
      </c>
      <c r="L94" s="75">
        <f>VLOOKUP($A94,'Data Vlaue (Cr)'!$C:$FB,67)</f>
        <v>9881</v>
      </c>
      <c r="M94" s="75">
        <f>VLOOKUP($A94,'Data Vlaue (Cr)'!$C:$FB,68)</f>
        <v>18997</v>
      </c>
      <c r="N94" s="75">
        <f t="shared" si="10"/>
        <v>-9116</v>
      </c>
      <c r="O94" s="75">
        <f t="shared" si="11"/>
        <v>-92.257868636777658</v>
      </c>
      <c r="P94" s="75">
        <f>VLOOKUP($A94,'Data Vlaue (Cr)'!$C:$FB,119)</f>
        <v>0.76</v>
      </c>
      <c r="Q94" s="75">
        <f>VLOOKUP($A94,'Data Vlaue (Cr)'!$C:$FB,122)*100</f>
        <v>-3.8</v>
      </c>
      <c r="R94" s="75">
        <f>VLOOKUP($A94,'Data Vlaue (Cr)'!$C:$FB,125)</f>
        <v>0.61</v>
      </c>
      <c r="S94" s="75">
        <f>VLOOKUP($A94,'Data Vlaue (Cr)'!$C:$FB,128)*100</f>
        <v>32.61</v>
      </c>
    </row>
    <row r="95" spans="1:19" x14ac:dyDescent="0.25">
      <c r="A95" s="96" t="str">
        <f>'Data Vlaue (Cr)'!C86</f>
        <v>HINDZINC</v>
      </c>
      <c r="B95" s="75">
        <f>VLOOKUP($A95,'Data Vlaue (Cr)'!$C:$FB,2)</f>
        <v>1225</v>
      </c>
      <c r="C95" s="75">
        <f>VLOOKUP($A95,'Data Vlaue (Cr)'!$C:$FB,8)</f>
        <v>592.1</v>
      </c>
      <c r="D95" s="75">
        <f>VLOOKUP($A95,'Data Vlaue (Cr)'!$C:$FB,4)</f>
        <v>594.04999999999995</v>
      </c>
      <c r="E95" s="75">
        <f>VLOOKUP($A95,'Data Vlaue (Cr)'!$C:$FB,5)</f>
        <v>606.20000000000005</v>
      </c>
      <c r="F95" s="75">
        <f t="shared" si="6"/>
        <v>1.9499999999999318</v>
      </c>
      <c r="G95" s="75">
        <f t="shared" si="7"/>
        <v>-2.0452823836377565</v>
      </c>
      <c r="H95" s="75">
        <f>VLOOKUP($A95,'Data Vlaue (Cr)'!$C:$FB,99)</f>
        <v>4932</v>
      </c>
      <c r="I95" s="75">
        <f>VLOOKUP($A95,'Data Vlaue (Cr)'!$C:$FB,100)</f>
        <v>4594</v>
      </c>
      <c r="J95" s="75">
        <f t="shared" si="8"/>
        <v>338</v>
      </c>
      <c r="K95" s="75">
        <f t="shared" si="9"/>
        <v>6.8532035685320363</v>
      </c>
      <c r="L95" s="75">
        <f>VLOOKUP($A95,'Data Vlaue (Cr)'!$C:$FB,67)</f>
        <v>3937</v>
      </c>
      <c r="M95" s="75">
        <f>VLOOKUP($A95,'Data Vlaue (Cr)'!$C:$FB,68)</f>
        <v>5065</v>
      </c>
      <c r="N95" s="75">
        <f t="shared" si="10"/>
        <v>-1128</v>
      </c>
      <c r="O95" s="75">
        <f t="shared" si="11"/>
        <v>-28.651257302514605</v>
      </c>
      <c r="P95" s="75">
        <f>VLOOKUP($A95,'Data Vlaue (Cr)'!$C:$FB,119)</f>
        <v>0.73</v>
      </c>
      <c r="Q95" s="75">
        <f>VLOOKUP($A95,'Data Vlaue (Cr)'!$C:$FB,122)*100</f>
        <v>-8.75</v>
      </c>
      <c r="R95" s="75">
        <f>VLOOKUP($A95,'Data Vlaue (Cr)'!$C:$FB,125)</f>
        <v>0.47</v>
      </c>
      <c r="S95" s="75">
        <f>VLOOKUP($A95,'Data Vlaue (Cr)'!$C:$FB,128)*100</f>
        <v>20.51</v>
      </c>
    </row>
    <row r="96" spans="1:19" x14ac:dyDescent="0.25">
      <c r="A96" s="96" t="str">
        <f>'Data Vlaue (Cr)'!C87</f>
        <v>HUDCO</v>
      </c>
      <c r="B96" s="75">
        <f>VLOOKUP($A96,'Data Vlaue (Cr)'!$C:$FB,2)</f>
        <v>2775</v>
      </c>
      <c r="C96" s="75">
        <f>VLOOKUP($A96,'Data Vlaue (Cr)'!$C:$FB,8)</f>
        <v>204.46</v>
      </c>
      <c r="D96" s="75">
        <f>VLOOKUP($A96,'Data Vlaue (Cr)'!$C:$FB,4)</f>
        <v>205</v>
      </c>
      <c r="E96" s="75">
        <f>VLOOKUP($A96,'Data Vlaue (Cr)'!$C:$FB,5)</f>
        <v>200.12</v>
      </c>
      <c r="F96" s="75">
        <f t="shared" si="6"/>
        <v>0.53999999999999204</v>
      </c>
      <c r="G96" s="75">
        <f t="shared" si="7"/>
        <v>2.3804878048780469</v>
      </c>
      <c r="H96" s="75">
        <f>VLOOKUP($A96,'Data Vlaue (Cr)'!$C:$FB,99)</f>
        <v>985</v>
      </c>
      <c r="I96" s="75">
        <f>VLOOKUP($A96,'Data Vlaue (Cr)'!$C:$FB,100)</f>
        <v>993</v>
      </c>
      <c r="J96" s="75">
        <f t="shared" si="8"/>
        <v>-8</v>
      </c>
      <c r="K96" s="75">
        <f t="shared" si="9"/>
        <v>-0.81218274111675126</v>
      </c>
      <c r="L96" s="75">
        <f>VLOOKUP($A96,'Data Vlaue (Cr)'!$C:$FB,67)</f>
        <v>1072</v>
      </c>
      <c r="M96" s="75">
        <f>VLOOKUP($A96,'Data Vlaue (Cr)'!$C:$FB,68)</f>
        <v>452</v>
      </c>
      <c r="N96" s="75">
        <f t="shared" si="10"/>
        <v>620</v>
      </c>
      <c r="O96" s="75">
        <f t="shared" si="11"/>
        <v>57.835820895522382</v>
      </c>
      <c r="P96" s="75">
        <f>VLOOKUP($A96,'Data Vlaue (Cr)'!$C:$FB,119)</f>
        <v>0.96</v>
      </c>
      <c r="Q96" s="75">
        <f>VLOOKUP($A96,'Data Vlaue (Cr)'!$C:$FB,122)*100</f>
        <v>18.52</v>
      </c>
      <c r="R96" s="75">
        <f>VLOOKUP($A96,'Data Vlaue (Cr)'!$C:$FB,125)</f>
        <v>0.45</v>
      </c>
      <c r="S96" s="75">
        <f>VLOOKUP($A96,'Data Vlaue (Cr)'!$C:$FB,128)*100</f>
        <v>32.35</v>
      </c>
    </row>
    <row r="97" spans="1:19" x14ac:dyDescent="0.25">
      <c r="A97" s="96" t="str">
        <f>'Data Vlaue (Cr)'!C88</f>
        <v>HYUNDAI</v>
      </c>
      <c r="B97" s="75">
        <f>VLOOKUP($A97,'Data Vlaue (Cr)'!$C:$FB,2)</f>
        <v>275</v>
      </c>
      <c r="C97" s="75">
        <f>VLOOKUP($A97,'Data Vlaue (Cr)'!$C:$FB,8)</f>
        <v>1844.2</v>
      </c>
      <c r="D97" s="75">
        <f>VLOOKUP($A97,'Data Vlaue (Cr)'!$C:$FB,4)</f>
        <v>1847.1</v>
      </c>
      <c r="E97" s="75">
        <f>VLOOKUP($A97,'Data Vlaue (Cr)'!$C:$FB,5)</f>
        <v>1841.8</v>
      </c>
      <c r="F97" s="75">
        <f t="shared" si="6"/>
        <v>2.8999999999998636</v>
      </c>
      <c r="G97" s="75">
        <f t="shared" si="7"/>
        <v>0.28693627849060444</v>
      </c>
      <c r="H97" s="75">
        <f>VLOOKUP($A97,'Data Vlaue (Cr)'!$C:$FB,99)</f>
        <v>1759</v>
      </c>
      <c r="I97" s="75">
        <f>VLOOKUP($A97,'Data Vlaue (Cr)'!$C:$FB,100)</f>
        <v>1958</v>
      </c>
      <c r="J97" s="75">
        <f t="shared" si="8"/>
        <v>-199</v>
      </c>
      <c r="K97" s="75">
        <f t="shared" si="9"/>
        <v>-11.313246162592382</v>
      </c>
      <c r="L97" s="75">
        <f>VLOOKUP($A97,'Data Vlaue (Cr)'!$C:$FB,67)</f>
        <v>1881</v>
      </c>
      <c r="M97" s="75">
        <f>VLOOKUP($A97,'Data Vlaue (Cr)'!$C:$FB,68)</f>
        <v>549</v>
      </c>
      <c r="N97" s="75">
        <f t="shared" si="10"/>
        <v>1332</v>
      </c>
      <c r="O97" s="75">
        <f t="shared" si="11"/>
        <v>70.813397129186612</v>
      </c>
      <c r="P97" s="75">
        <f>VLOOKUP($A97,'Data Vlaue (Cr)'!$C:$FB,119)</f>
        <v>0.55000000000000004</v>
      </c>
      <c r="Q97" s="75">
        <f>VLOOKUP($A97,'Data Vlaue (Cr)'!$C:$FB,122)*100</f>
        <v>-19.12</v>
      </c>
      <c r="R97" s="75">
        <f>VLOOKUP($A97,'Data Vlaue (Cr)'!$C:$FB,125)</f>
        <v>0.34</v>
      </c>
      <c r="S97" s="75">
        <f>VLOOKUP($A97,'Data Vlaue (Cr)'!$C:$FB,128)*100</f>
        <v>25.929999999999996</v>
      </c>
    </row>
    <row r="98" spans="1:19" x14ac:dyDescent="0.25">
      <c r="A98" s="96" t="str">
        <f>'Data Vlaue (Cr)'!C89</f>
        <v>ICICIBANK</v>
      </c>
      <c r="B98" s="75">
        <f>VLOOKUP($A98,'Data Vlaue (Cr)'!$C:$FB,2)</f>
        <v>700</v>
      </c>
      <c r="C98" s="75">
        <f>VLOOKUP($A98,'Data Vlaue (Cr)'!$C:$FB,8)</f>
        <v>1348</v>
      </c>
      <c r="D98" s="75">
        <f>VLOOKUP($A98,'Data Vlaue (Cr)'!$C:$FB,4)</f>
        <v>1347.1</v>
      </c>
      <c r="E98" s="75">
        <f>VLOOKUP($A98,'Data Vlaue (Cr)'!$C:$FB,5)</f>
        <v>1368.2</v>
      </c>
      <c r="F98" s="75">
        <f t="shared" si="6"/>
        <v>-0.90000000000009095</v>
      </c>
      <c r="G98" s="75">
        <f t="shared" si="7"/>
        <v>-1.5663276668398884</v>
      </c>
      <c r="H98" s="75">
        <f>VLOOKUP($A98,'Data Vlaue (Cr)'!$C:$FB,99)</f>
        <v>22400</v>
      </c>
      <c r="I98" s="75">
        <f>VLOOKUP($A98,'Data Vlaue (Cr)'!$C:$FB,100)</f>
        <v>22474</v>
      </c>
      <c r="J98" s="75">
        <f t="shared" si="8"/>
        <v>-74</v>
      </c>
      <c r="K98" s="75">
        <f t="shared" si="9"/>
        <v>-0.33035714285714285</v>
      </c>
      <c r="L98" s="75">
        <f>VLOOKUP($A98,'Data Vlaue (Cr)'!$C:$FB,67)</f>
        <v>20962</v>
      </c>
      <c r="M98" s="75">
        <f>VLOOKUP($A98,'Data Vlaue (Cr)'!$C:$FB,68)</f>
        <v>15752</v>
      </c>
      <c r="N98" s="75">
        <f t="shared" si="10"/>
        <v>5210</v>
      </c>
      <c r="O98" s="75">
        <f t="shared" si="11"/>
        <v>24.854498616544223</v>
      </c>
      <c r="P98" s="75">
        <f>VLOOKUP($A98,'Data Vlaue (Cr)'!$C:$FB,119)</f>
        <v>0.77</v>
      </c>
      <c r="Q98" s="75">
        <f>VLOOKUP($A98,'Data Vlaue (Cr)'!$C:$FB,122)*100</f>
        <v>-2.5299999999999998</v>
      </c>
      <c r="R98" s="75">
        <f>VLOOKUP($A98,'Data Vlaue (Cr)'!$C:$FB,125)</f>
        <v>0.67</v>
      </c>
      <c r="S98" s="75">
        <f>VLOOKUP($A98,'Data Vlaue (Cr)'!$C:$FB,128)*100</f>
        <v>-5.63</v>
      </c>
    </row>
    <row r="99" spans="1:19" x14ac:dyDescent="0.25">
      <c r="A99" s="96" t="str">
        <f>'Data Vlaue (Cr)'!C90</f>
        <v>ICICIGI</v>
      </c>
      <c r="B99" s="75">
        <f>VLOOKUP($A99,'Data Vlaue (Cr)'!$C:$FB,2)</f>
        <v>325</v>
      </c>
      <c r="C99" s="75">
        <f>VLOOKUP($A99,'Data Vlaue (Cr)'!$C:$FB,8)</f>
        <v>1809.9</v>
      </c>
      <c r="D99" s="75">
        <f>VLOOKUP($A99,'Data Vlaue (Cr)'!$C:$FB,4)</f>
        <v>1808.8</v>
      </c>
      <c r="E99" s="75">
        <f>VLOOKUP($A99,'Data Vlaue (Cr)'!$C:$FB,5)</f>
        <v>1832.4</v>
      </c>
      <c r="F99" s="75">
        <f t="shared" si="6"/>
        <v>-1.1000000000001364</v>
      </c>
      <c r="G99" s="75">
        <f t="shared" si="7"/>
        <v>-1.3047324192835104</v>
      </c>
      <c r="H99" s="75">
        <f>VLOOKUP($A99,'Data Vlaue (Cr)'!$C:$FB,99)</f>
        <v>1388</v>
      </c>
      <c r="I99" s="75">
        <f>VLOOKUP($A99,'Data Vlaue (Cr)'!$C:$FB,100)</f>
        <v>1406</v>
      </c>
      <c r="J99" s="75">
        <f t="shared" si="8"/>
        <v>-18</v>
      </c>
      <c r="K99" s="75">
        <f t="shared" si="9"/>
        <v>-1.2968299711815563</v>
      </c>
      <c r="L99" s="75">
        <f>VLOOKUP($A99,'Data Vlaue (Cr)'!$C:$FB,67)</f>
        <v>907</v>
      </c>
      <c r="M99" s="75">
        <f>VLOOKUP($A99,'Data Vlaue (Cr)'!$C:$FB,68)</f>
        <v>562</v>
      </c>
      <c r="N99" s="75">
        <f t="shared" si="10"/>
        <v>345</v>
      </c>
      <c r="O99" s="75">
        <f t="shared" si="11"/>
        <v>38.037486218302099</v>
      </c>
      <c r="P99" s="75">
        <f>VLOOKUP($A99,'Data Vlaue (Cr)'!$C:$FB,119)</f>
        <v>0.78</v>
      </c>
      <c r="Q99" s="75">
        <f>VLOOKUP($A99,'Data Vlaue (Cr)'!$C:$FB,122)*100</f>
        <v>-3.6999999999999997</v>
      </c>
      <c r="R99" s="75">
        <f>VLOOKUP($A99,'Data Vlaue (Cr)'!$C:$FB,125)</f>
        <v>0.54</v>
      </c>
      <c r="S99" s="75">
        <f>VLOOKUP($A99,'Data Vlaue (Cr)'!$C:$FB,128)*100</f>
        <v>-14.29</v>
      </c>
    </row>
    <row r="100" spans="1:19" x14ac:dyDescent="0.25">
      <c r="A100" s="96" t="str">
        <f>'Data Vlaue (Cr)'!C91</f>
        <v>ICICIPRULI</v>
      </c>
      <c r="B100" s="75">
        <f>VLOOKUP($A100,'Data Vlaue (Cr)'!$C:$FB,2)</f>
        <v>925</v>
      </c>
      <c r="C100" s="75">
        <f>VLOOKUP($A100,'Data Vlaue (Cr)'!$C:$FB,8)</f>
        <v>535.29999999999995</v>
      </c>
      <c r="D100" s="75">
        <f>VLOOKUP($A100,'Data Vlaue (Cr)'!$C:$FB,4)</f>
        <v>534.6</v>
      </c>
      <c r="E100" s="75">
        <f>VLOOKUP($A100,'Data Vlaue (Cr)'!$C:$FB,5)</f>
        <v>539.54999999999995</v>
      </c>
      <c r="F100" s="75">
        <f t="shared" si="6"/>
        <v>-0.69999999999993179</v>
      </c>
      <c r="G100" s="75">
        <f t="shared" si="7"/>
        <v>-0.92592592592591316</v>
      </c>
      <c r="H100" s="75">
        <f>VLOOKUP($A100,'Data Vlaue (Cr)'!$C:$FB,99)</f>
        <v>1834</v>
      </c>
      <c r="I100" s="75">
        <f>VLOOKUP($A100,'Data Vlaue (Cr)'!$C:$FB,100)</f>
        <v>1829</v>
      </c>
      <c r="J100" s="75">
        <f t="shared" si="8"/>
        <v>5</v>
      </c>
      <c r="K100" s="75">
        <f t="shared" si="9"/>
        <v>0.27262813522355506</v>
      </c>
      <c r="L100" s="75">
        <f>VLOOKUP($A100,'Data Vlaue (Cr)'!$C:$FB,67)</f>
        <v>1360</v>
      </c>
      <c r="M100" s="75">
        <f>VLOOKUP($A100,'Data Vlaue (Cr)'!$C:$FB,68)</f>
        <v>925</v>
      </c>
      <c r="N100" s="75">
        <f t="shared" si="10"/>
        <v>435</v>
      </c>
      <c r="O100" s="75">
        <f t="shared" si="11"/>
        <v>31.985294117647058</v>
      </c>
      <c r="P100" s="75">
        <f>VLOOKUP($A100,'Data Vlaue (Cr)'!$C:$FB,119)</f>
        <v>0.67</v>
      </c>
      <c r="Q100" s="75">
        <f>VLOOKUP($A100,'Data Vlaue (Cr)'!$C:$FB,122)*100</f>
        <v>6.35</v>
      </c>
      <c r="R100" s="75">
        <f>VLOOKUP($A100,'Data Vlaue (Cr)'!$C:$FB,125)</f>
        <v>0.51</v>
      </c>
      <c r="S100" s="75">
        <f>VLOOKUP($A100,'Data Vlaue (Cr)'!$C:$FB,128)*100</f>
        <v>-15</v>
      </c>
    </row>
    <row r="101" spans="1:19" x14ac:dyDescent="0.25">
      <c r="A101" s="96" t="str">
        <f>'Data Vlaue (Cr)'!C92</f>
        <v>IDEA</v>
      </c>
      <c r="B101" s="75">
        <f>VLOOKUP($A101,'Data Vlaue (Cr)'!$C:$FB,2)</f>
        <v>71475</v>
      </c>
      <c r="C101" s="75">
        <f>VLOOKUP($A101,'Data Vlaue (Cr)'!$C:$FB,8)</f>
        <v>9.58</v>
      </c>
      <c r="D101" s="75">
        <f>VLOOKUP($A101,'Data Vlaue (Cr)'!$C:$FB,4)</f>
        <v>9.57</v>
      </c>
      <c r="E101" s="75">
        <f>VLOOKUP($A101,'Data Vlaue (Cr)'!$C:$FB,5)</f>
        <v>9.5299999999999994</v>
      </c>
      <c r="F101" s="75">
        <f t="shared" si="6"/>
        <v>-9.9999999999997868E-3</v>
      </c>
      <c r="G101" s="75">
        <f t="shared" si="7"/>
        <v>0.41797283176594491</v>
      </c>
      <c r="H101" s="75">
        <f>VLOOKUP($A101,'Data Vlaue (Cr)'!$C:$FB,99)</f>
        <v>8488</v>
      </c>
      <c r="I101" s="75">
        <f>VLOOKUP($A101,'Data Vlaue (Cr)'!$C:$FB,100)</f>
        <v>8508</v>
      </c>
      <c r="J101" s="75">
        <f t="shared" si="8"/>
        <v>-20</v>
      </c>
      <c r="K101" s="75">
        <f t="shared" si="9"/>
        <v>-0.23562676720075398</v>
      </c>
      <c r="L101" s="75">
        <f>VLOOKUP($A101,'Data Vlaue (Cr)'!$C:$FB,67)</f>
        <v>2872</v>
      </c>
      <c r="M101" s="75">
        <f>VLOOKUP($A101,'Data Vlaue (Cr)'!$C:$FB,68)</f>
        <v>2737</v>
      </c>
      <c r="N101" s="75">
        <f t="shared" si="10"/>
        <v>135</v>
      </c>
      <c r="O101" s="75">
        <f t="shared" si="11"/>
        <v>4.7005571030640665</v>
      </c>
      <c r="P101" s="75">
        <f>VLOOKUP($A101,'Data Vlaue (Cr)'!$C:$FB,119)</f>
        <v>0.49</v>
      </c>
      <c r="Q101" s="75">
        <f>VLOOKUP($A101,'Data Vlaue (Cr)'!$C:$FB,122)*100</f>
        <v>-2</v>
      </c>
      <c r="R101" s="75">
        <f>VLOOKUP($A101,'Data Vlaue (Cr)'!$C:$FB,125)</f>
        <v>0.36</v>
      </c>
      <c r="S101" s="75">
        <f>VLOOKUP($A101,'Data Vlaue (Cr)'!$C:$FB,128)*100</f>
        <v>20</v>
      </c>
    </row>
    <row r="102" spans="1:19" x14ac:dyDescent="0.25">
      <c r="A102" s="96" t="str">
        <f>'Data Vlaue (Cr)'!C93</f>
        <v>IDFCFIRSTB</v>
      </c>
      <c r="B102" s="75">
        <f>VLOOKUP($A102,'Data Vlaue (Cr)'!$C:$FB,2)</f>
        <v>9275</v>
      </c>
      <c r="C102" s="75">
        <f>VLOOKUP($A102,'Data Vlaue (Cr)'!$C:$FB,8)</f>
        <v>67.83</v>
      </c>
      <c r="D102" s="75">
        <f>VLOOKUP($A102,'Data Vlaue (Cr)'!$C:$FB,4)</f>
        <v>67.72</v>
      </c>
      <c r="E102" s="75">
        <f>VLOOKUP($A102,'Data Vlaue (Cr)'!$C:$FB,5)</f>
        <v>68.42</v>
      </c>
      <c r="F102" s="75">
        <f t="shared" si="6"/>
        <v>-0.10999999999999943</v>
      </c>
      <c r="G102" s="75">
        <f t="shared" si="7"/>
        <v>-1.0336680448907307</v>
      </c>
      <c r="H102" s="75">
        <f>VLOOKUP($A102,'Data Vlaue (Cr)'!$C:$FB,99)</f>
        <v>4394</v>
      </c>
      <c r="I102" s="75">
        <f>VLOOKUP($A102,'Data Vlaue (Cr)'!$C:$FB,100)</f>
        <v>4434</v>
      </c>
      <c r="J102" s="75">
        <f t="shared" si="8"/>
        <v>-40</v>
      </c>
      <c r="K102" s="75">
        <f t="shared" si="9"/>
        <v>-0.91033227127901672</v>
      </c>
      <c r="L102" s="75">
        <f>VLOOKUP($A102,'Data Vlaue (Cr)'!$C:$FB,67)</f>
        <v>2257</v>
      </c>
      <c r="M102" s="75">
        <f>VLOOKUP($A102,'Data Vlaue (Cr)'!$C:$FB,68)</f>
        <v>1297</v>
      </c>
      <c r="N102" s="75">
        <f t="shared" si="10"/>
        <v>960</v>
      </c>
      <c r="O102" s="75">
        <f t="shared" si="11"/>
        <v>42.534337616304832</v>
      </c>
      <c r="P102" s="75">
        <f>VLOOKUP($A102,'Data Vlaue (Cr)'!$C:$FB,119)</f>
        <v>0.92</v>
      </c>
      <c r="Q102" s="75">
        <f>VLOOKUP($A102,'Data Vlaue (Cr)'!$C:$FB,122)*100</f>
        <v>-4.17</v>
      </c>
      <c r="R102" s="75">
        <f>VLOOKUP($A102,'Data Vlaue (Cr)'!$C:$FB,125)</f>
        <v>0.89</v>
      </c>
      <c r="S102" s="75">
        <f>VLOOKUP($A102,'Data Vlaue (Cr)'!$C:$FB,128)*100</f>
        <v>-19.09</v>
      </c>
    </row>
    <row r="103" spans="1:19" x14ac:dyDescent="0.25">
      <c r="A103" s="96" t="str">
        <f>'Data Vlaue (Cr)'!C94</f>
        <v>IEX</v>
      </c>
      <c r="B103" s="75">
        <f>VLOOKUP($A103,'Data Vlaue (Cr)'!$C:$FB,2)</f>
        <v>3750</v>
      </c>
      <c r="C103" s="75">
        <f>VLOOKUP($A103,'Data Vlaue (Cr)'!$C:$FB,8)</f>
        <v>126.92</v>
      </c>
      <c r="D103" s="75">
        <f>VLOOKUP($A103,'Data Vlaue (Cr)'!$C:$FB,4)</f>
        <v>127.48</v>
      </c>
      <c r="E103" s="75">
        <f>VLOOKUP($A103,'Data Vlaue (Cr)'!$C:$FB,5)</f>
        <v>125.97</v>
      </c>
      <c r="F103" s="75">
        <f t="shared" si="6"/>
        <v>0.56000000000000227</v>
      </c>
      <c r="G103" s="75">
        <f t="shared" si="7"/>
        <v>1.1844995293379394</v>
      </c>
      <c r="H103" s="75">
        <f>VLOOKUP($A103,'Data Vlaue (Cr)'!$C:$FB,99)</f>
        <v>2317</v>
      </c>
      <c r="I103" s="75">
        <f>VLOOKUP($A103,'Data Vlaue (Cr)'!$C:$FB,100)</f>
        <v>2281</v>
      </c>
      <c r="J103" s="75">
        <f t="shared" si="8"/>
        <v>36</v>
      </c>
      <c r="K103" s="75">
        <f t="shared" si="9"/>
        <v>1.5537332757876565</v>
      </c>
      <c r="L103" s="75">
        <f>VLOOKUP($A103,'Data Vlaue (Cr)'!$C:$FB,67)</f>
        <v>2863</v>
      </c>
      <c r="M103" s="75">
        <f>VLOOKUP($A103,'Data Vlaue (Cr)'!$C:$FB,68)</f>
        <v>939</v>
      </c>
      <c r="N103" s="75">
        <f t="shared" si="10"/>
        <v>1924</v>
      </c>
      <c r="O103" s="75">
        <f t="shared" si="11"/>
        <v>67.202235417394334</v>
      </c>
      <c r="P103" s="75">
        <f>VLOOKUP($A103,'Data Vlaue (Cr)'!$C:$FB,119)</f>
        <v>0.76</v>
      </c>
      <c r="Q103" s="75">
        <f>VLOOKUP($A103,'Data Vlaue (Cr)'!$C:$FB,122)*100</f>
        <v>2.7</v>
      </c>
      <c r="R103" s="75">
        <f>VLOOKUP($A103,'Data Vlaue (Cr)'!$C:$FB,125)</f>
        <v>0.46</v>
      </c>
      <c r="S103" s="75">
        <f>VLOOKUP($A103,'Data Vlaue (Cr)'!$C:$FB,128)*100</f>
        <v>-29.23</v>
      </c>
    </row>
    <row r="104" spans="1:19" x14ac:dyDescent="0.25">
      <c r="A104" s="96" t="str">
        <f>'Data Vlaue (Cr)'!C95</f>
        <v>INDHOTEL</v>
      </c>
      <c r="B104" s="75">
        <f>VLOOKUP($A104,'Data Vlaue (Cr)'!$C:$FB,2)</f>
        <v>1000</v>
      </c>
      <c r="C104" s="75">
        <f>VLOOKUP($A104,'Data Vlaue (Cr)'!$C:$FB,8)</f>
        <v>639.45000000000005</v>
      </c>
      <c r="D104" s="75">
        <f>VLOOKUP($A104,'Data Vlaue (Cr)'!$C:$FB,4)</f>
        <v>639.15</v>
      </c>
      <c r="E104" s="75">
        <f>VLOOKUP($A104,'Data Vlaue (Cr)'!$C:$FB,5)</f>
        <v>659.7</v>
      </c>
      <c r="F104" s="75">
        <f t="shared" si="6"/>
        <v>-0.30000000000006821</v>
      </c>
      <c r="G104" s="75">
        <f t="shared" si="7"/>
        <v>-3.2152076977235495</v>
      </c>
      <c r="H104" s="75">
        <f>VLOOKUP($A104,'Data Vlaue (Cr)'!$C:$FB,99)</f>
        <v>2256</v>
      </c>
      <c r="I104" s="75">
        <f>VLOOKUP($A104,'Data Vlaue (Cr)'!$C:$FB,100)</f>
        <v>2186</v>
      </c>
      <c r="J104" s="75">
        <f t="shared" si="8"/>
        <v>70</v>
      </c>
      <c r="K104" s="75">
        <f t="shared" si="9"/>
        <v>3.102836879432624</v>
      </c>
      <c r="L104" s="75">
        <f>VLOOKUP($A104,'Data Vlaue (Cr)'!$C:$FB,67)</f>
        <v>1733</v>
      </c>
      <c r="M104" s="75">
        <f>VLOOKUP($A104,'Data Vlaue (Cr)'!$C:$FB,68)</f>
        <v>556</v>
      </c>
      <c r="N104" s="75">
        <f t="shared" si="10"/>
        <v>1177</v>
      </c>
      <c r="O104" s="75">
        <f t="shared" si="11"/>
        <v>67.916907097518759</v>
      </c>
      <c r="P104" s="75">
        <f>VLOOKUP($A104,'Data Vlaue (Cr)'!$C:$FB,119)</f>
        <v>0.97</v>
      </c>
      <c r="Q104" s="75">
        <f>VLOOKUP($A104,'Data Vlaue (Cr)'!$C:$FB,122)*100</f>
        <v>3.19</v>
      </c>
      <c r="R104" s="75">
        <f>VLOOKUP($A104,'Data Vlaue (Cr)'!$C:$FB,125)</f>
        <v>0.76</v>
      </c>
      <c r="S104" s="75">
        <f>VLOOKUP($A104,'Data Vlaue (Cr)'!$C:$FB,128)*100</f>
        <v>-20</v>
      </c>
    </row>
    <row r="105" spans="1:19" x14ac:dyDescent="0.25">
      <c r="A105" s="96" t="str">
        <f>'Data Vlaue (Cr)'!C96</f>
        <v>INDIANB</v>
      </c>
      <c r="B105" s="75">
        <f>VLOOKUP($A105,'Data Vlaue (Cr)'!$C:$FB,2)</f>
        <v>1000</v>
      </c>
      <c r="C105" s="75">
        <f>VLOOKUP($A105,'Data Vlaue (Cr)'!$C:$FB,8)</f>
        <v>914.95</v>
      </c>
      <c r="D105" s="75">
        <f>VLOOKUP($A105,'Data Vlaue (Cr)'!$C:$FB,4)</f>
        <v>916.45</v>
      </c>
      <c r="E105" s="75">
        <f>VLOOKUP($A105,'Data Vlaue (Cr)'!$C:$FB,5)</f>
        <v>927.15</v>
      </c>
      <c r="F105" s="75">
        <f t="shared" si="6"/>
        <v>1.5</v>
      </c>
      <c r="G105" s="75">
        <f t="shared" si="7"/>
        <v>-1.1675486933275061</v>
      </c>
      <c r="H105" s="75">
        <f>VLOOKUP($A105,'Data Vlaue (Cr)'!$C:$FB,99)</f>
        <v>1935</v>
      </c>
      <c r="I105" s="75">
        <f>VLOOKUP($A105,'Data Vlaue (Cr)'!$C:$FB,100)</f>
        <v>2005</v>
      </c>
      <c r="J105" s="75">
        <f t="shared" si="8"/>
        <v>-70</v>
      </c>
      <c r="K105" s="75">
        <f t="shared" si="9"/>
        <v>-3.6175710594315245</v>
      </c>
      <c r="L105" s="75">
        <f>VLOOKUP($A105,'Data Vlaue (Cr)'!$C:$FB,67)</f>
        <v>1667</v>
      </c>
      <c r="M105" s="75">
        <f>VLOOKUP($A105,'Data Vlaue (Cr)'!$C:$FB,68)</f>
        <v>1012</v>
      </c>
      <c r="N105" s="75">
        <f t="shared" si="10"/>
        <v>655</v>
      </c>
      <c r="O105" s="75">
        <f t="shared" si="11"/>
        <v>39.292141571685661</v>
      </c>
      <c r="P105" s="75">
        <f>VLOOKUP($A105,'Data Vlaue (Cr)'!$C:$FB,119)</f>
        <v>0.56000000000000005</v>
      </c>
      <c r="Q105" s="75">
        <f>VLOOKUP($A105,'Data Vlaue (Cr)'!$C:$FB,122)*100</f>
        <v>5.66</v>
      </c>
      <c r="R105" s="75">
        <f>VLOOKUP($A105,'Data Vlaue (Cr)'!$C:$FB,125)</f>
        <v>0.46</v>
      </c>
      <c r="S105" s="75">
        <f>VLOOKUP($A105,'Data Vlaue (Cr)'!$C:$FB,128)*100</f>
        <v>53.33</v>
      </c>
    </row>
    <row r="106" spans="1:19" x14ac:dyDescent="0.25">
      <c r="A106" s="96" t="str">
        <f>'Data Vlaue (Cr)'!C97</f>
        <v>INDIAVIX</v>
      </c>
      <c r="B106" s="75">
        <f>VLOOKUP($A106,'Data Vlaue (Cr)'!$C:$FB,2)</f>
        <v>1</v>
      </c>
      <c r="C106" s="75">
        <f>VLOOKUP($A106,'Data Vlaue (Cr)'!$C:$FB,8)</f>
        <v>18.59</v>
      </c>
      <c r="D106" s="75">
        <f>VLOOKUP($A106,'Data Vlaue (Cr)'!$C:$FB,4)</f>
        <v>18.59</v>
      </c>
      <c r="E106" s="75">
        <f>VLOOKUP($A106,'Data Vlaue (Cr)'!$C:$FB,5)</f>
        <v>18.3</v>
      </c>
      <c r="F106" s="75">
        <f t="shared" si="6"/>
        <v>0</v>
      </c>
      <c r="G106" s="75">
        <f t="shared" si="7"/>
        <v>1.5599784830554015</v>
      </c>
      <c r="H106" s="75">
        <f>VLOOKUP($A106,'Data Vlaue (Cr)'!$C:$FB,99)</f>
        <v>0</v>
      </c>
      <c r="I106" s="75">
        <f>VLOOKUP($A106,'Data Vlaue (Cr)'!$C:$FB,100)</f>
        <v>0</v>
      </c>
      <c r="J106" s="75">
        <f t="shared" si="8"/>
        <v>0</v>
      </c>
      <c r="K106" s="75" t="e">
        <f t="shared" si="9"/>
        <v>#DIV/0!</v>
      </c>
      <c r="L106" s="75">
        <f>VLOOKUP($A106,'Data Vlaue (Cr)'!$C:$FB,67)</f>
        <v>0</v>
      </c>
      <c r="M106" s="75">
        <f>VLOOKUP($A106,'Data Vlaue (Cr)'!$C:$FB,68)</f>
        <v>0</v>
      </c>
      <c r="N106" s="75">
        <f t="shared" si="10"/>
        <v>0</v>
      </c>
      <c r="O106" s="75" t="e">
        <f t="shared" si="11"/>
        <v>#DIV/0!</v>
      </c>
      <c r="P106" s="75">
        <f>VLOOKUP($A106,'Data Vlaue (Cr)'!$C:$FB,119)</f>
        <v>0</v>
      </c>
      <c r="Q106" s="75">
        <f>VLOOKUP($A106,'Data Vlaue (Cr)'!$C:$FB,122)*100</f>
        <v>0</v>
      </c>
      <c r="R106" s="75">
        <f>VLOOKUP($A106,'Data Vlaue (Cr)'!$C:$FB,125)</f>
        <v>0</v>
      </c>
      <c r="S106" s="75">
        <f>VLOOKUP($A106,'Data Vlaue (Cr)'!$C:$FB,128)*100</f>
        <v>0</v>
      </c>
    </row>
    <row r="107" spans="1:19" x14ac:dyDescent="0.25">
      <c r="A107" s="96" t="str">
        <f>'Data Vlaue (Cr)'!C98</f>
        <v>INDIGO</v>
      </c>
      <c r="B107" s="75">
        <f>VLOOKUP($A107,'Data Vlaue (Cr)'!$C:$FB,2)</f>
        <v>150</v>
      </c>
      <c r="C107" s="75">
        <f>VLOOKUP($A107,'Data Vlaue (Cr)'!$C:$FB,8)</f>
        <v>4556</v>
      </c>
      <c r="D107" s="75">
        <f>VLOOKUP($A107,'Data Vlaue (Cr)'!$C:$FB,4)</f>
        <v>4565.6000000000004</v>
      </c>
      <c r="E107" s="75">
        <f>VLOOKUP($A107,'Data Vlaue (Cr)'!$C:$FB,5)</f>
        <v>4632.3999999999996</v>
      </c>
      <c r="F107" s="75">
        <f t="shared" si="6"/>
        <v>9.6000000000003638</v>
      </c>
      <c r="G107" s="75">
        <f t="shared" si="7"/>
        <v>-1.4631154722270734</v>
      </c>
      <c r="H107" s="75">
        <f>VLOOKUP($A107,'Data Vlaue (Cr)'!$C:$FB,99)</f>
        <v>8274</v>
      </c>
      <c r="I107" s="75">
        <f>VLOOKUP($A107,'Data Vlaue (Cr)'!$C:$FB,100)</f>
        <v>8254</v>
      </c>
      <c r="J107" s="75">
        <f t="shared" si="8"/>
        <v>20</v>
      </c>
      <c r="K107" s="75">
        <f t="shared" si="9"/>
        <v>0.241721053903795</v>
      </c>
      <c r="L107" s="75">
        <f>VLOOKUP($A107,'Data Vlaue (Cr)'!$C:$FB,67)</f>
        <v>7423</v>
      </c>
      <c r="M107" s="75">
        <f>VLOOKUP($A107,'Data Vlaue (Cr)'!$C:$FB,68)</f>
        <v>6770</v>
      </c>
      <c r="N107" s="75">
        <f t="shared" si="10"/>
        <v>653</v>
      </c>
      <c r="O107" s="75">
        <f t="shared" si="11"/>
        <v>8.7969823521487278</v>
      </c>
      <c r="P107" s="75">
        <f>VLOOKUP($A107,'Data Vlaue (Cr)'!$C:$FB,119)</f>
        <v>0.66</v>
      </c>
      <c r="Q107" s="75">
        <f>VLOOKUP($A107,'Data Vlaue (Cr)'!$C:$FB,122)*100</f>
        <v>-4.3499999999999996</v>
      </c>
      <c r="R107" s="75">
        <f>VLOOKUP($A107,'Data Vlaue (Cr)'!$C:$FB,125)</f>
        <v>0.97</v>
      </c>
      <c r="S107" s="75">
        <f>VLOOKUP($A107,'Data Vlaue (Cr)'!$C:$FB,128)*100</f>
        <v>27.63</v>
      </c>
    </row>
    <row r="108" spans="1:19" x14ac:dyDescent="0.25">
      <c r="A108" s="96" t="str">
        <f>'Data Vlaue (Cr)'!C99</f>
        <v>INDUSINDBK</v>
      </c>
      <c r="B108" s="75">
        <f>VLOOKUP($A108,'Data Vlaue (Cr)'!$C:$FB,2)</f>
        <v>700</v>
      </c>
      <c r="C108" s="75">
        <f>VLOOKUP($A108,'Data Vlaue (Cr)'!$C:$FB,8)</f>
        <v>860.35</v>
      </c>
      <c r="D108" s="75">
        <f>VLOOKUP($A108,'Data Vlaue (Cr)'!$C:$FB,4)</f>
        <v>860.1</v>
      </c>
      <c r="E108" s="75">
        <f>VLOOKUP($A108,'Data Vlaue (Cr)'!$C:$FB,5)</f>
        <v>868.75</v>
      </c>
      <c r="F108" s="75">
        <f t="shared" si="6"/>
        <v>-0.25</v>
      </c>
      <c r="G108" s="75">
        <f t="shared" si="7"/>
        <v>-1.005697011975349</v>
      </c>
      <c r="H108" s="75">
        <f>VLOOKUP($A108,'Data Vlaue (Cr)'!$C:$FB,99)</f>
        <v>4668</v>
      </c>
      <c r="I108" s="75">
        <f>VLOOKUP($A108,'Data Vlaue (Cr)'!$C:$FB,100)</f>
        <v>4528</v>
      </c>
      <c r="J108" s="75">
        <f t="shared" si="8"/>
        <v>140</v>
      </c>
      <c r="K108" s="75">
        <f t="shared" si="9"/>
        <v>2.9991431019708652</v>
      </c>
      <c r="L108" s="75">
        <f>VLOOKUP($A108,'Data Vlaue (Cr)'!$C:$FB,67)</f>
        <v>3316</v>
      </c>
      <c r="M108" s="75">
        <f>VLOOKUP($A108,'Data Vlaue (Cr)'!$C:$FB,68)</f>
        <v>2051</v>
      </c>
      <c r="N108" s="75">
        <f t="shared" si="10"/>
        <v>1265</v>
      </c>
      <c r="O108" s="75">
        <f t="shared" si="11"/>
        <v>38.148371531966227</v>
      </c>
      <c r="P108" s="75">
        <f>VLOOKUP($A108,'Data Vlaue (Cr)'!$C:$FB,119)</f>
        <v>0.77</v>
      </c>
      <c r="Q108" s="75">
        <f>VLOOKUP($A108,'Data Vlaue (Cr)'!$C:$FB,122)*100</f>
        <v>-8.33</v>
      </c>
      <c r="R108" s="75">
        <f>VLOOKUP($A108,'Data Vlaue (Cr)'!$C:$FB,125)</f>
        <v>0.67</v>
      </c>
      <c r="S108" s="75">
        <f>VLOOKUP($A108,'Data Vlaue (Cr)'!$C:$FB,128)*100</f>
        <v>1.52</v>
      </c>
    </row>
    <row r="109" spans="1:19" x14ac:dyDescent="0.25">
      <c r="A109" s="96" t="str">
        <f>'Data Vlaue (Cr)'!C100</f>
        <v>INDUSTOWER</v>
      </c>
      <c r="B109" s="75">
        <f>VLOOKUP($A109,'Data Vlaue (Cr)'!$C:$FB,2)</f>
        <v>1700</v>
      </c>
      <c r="C109" s="75">
        <f>VLOOKUP($A109,'Data Vlaue (Cr)'!$C:$FB,8)</f>
        <v>404.7</v>
      </c>
      <c r="D109" s="75">
        <f>VLOOKUP($A109,'Data Vlaue (Cr)'!$C:$FB,4)</f>
        <v>405.1</v>
      </c>
      <c r="E109" s="75">
        <f>VLOOKUP($A109,'Data Vlaue (Cr)'!$C:$FB,5)</f>
        <v>409.1</v>
      </c>
      <c r="F109" s="75">
        <f t="shared" si="6"/>
        <v>0.40000000000003411</v>
      </c>
      <c r="G109" s="75">
        <f t="shared" si="7"/>
        <v>-0.98741051592199458</v>
      </c>
      <c r="H109" s="75">
        <f>VLOOKUP($A109,'Data Vlaue (Cr)'!$C:$FB,99)</f>
        <v>4856</v>
      </c>
      <c r="I109" s="75">
        <f>VLOOKUP($A109,'Data Vlaue (Cr)'!$C:$FB,100)</f>
        <v>4780</v>
      </c>
      <c r="J109" s="75">
        <f t="shared" si="8"/>
        <v>76</v>
      </c>
      <c r="K109" s="75">
        <f t="shared" si="9"/>
        <v>1.5650741350906094</v>
      </c>
      <c r="L109" s="75">
        <f>VLOOKUP($A109,'Data Vlaue (Cr)'!$C:$FB,67)</f>
        <v>3258</v>
      </c>
      <c r="M109" s="75">
        <f>VLOOKUP($A109,'Data Vlaue (Cr)'!$C:$FB,68)</f>
        <v>2505</v>
      </c>
      <c r="N109" s="75">
        <f t="shared" si="10"/>
        <v>753</v>
      </c>
      <c r="O109" s="75">
        <f t="shared" si="11"/>
        <v>23.112338858195212</v>
      </c>
      <c r="P109" s="75">
        <f>VLOOKUP($A109,'Data Vlaue (Cr)'!$C:$FB,119)</f>
        <v>0.53</v>
      </c>
      <c r="Q109" s="75">
        <f>VLOOKUP($A109,'Data Vlaue (Cr)'!$C:$FB,122)*100</f>
        <v>-3.64</v>
      </c>
      <c r="R109" s="75">
        <f>VLOOKUP($A109,'Data Vlaue (Cr)'!$C:$FB,125)</f>
        <v>0.6</v>
      </c>
      <c r="S109" s="75">
        <f>VLOOKUP($A109,'Data Vlaue (Cr)'!$C:$FB,128)*100</f>
        <v>100</v>
      </c>
    </row>
    <row r="110" spans="1:19" x14ac:dyDescent="0.25">
      <c r="A110" s="96" t="str">
        <f>'Data Vlaue (Cr)'!C101</f>
        <v>INFY</v>
      </c>
      <c r="B110" s="75">
        <f>VLOOKUP($A110,'Data Vlaue (Cr)'!$C:$FB,2)</f>
        <v>400</v>
      </c>
      <c r="C110" s="75">
        <f>VLOOKUP($A110,'Data Vlaue (Cr)'!$C:$FB,8)</f>
        <v>1240.5999999999999</v>
      </c>
      <c r="D110" s="75">
        <f>VLOOKUP($A110,'Data Vlaue (Cr)'!$C:$FB,4)</f>
        <v>1237.5999999999999</v>
      </c>
      <c r="E110" s="75">
        <f>VLOOKUP($A110,'Data Vlaue (Cr)'!$C:$FB,5)</f>
        <v>1272.2</v>
      </c>
      <c r="F110" s="75">
        <f t="shared" si="6"/>
        <v>-3</v>
      </c>
      <c r="G110" s="75">
        <f t="shared" si="7"/>
        <v>-2.7957336780866306</v>
      </c>
      <c r="H110" s="75">
        <f>VLOOKUP($A110,'Data Vlaue (Cr)'!$C:$FB,99)</f>
        <v>19680</v>
      </c>
      <c r="I110" s="75">
        <f>VLOOKUP($A110,'Data Vlaue (Cr)'!$C:$FB,100)</f>
        <v>17244</v>
      </c>
      <c r="J110" s="75">
        <f t="shared" si="8"/>
        <v>2436</v>
      </c>
      <c r="K110" s="75">
        <f t="shared" si="9"/>
        <v>12.378048780487806</v>
      </c>
      <c r="L110" s="75">
        <f>VLOOKUP($A110,'Data Vlaue (Cr)'!$C:$FB,67)</f>
        <v>23248</v>
      </c>
      <c r="M110" s="75">
        <f>VLOOKUP($A110,'Data Vlaue (Cr)'!$C:$FB,68)</f>
        <v>18621</v>
      </c>
      <c r="N110" s="75">
        <f t="shared" si="10"/>
        <v>4627</v>
      </c>
      <c r="O110" s="75">
        <f t="shared" si="11"/>
        <v>19.902787336545082</v>
      </c>
      <c r="P110" s="75">
        <f>VLOOKUP($A110,'Data Vlaue (Cr)'!$C:$FB,119)</f>
        <v>0.78</v>
      </c>
      <c r="Q110" s="75">
        <f>VLOOKUP($A110,'Data Vlaue (Cr)'!$C:$FB,122)*100</f>
        <v>0</v>
      </c>
      <c r="R110" s="75">
        <f>VLOOKUP($A110,'Data Vlaue (Cr)'!$C:$FB,125)</f>
        <v>0.97</v>
      </c>
      <c r="S110" s="75">
        <f>VLOOKUP($A110,'Data Vlaue (Cr)'!$C:$FB,128)*100</f>
        <v>44.78</v>
      </c>
    </row>
    <row r="111" spans="1:19" x14ac:dyDescent="0.25">
      <c r="A111" s="96" t="str">
        <f>'Data Vlaue (Cr)'!C102</f>
        <v>INOXWIND</v>
      </c>
      <c r="B111" s="75">
        <f>VLOOKUP($A111,'Data Vlaue (Cr)'!$C:$FB,2)</f>
        <v>3575</v>
      </c>
      <c r="C111" s="75">
        <f>VLOOKUP($A111,'Data Vlaue (Cr)'!$C:$FB,8)</f>
        <v>101.79</v>
      </c>
      <c r="D111" s="75">
        <f>VLOOKUP($A111,'Data Vlaue (Cr)'!$C:$FB,4)</f>
        <v>101.87</v>
      </c>
      <c r="E111" s="75">
        <f>VLOOKUP($A111,'Data Vlaue (Cr)'!$C:$FB,5)</f>
        <v>104.45</v>
      </c>
      <c r="F111" s="75">
        <f t="shared" si="6"/>
        <v>7.9999999999998295E-2</v>
      </c>
      <c r="G111" s="75">
        <f t="shared" si="7"/>
        <v>-2.5326396387552745</v>
      </c>
      <c r="H111" s="75">
        <f>VLOOKUP($A111,'Data Vlaue (Cr)'!$C:$FB,99)</f>
        <v>1489</v>
      </c>
      <c r="I111" s="75">
        <f>VLOOKUP($A111,'Data Vlaue (Cr)'!$C:$FB,100)</f>
        <v>1488</v>
      </c>
      <c r="J111" s="75">
        <f t="shared" si="8"/>
        <v>1</v>
      </c>
      <c r="K111" s="75">
        <f t="shared" si="9"/>
        <v>6.7159167226326394E-2</v>
      </c>
      <c r="L111" s="75">
        <f>VLOOKUP($A111,'Data Vlaue (Cr)'!$C:$FB,67)</f>
        <v>721</v>
      </c>
      <c r="M111" s="75">
        <f>VLOOKUP($A111,'Data Vlaue (Cr)'!$C:$FB,68)</f>
        <v>974</v>
      </c>
      <c r="N111" s="75">
        <f t="shared" si="10"/>
        <v>-253</v>
      </c>
      <c r="O111" s="75">
        <f t="shared" si="11"/>
        <v>-35.090152565880722</v>
      </c>
      <c r="P111" s="75">
        <f>VLOOKUP($A111,'Data Vlaue (Cr)'!$C:$FB,119)</f>
        <v>0.9</v>
      </c>
      <c r="Q111" s="75">
        <f>VLOOKUP($A111,'Data Vlaue (Cr)'!$C:$FB,122)*100</f>
        <v>0</v>
      </c>
      <c r="R111" s="75">
        <f>VLOOKUP($A111,'Data Vlaue (Cr)'!$C:$FB,125)</f>
        <v>0.65</v>
      </c>
      <c r="S111" s="75">
        <f>VLOOKUP($A111,'Data Vlaue (Cr)'!$C:$FB,128)*100</f>
        <v>85.71</v>
      </c>
    </row>
    <row r="112" spans="1:19" x14ac:dyDescent="0.25">
      <c r="A112" s="96" t="str">
        <f>'Data Vlaue (Cr)'!C103</f>
        <v>IOC</v>
      </c>
      <c r="B112" s="75">
        <f>VLOOKUP($A112,'Data Vlaue (Cr)'!$C:$FB,2)</f>
        <v>4875</v>
      </c>
      <c r="C112" s="75">
        <f>VLOOKUP($A112,'Data Vlaue (Cr)'!$C:$FB,8)</f>
        <v>145.47999999999999</v>
      </c>
      <c r="D112" s="75">
        <f>VLOOKUP($A112,'Data Vlaue (Cr)'!$C:$FB,4)</f>
        <v>145.46</v>
      </c>
      <c r="E112" s="75">
        <f>VLOOKUP($A112,'Data Vlaue (Cr)'!$C:$FB,5)</f>
        <v>147.49</v>
      </c>
      <c r="F112" s="75">
        <f t="shared" si="6"/>
        <v>-1.999999999998181E-2</v>
      </c>
      <c r="G112" s="75">
        <f t="shared" si="7"/>
        <v>-1.3955726660250249</v>
      </c>
      <c r="H112" s="75">
        <f>VLOOKUP($A112,'Data Vlaue (Cr)'!$C:$FB,99)</f>
        <v>3197</v>
      </c>
      <c r="I112" s="75">
        <f>VLOOKUP($A112,'Data Vlaue (Cr)'!$C:$FB,100)</f>
        <v>3225</v>
      </c>
      <c r="J112" s="75">
        <f t="shared" si="8"/>
        <v>-28</v>
      </c>
      <c r="K112" s="75">
        <f t="shared" si="9"/>
        <v>-0.87582108226462307</v>
      </c>
      <c r="L112" s="75">
        <f>VLOOKUP($A112,'Data Vlaue (Cr)'!$C:$FB,67)</f>
        <v>2182</v>
      </c>
      <c r="M112" s="75">
        <f>VLOOKUP($A112,'Data Vlaue (Cr)'!$C:$FB,68)</f>
        <v>1047</v>
      </c>
      <c r="N112" s="75">
        <f t="shared" si="10"/>
        <v>1135</v>
      </c>
      <c r="O112" s="75">
        <f t="shared" si="11"/>
        <v>52.016498625114572</v>
      </c>
      <c r="P112" s="75">
        <f>VLOOKUP($A112,'Data Vlaue (Cr)'!$C:$FB,119)</f>
        <v>0.74</v>
      </c>
      <c r="Q112" s="75">
        <f>VLOOKUP($A112,'Data Vlaue (Cr)'!$C:$FB,122)*100</f>
        <v>1.37</v>
      </c>
      <c r="R112" s="75">
        <f>VLOOKUP($A112,'Data Vlaue (Cr)'!$C:$FB,125)</f>
        <v>0.75</v>
      </c>
      <c r="S112" s="75">
        <f>VLOOKUP($A112,'Data Vlaue (Cr)'!$C:$FB,128)*100</f>
        <v>20.97</v>
      </c>
    </row>
    <row r="113" spans="1:19" x14ac:dyDescent="0.25">
      <c r="A113" s="96" t="str">
        <f>'Data Vlaue (Cr)'!C104</f>
        <v>IREDA</v>
      </c>
      <c r="B113" s="75">
        <f>VLOOKUP($A113,'Data Vlaue (Cr)'!$C:$FB,2)</f>
        <v>3450</v>
      </c>
      <c r="C113" s="75">
        <f>VLOOKUP($A113,'Data Vlaue (Cr)'!$C:$FB,8)</f>
        <v>137.52000000000001</v>
      </c>
      <c r="D113" s="75">
        <f>VLOOKUP($A113,'Data Vlaue (Cr)'!$C:$FB,4)</f>
        <v>137.56</v>
      </c>
      <c r="E113" s="75">
        <f>VLOOKUP($A113,'Data Vlaue (Cr)'!$C:$FB,5)</f>
        <v>140.88999999999999</v>
      </c>
      <c r="F113" s="75">
        <f t="shared" si="6"/>
        <v>3.9999999999992042E-2</v>
      </c>
      <c r="G113" s="75">
        <f t="shared" si="7"/>
        <v>-2.4207618493748067</v>
      </c>
      <c r="H113" s="75">
        <f>VLOOKUP($A113,'Data Vlaue (Cr)'!$C:$FB,99)</f>
        <v>1667</v>
      </c>
      <c r="I113" s="75">
        <f>VLOOKUP($A113,'Data Vlaue (Cr)'!$C:$FB,100)</f>
        <v>1797</v>
      </c>
      <c r="J113" s="75">
        <f t="shared" si="8"/>
        <v>-130</v>
      </c>
      <c r="K113" s="75">
        <f t="shared" si="9"/>
        <v>-7.7984403119376129</v>
      </c>
      <c r="L113" s="75">
        <f>VLOOKUP($A113,'Data Vlaue (Cr)'!$C:$FB,67)</f>
        <v>1780</v>
      </c>
      <c r="M113" s="75">
        <f>VLOOKUP($A113,'Data Vlaue (Cr)'!$C:$FB,68)</f>
        <v>5138</v>
      </c>
      <c r="N113" s="75">
        <f t="shared" si="10"/>
        <v>-3358</v>
      </c>
      <c r="O113" s="75">
        <f t="shared" si="11"/>
        <v>-188.65168539325842</v>
      </c>
      <c r="P113" s="75">
        <f>VLOOKUP($A113,'Data Vlaue (Cr)'!$C:$FB,119)</f>
        <v>0.89</v>
      </c>
      <c r="Q113" s="75">
        <f>VLOOKUP($A113,'Data Vlaue (Cr)'!$C:$FB,122)*100</f>
        <v>-11.88</v>
      </c>
      <c r="R113" s="75">
        <f>VLOOKUP($A113,'Data Vlaue (Cr)'!$C:$FB,125)</f>
        <v>0.66</v>
      </c>
      <c r="S113" s="75">
        <f>VLOOKUP($A113,'Data Vlaue (Cr)'!$C:$FB,128)*100</f>
        <v>83.33</v>
      </c>
    </row>
    <row r="114" spans="1:19" x14ac:dyDescent="0.25">
      <c r="A114" s="96" t="str">
        <f>'Data Vlaue (Cr)'!C105</f>
        <v>IRFC</v>
      </c>
      <c r="B114" s="75">
        <f>VLOOKUP($A114,'Data Vlaue (Cr)'!$C:$FB,2)</f>
        <v>4250</v>
      </c>
      <c r="C114" s="75">
        <f>VLOOKUP($A114,'Data Vlaue (Cr)'!$C:$FB,8)</f>
        <v>105.06</v>
      </c>
      <c r="D114" s="75">
        <f>VLOOKUP($A114,'Data Vlaue (Cr)'!$C:$FB,4)</f>
        <v>104.51</v>
      </c>
      <c r="E114" s="75">
        <f>VLOOKUP($A114,'Data Vlaue (Cr)'!$C:$FB,5)</f>
        <v>106.19</v>
      </c>
      <c r="F114" s="75">
        <f t="shared" si="6"/>
        <v>-0.54999999999999716</v>
      </c>
      <c r="G114" s="75">
        <f t="shared" si="7"/>
        <v>-1.6075016744809039</v>
      </c>
      <c r="H114" s="75">
        <f>VLOOKUP($A114,'Data Vlaue (Cr)'!$C:$FB,99)</f>
        <v>1596</v>
      </c>
      <c r="I114" s="75">
        <f>VLOOKUP($A114,'Data Vlaue (Cr)'!$C:$FB,100)</f>
        <v>1435</v>
      </c>
      <c r="J114" s="75">
        <f t="shared" si="8"/>
        <v>161</v>
      </c>
      <c r="K114" s="75">
        <f t="shared" si="9"/>
        <v>10.087719298245613</v>
      </c>
      <c r="L114" s="75">
        <f>VLOOKUP($A114,'Data Vlaue (Cr)'!$C:$FB,67)</f>
        <v>2418</v>
      </c>
      <c r="M114" s="75">
        <f>VLOOKUP($A114,'Data Vlaue (Cr)'!$C:$FB,68)</f>
        <v>1479</v>
      </c>
      <c r="N114" s="75">
        <f t="shared" si="10"/>
        <v>939</v>
      </c>
      <c r="O114" s="75">
        <f t="shared" si="11"/>
        <v>38.83374689826303</v>
      </c>
      <c r="P114" s="75">
        <f>VLOOKUP($A114,'Data Vlaue (Cr)'!$C:$FB,119)</f>
        <v>0.59</v>
      </c>
      <c r="Q114" s="75">
        <f>VLOOKUP($A114,'Data Vlaue (Cr)'!$C:$FB,122)*100</f>
        <v>-16.900000000000002</v>
      </c>
      <c r="R114" s="75">
        <f>VLOOKUP($A114,'Data Vlaue (Cr)'!$C:$FB,125)</f>
        <v>0.26</v>
      </c>
      <c r="S114" s="75">
        <f>VLOOKUP($A114,'Data Vlaue (Cr)'!$C:$FB,128)*100</f>
        <v>0</v>
      </c>
    </row>
    <row r="115" spans="1:19" x14ac:dyDescent="0.25">
      <c r="A115" s="96" t="str">
        <f>'Data Vlaue (Cr)'!C106</f>
        <v>ITC</v>
      </c>
      <c r="B115" s="75">
        <f>VLOOKUP($A115,'Data Vlaue (Cr)'!$C:$FB,2)</f>
        <v>1600</v>
      </c>
      <c r="C115" s="75">
        <f>VLOOKUP($A115,'Data Vlaue (Cr)'!$C:$FB,8)</f>
        <v>305.3</v>
      </c>
      <c r="D115" s="75">
        <f>VLOOKUP($A115,'Data Vlaue (Cr)'!$C:$FB,4)</f>
        <v>305.05</v>
      </c>
      <c r="E115" s="75">
        <f>VLOOKUP($A115,'Data Vlaue (Cr)'!$C:$FB,5)</f>
        <v>305.8</v>
      </c>
      <c r="F115" s="75">
        <f t="shared" si="6"/>
        <v>-0.25</v>
      </c>
      <c r="G115" s="75">
        <f t="shared" si="7"/>
        <v>-0.24586133420750697</v>
      </c>
      <c r="H115" s="75">
        <f>VLOOKUP($A115,'Data Vlaue (Cr)'!$C:$FB,99)</f>
        <v>11158</v>
      </c>
      <c r="I115" s="75">
        <f>VLOOKUP($A115,'Data Vlaue (Cr)'!$C:$FB,100)</f>
        <v>11116</v>
      </c>
      <c r="J115" s="75">
        <f t="shared" si="8"/>
        <v>42</v>
      </c>
      <c r="K115" s="75">
        <f t="shared" si="9"/>
        <v>0.37641154328732745</v>
      </c>
      <c r="L115" s="75">
        <f>VLOOKUP($A115,'Data Vlaue (Cr)'!$C:$FB,67)</f>
        <v>5804</v>
      </c>
      <c r="M115" s="75">
        <f>VLOOKUP($A115,'Data Vlaue (Cr)'!$C:$FB,68)</f>
        <v>7014</v>
      </c>
      <c r="N115" s="75">
        <f t="shared" si="10"/>
        <v>-1210</v>
      </c>
      <c r="O115" s="75">
        <f t="shared" si="11"/>
        <v>-20.847691247415575</v>
      </c>
      <c r="P115" s="75">
        <f>VLOOKUP($A115,'Data Vlaue (Cr)'!$C:$FB,119)</f>
        <v>0.5</v>
      </c>
      <c r="Q115" s="75">
        <f>VLOOKUP($A115,'Data Vlaue (Cr)'!$C:$FB,122)*100</f>
        <v>0</v>
      </c>
      <c r="R115" s="75">
        <f>VLOOKUP($A115,'Data Vlaue (Cr)'!$C:$FB,125)</f>
        <v>0.4</v>
      </c>
      <c r="S115" s="75">
        <f>VLOOKUP($A115,'Data Vlaue (Cr)'!$C:$FB,128)*100</f>
        <v>11.110000000000001</v>
      </c>
    </row>
    <row r="116" spans="1:19" x14ac:dyDescent="0.25">
      <c r="A116" s="96" t="str">
        <f>'Data Vlaue (Cr)'!C107</f>
        <v>JINDALSTEL</v>
      </c>
      <c r="B116" s="75">
        <f>VLOOKUP($A116,'Data Vlaue (Cr)'!$C:$FB,2)</f>
        <v>625</v>
      </c>
      <c r="C116" s="75">
        <f>VLOOKUP($A116,'Data Vlaue (Cr)'!$C:$FB,8)</f>
        <v>1254.5</v>
      </c>
      <c r="D116" s="75">
        <f>VLOOKUP($A116,'Data Vlaue (Cr)'!$C:$FB,4)</f>
        <v>1257.5999999999999</v>
      </c>
      <c r="E116" s="75">
        <f>VLOOKUP($A116,'Data Vlaue (Cr)'!$C:$FB,5)</f>
        <v>1282.4000000000001</v>
      </c>
      <c r="F116" s="75">
        <f t="shared" si="6"/>
        <v>3.0999999999999091</v>
      </c>
      <c r="G116" s="75">
        <f t="shared" si="7"/>
        <v>-1.9720101781170629</v>
      </c>
      <c r="H116" s="75">
        <f>VLOOKUP($A116,'Data Vlaue (Cr)'!$C:$FB,99)</f>
        <v>2776</v>
      </c>
      <c r="I116" s="75">
        <f>VLOOKUP($A116,'Data Vlaue (Cr)'!$C:$FB,100)</f>
        <v>2827</v>
      </c>
      <c r="J116" s="75">
        <f t="shared" si="8"/>
        <v>-51</v>
      </c>
      <c r="K116" s="75">
        <f t="shared" si="9"/>
        <v>-1.8371757925072045</v>
      </c>
      <c r="L116" s="75">
        <f>VLOOKUP($A116,'Data Vlaue (Cr)'!$C:$FB,67)</f>
        <v>2066</v>
      </c>
      <c r="M116" s="75">
        <f>VLOOKUP($A116,'Data Vlaue (Cr)'!$C:$FB,68)</f>
        <v>1301</v>
      </c>
      <c r="N116" s="75">
        <f t="shared" si="10"/>
        <v>765</v>
      </c>
      <c r="O116" s="75">
        <f t="shared" si="11"/>
        <v>37.028073572120043</v>
      </c>
      <c r="P116" s="75">
        <f>VLOOKUP($A116,'Data Vlaue (Cr)'!$C:$FB,119)</f>
        <v>1.05</v>
      </c>
      <c r="Q116" s="75">
        <f>VLOOKUP($A116,'Data Vlaue (Cr)'!$C:$FB,122)*100</f>
        <v>-6.25</v>
      </c>
      <c r="R116" s="75">
        <f>VLOOKUP($A116,'Data Vlaue (Cr)'!$C:$FB,125)</f>
        <v>0.9</v>
      </c>
      <c r="S116" s="75">
        <f>VLOOKUP($A116,'Data Vlaue (Cr)'!$C:$FB,128)*100</f>
        <v>-20.349999999999998</v>
      </c>
    </row>
    <row r="117" spans="1:19" x14ac:dyDescent="0.25">
      <c r="A117" s="96" t="str">
        <f>'Data Vlaue (Cr)'!C108</f>
        <v>JIOFIN</v>
      </c>
      <c r="B117" s="75">
        <f>VLOOKUP($A117,'Data Vlaue (Cr)'!$C:$FB,2)</f>
        <v>2350</v>
      </c>
      <c r="C117" s="75">
        <f>VLOOKUP($A117,'Data Vlaue (Cr)'!$C:$FB,8)</f>
        <v>248.66</v>
      </c>
      <c r="D117" s="75">
        <f>VLOOKUP($A117,'Data Vlaue (Cr)'!$C:$FB,4)</f>
        <v>248.92</v>
      </c>
      <c r="E117" s="75">
        <f>VLOOKUP($A117,'Data Vlaue (Cr)'!$C:$FB,5)</f>
        <v>238.96</v>
      </c>
      <c r="F117" s="75">
        <f t="shared" si="6"/>
        <v>0.25999999999999091</v>
      </c>
      <c r="G117" s="75">
        <f t="shared" si="7"/>
        <v>4.0012855535915079</v>
      </c>
      <c r="H117" s="75">
        <f>VLOOKUP($A117,'Data Vlaue (Cr)'!$C:$FB,99)</f>
        <v>7889</v>
      </c>
      <c r="I117" s="75">
        <f>VLOOKUP($A117,'Data Vlaue (Cr)'!$C:$FB,100)</f>
        <v>7840</v>
      </c>
      <c r="J117" s="75">
        <f t="shared" si="8"/>
        <v>49</v>
      </c>
      <c r="K117" s="75">
        <f t="shared" si="9"/>
        <v>0.6211180124223602</v>
      </c>
      <c r="L117" s="75">
        <f>VLOOKUP($A117,'Data Vlaue (Cr)'!$C:$FB,67)</f>
        <v>14543</v>
      </c>
      <c r="M117" s="75">
        <f>VLOOKUP($A117,'Data Vlaue (Cr)'!$C:$FB,68)</f>
        <v>7009</v>
      </c>
      <c r="N117" s="75">
        <f t="shared" si="10"/>
        <v>7534</v>
      </c>
      <c r="O117" s="75">
        <f t="shared" si="11"/>
        <v>51.804992092415588</v>
      </c>
      <c r="P117" s="75">
        <f>VLOOKUP($A117,'Data Vlaue (Cr)'!$C:$FB,119)</f>
        <v>0.71</v>
      </c>
      <c r="Q117" s="75">
        <f>VLOOKUP($A117,'Data Vlaue (Cr)'!$C:$FB,122)*100</f>
        <v>5.9700000000000006</v>
      </c>
      <c r="R117" s="75">
        <f>VLOOKUP($A117,'Data Vlaue (Cr)'!$C:$FB,125)</f>
        <v>0.43</v>
      </c>
      <c r="S117" s="75">
        <f>VLOOKUP($A117,'Data Vlaue (Cr)'!$C:$FB,128)*100</f>
        <v>-15.690000000000001</v>
      </c>
    </row>
    <row r="118" spans="1:19" x14ac:dyDescent="0.25">
      <c r="A118" s="96" t="str">
        <f>'Data Vlaue (Cr)'!C109</f>
        <v>JSWENERGY</v>
      </c>
      <c r="B118" s="75">
        <f>VLOOKUP($A118,'Data Vlaue (Cr)'!$C:$FB,2)</f>
        <v>1000</v>
      </c>
      <c r="C118" s="75">
        <f>VLOOKUP($A118,'Data Vlaue (Cr)'!$C:$FB,8)</f>
        <v>561.4</v>
      </c>
      <c r="D118" s="75">
        <f>VLOOKUP($A118,'Data Vlaue (Cr)'!$C:$FB,4)</f>
        <v>560.4</v>
      </c>
      <c r="E118" s="75">
        <f>VLOOKUP($A118,'Data Vlaue (Cr)'!$C:$FB,5)</f>
        <v>560.35</v>
      </c>
      <c r="F118" s="75">
        <f t="shared" si="6"/>
        <v>-1</v>
      </c>
      <c r="G118" s="75">
        <f t="shared" si="7"/>
        <v>8.9221984296849622E-3</v>
      </c>
      <c r="H118" s="75">
        <f>VLOOKUP($A118,'Data Vlaue (Cr)'!$C:$FB,99)</f>
        <v>2254</v>
      </c>
      <c r="I118" s="75">
        <f>VLOOKUP($A118,'Data Vlaue (Cr)'!$C:$FB,100)</f>
        <v>2297</v>
      </c>
      <c r="J118" s="75">
        <f t="shared" si="8"/>
        <v>-43</v>
      </c>
      <c r="K118" s="75">
        <f t="shared" si="9"/>
        <v>-1.9077196095829636</v>
      </c>
      <c r="L118" s="75">
        <f>VLOOKUP($A118,'Data Vlaue (Cr)'!$C:$FB,67)</f>
        <v>2123</v>
      </c>
      <c r="M118" s="75">
        <f>VLOOKUP($A118,'Data Vlaue (Cr)'!$C:$FB,68)</f>
        <v>2427</v>
      </c>
      <c r="N118" s="75">
        <f t="shared" si="10"/>
        <v>-304</v>
      </c>
      <c r="O118" s="75">
        <f t="shared" si="11"/>
        <v>-14.319359397079603</v>
      </c>
      <c r="P118" s="75">
        <f>VLOOKUP($A118,'Data Vlaue (Cr)'!$C:$FB,119)</f>
        <v>0.75</v>
      </c>
      <c r="Q118" s="75">
        <f>VLOOKUP($A118,'Data Vlaue (Cr)'!$C:$FB,122)*100</f>
        <v>7.1400000000000006</v>
      </c>
      <c r="R118" s="75">
        <f>VLOOKUP($A118,'Data Vlaue (Cr)'!$C:$FB,125)</f>
        <v>0.33</v>
      </c>
      <c r="S118" s="75">
        <f>VLOOKUP($A118,'Data Vlaue (Cr)'!$C:$FB,128)*100</f>
        <v>6.45</v>
      </c>
    </row>
    <row r="119" spans="1:19" x14ac:dyDescent="0.25">
      <c r="A119" s="96" t="str">
        <f>'Data Vlaue (Cr)'!C110</f>
        <v>JSWSTEEL</v>
      </c>
      <c r="B119" s="75">
        <f>VLOOKUP($A119,'Data Vlaue (Cr)'!$C:$FB,2)</f>
        <v>675</v>
      </c>
      <c r="C119" s="75">
        <f>VLOOKUP($A119,'Data Vlaue (Cr)'!$C:$FB,8)</f>
        <v>1257</v>
      </c>
      <c r="D119" s="75">
        <f>VLOOKUP($A119,'Data Vlaue (Cr)'!$C:$FB,4)</f>
        <v>1254.9000000000001</v>
      </c>
      <c r="E119" s="75">
        <f>VLOOKUP($A119,'Data Vlaue (Cr)'!$C:$FB,5)</f>
        <v>1265.4000000000001</v>
      </c>
      <c r="F119" s="75">
        <f t="shared" si="6"/>
        <v>-2.0999999999999091</v>
      </c>
      <c r="G119" s="75">
        <f t="shared" si="7"/>
        <v>-0.83672005737508959</v>
      </c>
      <c r="H119" s="75">
        <f>VLOOKUP($A119,'Data Vlaue (Cr)'!$C:$FB,99)</f>
        <v>7860</v>
      </c>
      <c r="I119" s="75">
        <f>VLOOKUP($A119,'Data Vlaue (Cr)'!$C:$FB,100)</f>
        <v>7886</v>
      </c>
      <c r="J119" s="75">
        <f t="shared" si="8"/>
        <v>-26</v>
      </c>
      <c r="K119" s="75">
        <f t="shared" si="9"/>
        <v>-0.33078880407124683</v>
      </c>
      <c r="L119" s="75">
        <f>VLOOKUP($A119,'Data Vlaue (Cr)'!$C:$FB,67)</f>
        <v>4795</v>
      </c>
      <c r="M119" s="75">
        <f>VLOOKUP($A119,'Data Vlaue (Cr)'!$C:$FB,68)</f>
        <v>3173</v>
      </c>
      <c r="N119" s="75">
        <f t="shared" si="10"/>
        <v>1622</v>
      </c>
      <c r="O119" s="75">
        <f t="shared" si="11"/>
        <v>33.82690302398332</v>
      </c>
      <c r="P119" s="75">
        <f>VLOOKUP($A119,'Data Vlaue (Cr)'!$C:$FB,119)</f>
        <v>0.89</v>
      </c>
      <c r="Q119" s="75">
        <f>VLOOKUP($A119,'Data Vlaue (Cr)'!$C:$FB,122)*100</f>
        <v>-1.1100000000000001</v>
      </c>
      <c r="R119" s="75">
        <f>VLOOKUP($A119,'Data Vlaue (Cr)'!$C:$FB,125)</f>
        <v>0.48</v>
      </c>
      <c r="S119" s="75">
        <f>VLOOKUP($A119,'Data Vlaue (Cr)'!$C:$FB,128)*100</f>
        <v>-28.360000000000003</v>
      </c>
    </row>
    <row r="120" spans="1:19" x14ac:dyDescent="0.25">
      <c r="A120" s="96" t="str">
        <f>'Data Vlaue (Cr)'!C111</f>
        <v>JUBLFOOD</v>
      </c>
      <c r="B120" s="75">
        <f>VLOOKUP($A120,'Data Vlaue (Cr)'!$C:$FB,2)</f>
        <v>1250</v>
      </c>
      <c r="C120" s="75">
        <f>VLOOKUP($A120,'Data Vlaue (Cr)'!$C:$FB,8)</f>
        <v>492.85</v>
      </c>
      <c r="D120" s="75">
        <f>VLOOKUP($A120,'Data Vlaue (Cr)'!$C:$FB,4)</f>
        <v>491</v>
      </c>
      <c r="E120" s="75">
        <f>VLOOKUP($A120,'Data Vlaue (Cr)'!$C:$FB,5)</f>
        <v>489.6</v>
      </c>
      <c r="F120" s="75">
        <f t="shared" si="6"/>
        <v>-1.8500000000000227</v>
      </c>
      <c r="G120" s="75">
        <f t="shared" si="7"/>
        <v>0.28513238289205239</v>
      </c>
      <c r="H120" s="75">
        <f>VLOOKUP($A120,'Data Vlaue (Cr)'!$C:$FB,99)</f>
        <v>3678</v>
      </c>
      <c r="I120" s="75">
        <f>VLOOKUP($A120,'Data Vlaue (Cr)'!$C:$FB,100)</f>
        <v>3948</v>
      </c>
      <c r="J120" s="75">
        <f t="shared" si="8"/>
        <v>-270</v>
      </c>
      <c r="K120" s="75">
        <f t="shared" si="9"/>
        <v>-7.3409461663947795</v>
      </c>
      <c r="L120" s="75">
        <f>VLOOKUP($A120,'Data Vlaue (Cr)'!$C:$FB,67)</f>
        <v>3300</v>
      </c>
      <c r="M120" s="75">
        <f>VLOOKUP($A120,'Data Vlaue (Cr)'!$C:$FB,68)</f>
        <v>3782</v>
      </c>
      <c r="N120" s="75">
        <f t="shared" si="10"/>
        <v>-482</v>
      </c>
      <c r="O120" s="75">
        <f t="shared" si="11"/>
        <v>-14.606060606060606</v>
      </c>
      <c r="P120" s="75">
        <f>VLOOKUP($A120,'Data Vlaue (Cr)'!$C:$FB,119)</f>
        <v>0.86</v>
      </c>
      <c r="Q120" s="75">
        <f>VLOOKUP($A120,'Data Vlaue (Cr)'!$C:$FB,122)*100</f>
        <v>-1.1499999999999999</v>
      </c>
      <c r="R120" s="75">
        <f>VLOOKUP($A120,'Data Vlaue (Cr)'!$C:$FB,125)</f>
        <v>0.46</v>
      </c>
      <c r="S120" s="75">
        <f>VLOOKUP($A120,'Data Vlaue (Cr)'!$C:$FB,128)*100</f>
        <v>2.2200000000000002</v>
      </c>
    </row>
    <row r="121" spans="1:19" x14ac:dyDescent="0.25">
      <c r="A121" s="96" t="str">
        <f>'Data Vlaue (Cr)'!C112</f>
        <v>KALYANKJIL</v>
      </c>
      <c r="B121" s="75">
        <f>VLOOKUP($A121,'Data Vlaue (Cr)'!$C:$FB,2)</f>
        <v>1175</v>
      </c>
      <c r="C121" s="75">
        <f>VLOOKUP($A121,'Data Vlaue (Cr)'!$C:$FB,8)</f>
        <v>412.85</v>
      </c>
      <c r="D121" s="75">
        <f>VLOOKUP($A121,'Data Vlaue (Cr)'!$C:$FB,4)</f>
        <v>413.3</v>
      </c>
      <c r="E121" s="75">
        <f>VLOOKUP($A121,'Data Vlaue (Cr)'!$C:$FB,5)</f>
        <v>415.35</v>
      </c>
      <c r="F121" s="75">
        <f t="shared" si="6"/>
        <v>0.44999999999998863</v>
      </c>
      <c r="G121" s="75">
        <f t="shared" si="7"/>
        <v>-0.49600774255988661</v>
      </c>
      <c r="H121" s="75">
        <f>VLOOKUP($A121,'Data Vlaue (Cr)'!$C:$FB,99)</f>
        <v>1999</v>
      </c>
      <c r="I121" s="75">
        <f>VLOOKUP($A121,'Data Vlaue (Cr)'!$C:$FB,100)</f>
        <v>2084</v>
      </c>
      <c r="J121" s="75">
        <f t="shared" si="8"/>
        <v>-85</v>
      </c>
      <c r="K121" s="75">
        <f t="shared" si="9"/>
        <v>-4.2521260630315156</v>
      </c>
      <c r="L121" s="75">
        <f>VLOOKUP($A121,'Data Vlaue (Cr)'!$C:$FB,67)</f>
        <v>1564</v>
      </c>
      <c r="M121" s="75">
        <f>VLOOKUP($A121,'Data Vlaue (Cr)'!$C:$FB,68)</f>
        <v>789</v>
      </c>
      <c r="N121" s="75">
        <f t="shared" si="10"/>
        <v>775</v>
      </c>
      <c r="O121" s="75">
        <f t="shared" si="11"/>
        <v>49.552429667519185</v>
      </c>
      <c r="P121" s="75">
        <f>VLOOKUP($A121,'Data Vlaue (Cr)'!$C:$FB,119)</f>
        <v>0.46</v>
      </c>
      <c r="Q121" s="75">
        <f>VLOOKUP($A121,'Data Vlaue (Cr)'!$C:$FB,122)*100</f>
        <v>9.5200000000000014</v>
      </c>
      <c r="R121" s="75">
        <f>VLOOKUP($A121,'Data Vlaue (Cr)'!$C:$FB,125)</f>
        <v>0.36</v>
      </c>
      <c r="S121" s="75">
        <f>VLOOKUP($A121,'Data Vlaue (Cr)'!$C:$FB,128)*100</f>
        <v>-16.28</v>
      </c>
    </row>
    <row r="122" spans="1:19" x14ac:dyDescent="0.25">
      <c r="A122" s="96" t="str">
        <f>'Data Vlaue (Cr)'!C113</f>
        <v>KAYNES</v>
      </c>
      <c r="B122" s="75">
        <f>VLOOKUP($A122,'Data Vlaue (Cr)'!$C:$FB,2)</f>
        <v>100</v>
      </c>
      <c r="C122" s="75">
        <f>VLOOKUP($A122,'Data Vlaue (Cr)'!$C:$FB,8)</f>
        <v>4387.7</v>
      </c>
      <c r="D122" s="75">
        <f>VLOOKUP($A122,'Data Vlaue (Cr)'!$C:$FB,4)</f>
        <v>4381.3</v>
      </c>
      <c r="E122" s="75">
        <f>VLOOKUP($A122,'Data Vlaue (Cr)'!$C:$FB,5)</f>
        <v>4454.3999999999996</v>
      </c>
      <c r="F122" s="75">
        <f t="shared" si="6"/>
        <v>-6.3999999999996362</v>
      </c>
      <c r="G122" s="75">
        <f t="shared" si="7"/>
        <v>-1.6684545682788088</v>
      </c>
      <c r="H122" s="75">
        <f>VLOOKUP($A122,'Data Vlaue (Cr)'!$C:$FB,99)</f>
        <v>2773</v>
      </c>
      <c r="I122" s="75">
        <f>VLOOKUP($A122,'Data Vlaue (Cr)'!$C:$FB,100)</f>
        <v>2984</v>
      </c>
      <c r="J122" s="75">
        <f t="shared" si="8"/>
        <v>-211</v>
      </c>
      <c r="K122" s="75">
        <f t="shared" si="9"/>
        <v>-7.6090876307248463</v>
      </c>
      <c r="L122" s="75">
        <f>VLOOKUP($A122,'Data Vlaue (Cr)'!$C:$FB,67)</f>
        <v>3413</v>
      </c>
      <c r="M122" s="75">
        <f>VLOOKUP($A122,'Data Vlaue (Cr)'!$C:$FB,68)</f>
        <v>6211</v>
      </c>
      <c r="N122" s="75">
        <f t="shared" si="10"/>
        <v>-2798</v>
      </c>
      <c r="O122" s="75">
        <f t="shared" si="11"/>
        <v>-81.980662174040432</v>
      </c>
      <c r="P122" s="75">
        <f>VLOOKUP($A122,'Data Vlaue (Cr)'!$C:$FB,119)</f>
        <v>0.84</v>
      </c>
      <c r="Q122" s="75">
        <f>VLOOKUP($A122,'Data Vlaue (Cr)'!$C:$FB,122)*100</f>
        <v>-12.5</v>
      </c>
      <c r="R122" s="75">
        <f>VLOOKUP($A122,'Data Vlaue (Cr)'!$C:$FB,125)</f>
        <v>0.71</v>
      </c>
      <c r="S122" s="75">
        <f>VLOOKUP($A122,'Data Vlaue (Cr)'!$C:$FB,128)*100</f>
        <v>22.41</v>
      </c>
    </row>
    <row r="123" spans="1:19" x14ac:dyDescent="0.25">
      <c r="A123" s="96" t="str">
        <f>'Data Vlaue (Cr)'!C114</f>
        <v>KEI</v>
      </c>
      <c r="B123" s="75">
        <f>VLOOKUP($A123,'Data Vlaue (Cr)'!$C:$FB,2)</f>
        <v>175</v>
      </c>
      <c r="C123" s="75">
        <f>VLOOKUP($A123,'Data Vlaue (Cr)'!$C:$FB,8)</f>
        <v>4839.5</v>
      </c>
      <c r="D123" s="75">
        <f>VLOOKUP($A123,'Data Vlaue (Cr)'!$C:$FB,4)</f>
        <v>4855</v>
      </c>
      <c r="E123" s="75">
        <f>VLOOKUP($A123,'Data Vlaue (Cr)'!$C:$FB,5)</f>
        <v>4905.8</v>
      </c>
      <c r="F123" s="75">
        <f t="shared" si="6"/>
        <v>15.5</v>
      </c>
      <c r="G123" s="75">
        <f t="shared" si="7"/>
        <v>-1.0463439752832169</v>
      </c>
      <c r="H123" s="75">
        <f>VLOOKUP($A123,'Data Vlaue (Cr)'!$C:$FB,99)</f>
        <v>1777</v>
      </c>
      <c r="I123" s="75">
        <f>VLOOKUP($A123,'Data Vlaue (Cr)'!$C:$FB,100)</f>
        <v>1929</v>
      </c>
      <c r="J123" s="75">
        <f t="shared" si="8"/>
        <v>-152</v>
      </c>
      <c r="K123" s="75">
        <f t="shared" si="9"/>
        <v>-8.5537422622397301</v>
      </c>
      <c r="L123" s="75">
        <f>VLOOKUP($A123,'Data Vlaue (Cr)'!$C:$FB,67)</f>
        <v>1996</v>
      </c>
      <c r="M123" s="75">
        <f>VLOOKUP($A123,'Data Vlaue (Cr)'!$C:$FB,68)</f>
        <v>2143</v>
      </c>
      <c r="N123" s="75">
        <f t="shared" si="10"/>
        <v>-147</v>
      </c>
      <c r="O123" s="75">
        <f t="shared" si="11"/>
        <v>-7.3647294589178358</v>
      </c>
      <c r="P123" s="75">
        <f>VLOOKUP($A123,'Data Vlaue (Cr)'!$C:$FB,119)</f>
        <v>0.71</v>
      </c>
      <c r="Q123" s="75">
        <f>VLOOKUP($A123,'Data Vlaue (Cr)'!$C:$FB,122)*100</f>
        <v>-5.33</v>
      </c>
      <c r="R123" s="75">
        <f>VLOOKUP($A123,'Data Vlaue (Cr)'!$C:$FB,125)</f>
        <v>1</v>
      </c>
      <c r="S123" s="75">
        <f>VLOOKUP($A123,'Data Vlaue (Cr)'!$C:$FB,128)*100</f>
        <v>-41.18</v>
      </c>
    </row>
    <row r="124" spans="1:19" x14ac:dyDescent="0.25">
      <c r="A124" s="96" t="str">
        <f>'Data Vlaue (Cr)'!C115</f>
        <v>KFINTECH</v>
      </c>
      <c r="B124" s="75">
        <f>VLOOKUP($A124,'Data Vlaue (Cr)'!$C:$FB,2)</f>
        <v>500</v>
      </c>
      <c r="C124" s="75">
        <f>VLOOKUP($A124,'Data Vlaue (Cr)'!$C:$FB,8)</f>
        <v>981.9</v>
      </c>
      <c r="D124" s="75">
        <f>VLOOKUP($A124,'Data Vlaue (Cr)'!$C:$FB,4)</f>
        <v>985.4</v>
      </c>
      <c r="E124" s="75">
        <f>VLOOKUP($A124,'Data Vlaue (Cr)'!$C:$FB,5)</f>
        <v>989.05</v>
      </c>
      <c r="F124" s="75">
        <f t="shared" si="6"/>
        <v>3.5</v>
      </c>
      <c r="G124" s="75">
        <f t="shared" si="7"/>
        <v>-0.37040795615993277</v>
      </c>
      <c r="H124" s="75">
        <f>VLOOKUP($A124,'Data Vlaue (Cr)'!$C:$FB,99)</f>
        <v>757</v>
      </c>
      <c r="I124" s="75">
        <f>VLOOKUP($A124,'Data Vlaue (Cr)'!$C:$FB,100)</f>
        <v>826</v>
      </c>
      <c r="J124" s="75">
        <f t="shared" si="8"/>
        <v>-69</v>
      </c>
      <c r="K124" s="75">
        <f t="shared" si="9"/>
        <v>-9.1149273447820338</v>
      </c>
      <c r="L124" s="75">
        <f>VLOOKUP($A124,'Data Vlaue (Cr)'!$C:$FB,67)</f>
        <v>482</v>
      </c>
      <c r="M124" s="75">
        <f>VLOOKUP($A124,'Data Vlaue (Cr)'!$C:$FB,68)</f>
        <v>420</v>
      </c>
      <c r="N124" s="75">
        <f t="shared" si="10"/>
        <v>62</v>
      </c>
      <c r="O124" s="75">
        <f t="shared" si="11"/>
        <v>12.863070539419086</v>
      </c>
      <c r="P124" s="75">
        <f>VLOOKUP($A124,'Data Vlaue (Cr)'!$C:$FB,119)</f>
        <v>0.67</v>
      </c>
      <c r="Q124" s="75">
        <f>VLOOKUP($A124,'Data Vlaue (Cr)'!$C:$FB,122)*100</f>
        <v>9.84</v>
      </c>
      <c r="R124" s="75">
        <f>VLOOKUP($A124,'Data Vlaue (Cr)'!$C:$FB,125)</f>
        <v>0.37</v>
      </c>
      <c r="S124" s="75">
        <f>VLOOKUP($A124,'Data Vlaue (Cr)'!$C:$FB,128)*100</f>
        <v>76.19</v>
      </c>
    </row>
    <row r="125" spans="1:19" x14ac:dyDescent="0.25">
      <c r="A125" s="96" t="str">
        <f>'Data Vlaue (Cr)'!C116</f>
        <v>KOTAKBANK</v>
      </c>
      <c r="B125" s="75">
        <f>VLOOKUP($A125,'Data Vlaue (Cr)'!$C:$FB,2)</f>
        <v>2000</v>
      </c>
      <c r="C125" s="75">
        <f>VLOOKUP($A125,'Data Vlaue (Cr)'!$C:$FB,8)</f>
        <v>370.4</v>
      </c>
      <c r="D125" s="75">
        <f>VLOOKUP($A125,'Data Vlaue (Cr)'!$C:$FB,4)</f>
        <v>370.75</v>
      </c>
      <c r="E125" s="75">
        <f>VLOOKUP($A125,'Data Vlaue (Cr)'!$C:$FB,5)</f>
        <v>377.35</v>
      </c>
      <c r="F125" s="75">
        <f t="shared" si="6"/>
        <v>0.35000000000002274</v>
      </c>
      <c r="G125" s="75">
        <f t="shared" si="7"/>
        <v>-1.7801753202967021</v>
      </c>
      <c r="H125" s="75">
        <f>VLOOKUP($A125,'Data Vlaue (Cr)'!$C:$FB,99)</f>
        <v>11195</v>
      </c>
      <c r="I125" s="75">
        <f>VLOOKUP($A125,'Data Vlaue (Cr)'!$C:$FB,100)</f>
        <v>10737</v>
      </c>
      <c r="J125" s="75">
        <f t="shared" si="8"/>
        <v>458</v>
      </c>
      <c r="K125" s="75">
        <f t="shared" si="9"/>
        <v>4.0911121036176858</v>
      </c>
      <c r="L125" s="75">
        <f>VLOOKUP($A125,'Data Vlaue (Cr)'!$C:$FB,67)</f>
        <v>6115</v>
      </c>
      <c r="M125" s="75">
        <f>VLOOKUP($A125,'Data Vlaue (Cr)'!$C:$FB,68)</f>
        <v>3351</v>
      </c>
      <c r="N125" s="75">
        <f t="shared" si="10"/>
        <v>2764</v>
      </c>
      <c r="O125" s="75">
        <f t="shared" si="11"/>
        <v>45.200327064595257</v>
      </c>
      <c r="P125" s="75">
        <f>VLOOKUP($A125,'Data Vlaue (Cr)'!$C:$FB,119)</f>
        <v>0.8</v>
      </c>
      <c r="Q125" s="75">
        <f>VLOOKUP($A125,'Data Vlaue (Cr)'!$C:$FB,122)*100</f>
        <v>-1.23</v>
      </c>
      <c r="R125" s="75">
        <f>VLOOKUP($A125,'Data Vlaue (Cr)'!$C:$FB,125)</f>
        <v>0.56999999999999995</v>
      </c>
      <c r="S125" s="75">
        <f>VLOOKUP($A125,'Data Vlaue (Cr)'!$C:$FB,128)*100</f>
        <v>35.709999999999994</v>
      </c>
    </row>
    <row r="126" spans="1:19" x14ac:dyDescent="0.25">
      <c r="A126" s="96" t="str">
        <f>'Data Vlaue (Cr)'!C117</f>
        <v>KPITTECH</v>
      </c>
      <c r="B126" s="75">
        <f>VLOOKUP($A126,'Data Vlaue (Cr)'!$C:$FB,2)</f>
        <v>425</v>
      </c>
      <c r="C126" s="75">
        <f>VLOOKUP($A126,'Data Vlaue (Cr)'!$C:$FB,8)</f>
        <v>733.65</v>
      </c>
      <c r="D126" s="75">
        <f>VLOOKUP($A126,'Data Vlaue (Cr)'!$C:$FB,4)</f>
        <v>733.4</v>
      </c>
      <c r="E126" s="75">
        <f>VLOOKUP($A126,'Data Vlaue (Cr)'!$C:$FB,5)</f>
        <v>735.55</v>
      </c>
      <c r="F126" s="75">
        <f t="shared" si="6"/>
        <v>-0.25</v>
      </c>
      <c r="G126" s="75">
        <f t="shared" si="7"/>
        <v>-0.29315516771202305</v>
      </c>
      <c r="H126" s="75">
        <f>VLOOKUP($A126,'Data Vlaue (Cr)'!$C:$FB,99)</f>
        <v>928</v>
      </c>
      <c r="I126" s="75">
        <f>VLOOKUP($A126,'Data Vlaue (Cr)'!$C:$FB,100)</f>
        <v>939</v>
      </c>
      <c r="J126" s="75">
        <f t="shared" si="8"/>
        <v>-11</v>
      </c>
      <c r="K126" s="75">
        <f t="shared" si="9"/>
        <v>-1.1853448275862069</v>
      </c>
      <c r="L126" s="75">
        <f>VLOOKUP($A126,'Data Vlaue (Cr)'!$C:$FB,67)</f>
        <v>692</v>
      </c>
      <c r="M126" s="75">
        <f>VLOOKUP($A126,'Data Vlaue (Cr)'!$C:$FB,68)</f>
        <v>596</v>
      </c>
      <c r="N126" s="75">
        <f t="shared" si="10"/>
        <v>96</v>
      </c>
      <c r="O126" s="75">
        <f t="shared" si="11"/>
        <v>13.872832369942195</v>
      </c>
      <c r="P126" s="75">
        <f>VLOOKUP($A126,'Data Vlaue (Cr)'!$C:$FB,119)</f>
        <v>0.57999999999999996</v>
      </c>
      <c r="Q126" s="75">
        <f>VLOOKUP($A126,'Data Vlaue (Cr)'!$C:$FB,122)*100</f>
        <v>-3.3300000000000005</v>
      </c>
      <c r="R126" s="75">
        <f>VLOOKUP($A126,'Data Vlaue (Cr)'!$C:$FB,125)</f>
        <v>0.44</v>
      </c>
      <c r="S126" s="75">
        <f>VLOOKUP($A126,'Data Vlaue (Cr)'!$C:$FB,128)*100</f>
        <v>-48.84</v>
      </c>
    </row>
    <row r="127" spans="1:19" x14ac:dyDescent="0.25">
      <c r="A127" s="96" t="str">
        <f>'Data Vlaue (Cr)'!C118</f>
        <v>LAURUSLABS</v>
      </c>
      <c r="B127" s="75">
        <f>VLOOKUP($A127,'Data Vlaue (Cr)'!$C:$FB,2)</f>
        <v>850</v>
      </c>
      <c r="C127" s="75">
        <f>VLOOKUP($A127,'Data Vlaue (Cr)'!$C:$FB,8)</f>
        <v>1129</v>
      </c>
      <c r="D127" s="75">
        <f>VLOOKUP($A127,'Data Vlaue (Cr)'!$C:$FB,4)</f>
        <v>1129.3</v>
      </c>
      <c r="E127" s="75">
        <f>VLOOKUP($A127,'Data Vlaue (Cr)'!$C:$FB,5)</f>
        <v>1098.75</v>
      </c>
      <c r="F127" s="75">
        <f t="shared" si="6"/>
        <v>0.29999999999995453</v>
      </c>
      <c r="G127" s="75">
        <f t="shared" si="7"/>
        <v>2.7052156202957542</v>
      </c>
      <c r="H127" s="75">
        <f>VLOOKUP($A127,'Data Vlaue (Cr)'!$C:$FB,99)</f>
        <v>3268</v>
      </c>
      <c r="I127" s="75">
        <f>VLOOKUP($A127,'Data Vlaue (Cr)'!$C:$FB,100)</f>
        <v>3258</v>
      </c>
      <c r="J127" s="75">
        <f t="shared" si="8"/>
        <v>10</v>
      </c>
      <c r="K127" s="75">
        <f t="shared" si="9"/>
        <v>0.30599755201958384</v>
      </c>
      <c r="L127" s="75">
        <f>VLOOKUP($A127,'Data Vlaue (Cr)'!$C:$FB,67)</f>
        <v>3352</v>
      </c>
      <c r="M127" s="75">
        <f>VLOOKUP($A127,'Data Vlaue (Cr)'!$C:$FB,68)</f>
        <v>1726</v>
      </c>
      <c r="N127" s="75">
        <f t="shared" si="10"/>
        <v>1626</v>
      </c>
      <c r="O127" s="75">
        <f t="shared" si="11"/>
        <v>48.508353221957037</v>
      </c>
      <c r="P127" s="75">
        <f>VLOOKUP($A127,'Data Vlaue (Cr)'!$C:$FB,119)</f>
        <v>0.79</v>
      </c>
      <c r="Q127" s="75">
        <f>VLOOKUP($A127,'Data Vlaue (Cr)'!$C:$FB,122)*100</f>
        <v>-1.25</v>
      </c>
      <c r="R127" s="75">
        <f>VLOOKUP($A127,'Data Vlaue (Cr)'!$C:$FB,125)</f>
        <v>0.26</v>
      </c>
      <c r="S127" s="75">
        <f>VLOOKUP($A127,'Data Vlaue (Cr)'!$C:$FB,128)*100</f>
        <v>-48</v>
      </c>
    </row>
    <row r="128" spans="1:19" x14ac:dyDescent="0.25">
      <c r="A128" s="96" t="str">
        <f>'Data Vlaue (Cr)'!C119</f>
        <v>LICHSGFIN</v>
      </c>
      <c r="B128" s="75">
        <f>VLOOKUP($A128,'Data Vlaue (Cr)'!$C:$FB,2)</f>
        <v>1000</v>
      </c>
      <c r="C128" s="75">
        <f>VLOOKUP($A128,'Data Vlaue (Cr)'!$C:$FB,8)</f>
        <v>545.54999999999995</v>
      </c>
      <c r="D128" s="75">
        <f>VLOOKUP($A128,'Data Vlaue (Cr)'!$C:$FB,4)</f>
        <v>546.20000000000005</v>
      </c>
      <c r="E128" s="75">
        <f>VLOOKUP($A128,'Data Vlaue (Cr)'!$C:$FB,5)</f>
        <v>558.35</v>
      </c>
      <c r="F128" s="75">
        <f t="shared" si="6"/>
        <v>0.65000000000009095</v>
      </c>
      <c r="G128" s="75">
        <f t="shared" si="7"/>
        <v>-2.2244599047967735</v>
      </c>
      <c r="H128" s="75">
        <f>VLOOKUP($A128,'Data Vlaue (Cr)'!$C:$FB,99)</f>
        <v>2519</v>
      </c>
      <c r="I128" s="75">
        <f>VLOOKUP($A128,'Data Vlaue (Cr)'!$C:$FB,100)</f>
        <v>2551</v>
      </c>
      <c r="J128" s="75">
        <f t="shared" si="8"/>
        <v>-32</v>
      </c>
      <c r="K128" s="75">
        <f t="shared" si="9"/>
        <v>-1.2703453751488685</v>
      </c>
      <c r="L128" s="75">
        <f>VLOOKUP($A128,'Data Vlaue (Cr)'!$C:$FB,67)</f>
        <v>1277</v>
      </c>
      <c r="M128" s="75">
        <f>VLOOKUP($A128,'Data Vlaue (Cr)'!$C:$FB,68)</f>
        <v>1071</v>
      </c>
      <c r="N128" s="75">
        <f t="shared" si="10"/>
        <v>206</v>
      </c>
      <c r="O128" s="75">
        <f t="shared" si="11"/>
        <v>16.131558339859044</v>
      </c>
      <c r="P128" s="75">
        <f>VLOOKUP($A128,'Data Vlaue (Cr)'!$C:$FB,119)</f>
        <v>0.83</v>
      </c>
      <c r="Q128" s="75">
        <f>VLOOKUP($A128,'Data Vlaue (Cr)'!$C:$FB,122)*100</f>
        <v>-5.6800000000000006</v>
      </c>
      <c r="R128" s="75">
        <f>VLOOKUP($A128,'Data Vlaue (Cr)'!$C:$FB,125)</f>
        <v>0.56000000000000005</v>
      </c>
      <c r="S128" s="75">
        <f>VLOOKUP($A128,'Data Vlaue (Cr)'!$C:$FB,128)*100</f>
        <v>33.33</v>
      </c>
    </row>
    <row r="129" spans="1:19" x14ac:dyDescent="0.25">
      <c r="A129" s="96" t="str">
        <f>'Data Vlaue (Cr)'!C120</f>
        <v>LICI</v>
      </c>
      <c r="B129" s="75">
        <f>VLOOKUP($A129,'Data Vlaue (Cr)'!$C:$FB,2)</f>
        <v>700</v>
      </c>
      <c r="C129" s="75">
        <f>VLOOKUP($A129,'Data Vlaue (Cr)'!$C:$FB,8)</f>
        <v>811.65</v>
      </c>
      <c r="D129" s="75">
        <f>VLOOKUP($A129,'Data Vlaue (Cr)'!$C:$FB,4)</f>
        <v>810.8</v>
      </c>
      <c r="E129" s="75">
        <f>VLOOKUP($A129,'Data Vlaue (Cr)'!$C:$FB,5)</f>
        <v>822.85</v>
      </c>
      <c r="F129" s="75">
        <f t="shared" si="6"/>
        <v>-0.85000000000002274</v>
      </c>
      <c r="G129" s="75">
        <f t="shared" si="7"/>
        <v>-1.4861864824864417</v>
      </c>
      <c r="H129" s="75">
        <f>VLOOKUP($A129,'Data Vlaue (Cr)'!$C:$FB,99)</f>
        <v>1763</v>
      </c>
      <c r="I129" s="75">
        <f>VLOOKUP($A129,'Data Vlaue (Cr)'!$C:$FB,100)</f>
        <v>1913</v>
      </c>
      <c r="J129" s="75">
        <f t="shared" si="8"/>
        <v>-150</v>
      </c>
      <c r="K129" s="75">
        <f t="shared" si="9"/>
        <v>-8.5082246171298923</v>
      </c>
      <c r="L129" s="75">
        <f>VLOOKUP($A129,'Data Vlaue (Cr)'!$C:$FB,67)</f>
        <v>1143</v>
      </c>
      <c r="M129" s="75">
        <f>VLOOKUP($A129,'Data Vlaue (Cr)'!$C:$FB,68)</f>
        <v>497</v>
      </c>
      <c r="N129" s="75">
        <f t="shared" si="10"/>
        <v>646</v>
      </c>
      <c r="O129" s="75">
        <f t="shared" si="11"/>
        <v>56.517935258092734</v>
      </c>
      <c r="P129" s="75">
        <f>VLOOKUP($A129,'Data Vlaue (Cr)'!$C:$FB,119)</f>
        <v>0.7</v>
      </c>
      <c r="Q129" s="75">
        <f>VLOOKUP($A129,'Data Vlaue (Cr)'!$C:$FB,122)*100</f>
        <v>7.6899999999999995</v>
      </c>
      <c r="R129" s="75">
        <f>VLOOKUP($A129,'Data Vlaue (Cr)'!$C:$FB,125)</f>
        <v>0.54</v>
      </c>
      <c r="S129" s="75">
        <f>VLOOKUP($A129,'Data Vlaue (Cr)'!$C:$FB,128)*100</f>
        <v>74.19</v>
      </c>
    </row>
    <row r="130" spans="1:19" x14ac:dyDescent="0.25">
      <c r="A130" s="96" t="str">
        <f>'Data Vlaue (Cr)'!C121</f>
        <v>LODHA</v>
      </c>
      <c r="B130" s="75">
        <f>VLOOKUP($A130,'Data Vlaue (Cr)'!$C:$FB,2)</f>
        <v>450</v>
      </c>
      <c r="C130" s="75">
        <f>VLOOKUP($A130,'Data Vlaue (Cr)'!$C:$FB,8)</f>
        <v>856.5</v>
      </c>
      <c r="D130" s="75">
        <f>VLOOKUP($A130,'Data Vlaue (Cr)'!$C:$FB,4)</f>
        <v>857.7</v>
      </c>
      <c r="E130" s="75">
        <f>VLOOKUP($A130,'Data Vlaue (Cr)'!$C:$FB,5)</f>
        <v>883.6</v>
      </c>
      <c r="F130" s="75">
        <f t="shared" si="6"/>
        <v>1.2000000000000455</v>
      </c>
      <c r="G130" s="75">
        <f t="shared" si="7"/>
        <v>-3.019703859158211</v>
      </c>
      <c r="H130" s="75">
        <f>VLOOKUP($A130,'Data Vlaue (Cr)'!$C:$FB,99)</f>
        <v>2527</v>
      </c>
      <c r="I130" s="75">
        <f>VLOOKUP($A130,'Data Vlaue (Cr)'!$C:$FB,100)</f>
        <v>2501</v>
      </c>
      <c r="J130" s="75">
        <f t="shared" si="8"/>
        <v>26</v>
      </c>
      <c r="K130" s="75">
        <f t="shared" si="9"/>
        <v>1.0288880094974278</v>
      </c>
      <c r="L130" s="75">
        <f>VLOOKUP($A130,'Data Vlaue (Cr)'!$C:$FB,67)</f>
        <v>1605</v>
      </c>
      <c r="M130" s="75">
        <f>VLOOKUP($A130,'Data Vlaue (Cr)'!$C:$FB,68)</f>
        <v>1213</v>
      </c>
      <c r="N130" s="75">
        <f t="shared" si="10"/>
        <v>392</v>
      </c>
      <c r="O130" s="75">
        <f t="shared" si="11"/>
        <v>24.423676012461058</v>
      </c>
      <c r="P130" s="75">
        <f>VLOOKUP($A130,'Data Vlaue (Cr)'!$C:$FB,119)</f>
        <v>0.86</v>
      </c>
      <c r="Q130" s="75">
        <f>VLOOKUP($A130,'Data Vlaue (Cr)'!$C:$FB,122)*100</f>
        <v>2.3800000000000003</v>
      </c>
      <c r="R130" s="75">
        <f>VLOOKUP($A130,'Data Vlaue (Cr)'!$C:$FB,125)</f>
        <v>0.83</v>
      </c>
      <c r="S130" s="75">
        <f>VLOOKUP($A130,'Data Vlaue (Cr)'!$C:$FB,128)*100</f>
        <v>43.1</v>
      </c>
    </row>
    <row r="131" spans="1:19" x14ac:dyDescent="0.25">
      <c r="A131" s="96" t="str">
        <f>'Data Vlaue (Cr)'!C122</f>
        <v>LT</v>
      </c>
      <c r="B131" s="75">
        <f>VLOOKUP($A131,'Data Vlaue (Cr)'!$C:$FB,2)</f>
        <v>175</v>
      </c>
      <c r="C131" s="75">
        <f>VLOOKUP($A131,'Data Vlaue (Cr)'!$C:$FB,8)</f>
        <v>4054.1</v>
      </c>
      <c r="D131" s="75">
        <f>VLOOKUP($A131,'Data Vlaue (Cr)'!$C:$FB,4)</f>
        <v>4057.6</v>
      </c>
      <c r="E131" s="75">
        <f>VLOOKUP($A131,'Data Vlaue (Cr)'!$C:$FB,5)</f>
        <v>4025.4</v>
      </c>
      <c r="F131" s="75">
        <f t="shared" si="6"/>
        <v>3.5</v>
      </c>
      <c r="G131" s="75">
        <f t="shared" si="7"/>
        <v>0.79357255520504288</v>
      </c>
      <c r="H131" s="75">
        <f>VLOOKUP($A131,'Data Vlaue (Cr)'!$C:$FB,99)</f>
        <v>13627</v>
      </c>
      <c r="I131" s="75">
        <f>VLOOKUP($A131,'Data Vlaue (Cr)'!$C:$FB,100)</f>
        <v>13598</v>
      </c>
      <c r="J131" s="75">
        <f t="shared" si="8"/>
        <v>29</v>
      </c>
      <c r="K131" s="75">
        <f t="shared" si="9"/>
        <v>0.21281279812137671</v>
      </c>
      <c r="L131" s="75">
        <f>VLOOKUP($A131,'Data Vlaue (Cr)'!$C:$FB,67)</f>
        <v>7472</v>
      </c>
      <c r="M131" s="75">
        <f>VLOOKUP($A131,'Data Vlaue (Cr)'!$C:$FB,68)</f>
        <v>7145</v>
      </c>
      <c r="N131" s="75">
        <f t="shared" si="10"/>
        <v>327</v>
      </c>
      <c r="O131" s="75">
        <f t="shared" si="11"/>
        <v>4.3763383297644536</v>
      </c>
      <c r="P131" s="75">
        <f>VLOOKUP($A131,'Data Vlaue (Cr)'!$C:$FB,119)</f>
        <v>0.81</v>
      </c>
      <c r="Q131" s="75">
        <f>VLOOKUP($A131,'Data Vlaue (Cr)'!$C:$FB,122)*100</f>
        <v>5.19</v>
      </c>
      <c r="R131" s="75">
        <f>VLOOKUP($A131,'Data Vlaue (Cr)'!$C:$FB,125)</f>
        <v>0.63</v>
      </c>
      <c r="S131" s="75">
        <f>VLOOKUP($A131,'Data Vlaue (Cr)'!$C:$FB,128)*100</f>
        <v>16.669999999999998</v>
      </c>
    </row>
    <row r="132" spans="1:19" x14ac:dyDescent="0.25">
      <c r="A132" s="96" t="str">
        <f>'Data Vlaue (Cr)'!C123</f>
        <v>LTF</v>
      </c>
      <c r="B132" s="75">
        <f>VLOOKUP($A132,'Data Vlaue (Cr)'!$C:$FB,2)</f>
        <v>2250</v>
      </c>
      <c r="C132" s="75">
        <f>VLOOKUP($A132,'Data Vlaue (Cr)'!$C:$FB,8)</f>
        <v>292.12</v>
      </c>
      <c r="D132" s="75">
        <f>VLOOKUP($A132,'Data Vlaue (Cr)'!$C:$FB,4)</f>
        <v>292.14</v>
      </c>
      <c r="E132" s="75">
        <f>VLOOKUP($A132,'Data Vlaue (Cr)'!$C:$FB,5)</f>
        <v>294.16000000000003</v>
      </c>
      <c r="F132" s="75">
        <f t="shared" si="6"/>
        <v>1.999999999998181E-2</v>
      </c>
      <c r="G132" s="75">
        <f t="shared" si="7"/>
        <v>-0.69144930512769176</v>
      </c>
      <c r="H132" s="75">
        <f>VLOOKUP($A132,'Data Vlaue (Cr)'!$C:$FB,99)</f>
        <v>2531</v>
      </c>
      <c r="I132" s="75">
        <f>VLOOKUP($A132,'Data Vlaue (Cr)'!$C:$FB,100)</f>
        <v>2555</v>
      </c>
      <c r="J132" s="75">
        <f t="shared" si="8"/>
        <v>-24</v>
      </c>
      <c r="K132" s="75">
        <f t="shared" si="9"/>
        <v>-0.94824180165942318</v>
      </c>
      <c r="L132" s="75">
        <f>VLOOKUP($A132,'Data Vlaue (Cr)'!$C:$FB,67)</f>
        <v>1841</v>
      </c>
      <c r="M132" s="75">
        <f>VLOOKUP($A132,'Data Vlaue (Cr)'!$C:$FB,68)</f>
        <v>857</v>
      </c>
      <c r="N132" s="75">
        <f t="shared" si="10"/>
        <v>984</v>
      </c>
      <c r="O132" s="75">
        <f t="shared" si="11"/>
        <v>53.449212384573599</v>
      </c>
      <c r="P132" s="75">
        <f>VLOOKUP($A132,'Data Vlaue (Cr)'!$C:$FB,119)</f>
        <v>0.87</v>
      </c>
      <c r="Q132" s="75">
        <f>VLOOKUP($A132,'Data Vlaue (Cr)'!$C:$FB,122)*100</f>
        <v>0</v>
      </c>
      <c r="R132" s="75">
        <f>VLOOKUP($A132,'Data Vlaue (Cr)'!$C:$FB,125)</f>
        <v>0.72</v>
      </c>
      <c r="S132" s="75">
        <f>VLOOKUP($A132,'Data Vlaue (Cr)'!$C:$FB,128)*100</f>
        <v>20</v>
      </c>
    </row>
    <row r="133" spans="1:19" x14ac:dyDescent="0.25">
      <c r="A133" s="96" t="str">
        <f>'Data Vlaue (Cr)'!C124</f>
        <v>LTM</v>
      </c>
      <c r="B133" s="75">
        <f>VLOOKUP($A133,'Data Vlaue (Cr)'!$C:$FB,2)</f>
        <v>150</v>
      </c>
      <c r="C133" s="75">
        <f>VLOOKUP($A133,'Data Vlaue (Cr)'!$C:$FB,8)</f>
        <v>4531.5</v>
      </c>
      <c r="D133" s="75">
        <f>VLOOKUP($A133,'Data Vlaue (Cr)'!$C:$FB,4)</f>
        <v>4531.6000000000004</v>
      </c>
      <c r="E133" s="75">
        <f>VLOOKUP($A133,'Data Vlaue (Cr)'!$C:$FB,5)</f>
        <v>4616.8</v>
      </c>
      <c r="F133" s="75">
        <f t="shared" si="6"/>
        <v>0.1000000000003638</v>
      </c>
      <c r="G133" s="75">
        <f t="shared" si="7"/>
        <v>-1.8801306381851841</v>
      </c>
      <c r="H133" s="75">
        <f>VLOOKUP($A133,'Data Vlaue (Cr)'!$C:$FB,99)</f>
        <v>3262</v>
      </c>
      <c r="I133" s="75">
        <f>VLOOKUP($A133,'Data Vlaue (Cr)'!$C:$FB,100)</f>
        <v>3271</v>
      </c>
      <c r="J133" s="75">
        <f t="shared" si="8"/>
        <v>-9</v>
      </c>
      <c r="K133" s="75">
        <f t="shared" si="9"/>
        <v>-0.27590435315757206</v>
      </c>
      <c r="L133" s="75">
        <f>VLOOKUP($A133,'Data Vlaue (Cr)'!$C:$FB,67)</f>
        <v>3805</v>
      </c>
      <c r="M133" s="75">
        <f>VLOOKUP($A133,'Data Vlaue (Cr)'!$C:$FB,68)</f>
        <v>2275</v>
      </c>
      <c r="N133" s="75">
        <f t="shared" si="10"/>
        <v>1530</v>
      </c>
      <c r="O133" s="75">
        <f t="shared" si="11"/>
        <v>40.210249671484888</v>
      </c>
      <c r="P133" s="75">
        <f>VLOOKUP($A133,'Data Vlaue (Cr)'!$C:$FB,119)</f>
        <v>0.98</v>
      </c>
      <c r="Q133" s="75">
        <f>VLOOKUP($A133,'Data Vlaue (Cr)'!$C:$FB,122)*100</f>
        <v>3.16</v>
      </c>
      <c r="R133" s="75">
        <f>VLOOKUP($A133,'Data Vlaue (Cr)'!$C:$FB,125)</f>
        <v>0.95</v>
      </c>
      <c r="S133" s="75">
        <f>VLOOKUP($A133,'Data Vlaue (Cr)'!$C:$FB,128)*100</f>
        <v>4.3999999999999995</v>
      </c>
    </row>
    <row r="134" spans="1:19" x14ac:dyDescent="0.25">
      <c r="A134" s="96" t="str">
        <f>'Data Vlaue (Cr)'!C125</f>
        <v>LUPIN</v>
      </c>
      <c r="B134" s="75">
        <f>VLOOKUP($A134,'Data Vlaue (Cr)'!$C:$FB,2)</f>
        <v>425</v>
      </c>
      <c r="C134" s="75">
        <f>VLOOKUP($A134,'Data Vlaue (Cr)'!$C:$FB,8)</f>
        <v>2341.4</v>
      </c>
      <c r="D134" s="75">
        <f>VLOOKUP($A134,'Data Vlaue (Cr)'!$C:$FB,4)</f>
        <v>2345.1</v>
      </c>
      <c r="E134" s="75">
        <f>VLOOKUP($A134,'Data Vlaue (Cr)'!$C:$FB,5)</f>
        <v>2312.8000000000002</v>
      </c>
      <c r="F134" s="75">
        <f t="shared" si="6"/>
        <v>3.6999999999998181</v>
      </c>
      <c r="G134" s="75">
        <f t="shared" si="7"/>
        <v>1.3773399855016728</v>
      </c>
      <c r="H134" s="75">
        <f>VLOOKUP($A134,'Data Vlaue (Cr)'!$C:$FB,99)</f>
        <v>2821</v>
      </c>
      <c r="I134" s="75">
        <f>VLOOKUP($A134,'Data Vlaue (Cr)'!$C:$FB,100)</f>
        <v>2570</v>
      </c>
      <c r="J134" s="75">
        <f t="shared" si="8"/>
        <v>251</v>
      </c>
      <c r="K134" s="75">
        <f t="shared" si="9"/>
        <v>8.8975540588443813</v>
      </c>
      <c r="L134" s="75">
        <f>VLOOKUP($A134,'Data Vlaue (Cr)'!$C:$FB,67)</f>
        <v>6418</v>
      </c>
      <c r="M134" s="75">
        <f>VLOOKUP($A134,'Data Vlaue (Cr)'!$C:$FB,68)</f>
        <v>1289</v>
      </c>
      <c r="N134" s="75">
        <f t="shared" si="10"/>
        <v>5129</v>
      </c>
      <c r="O134" s="75">
        <f t="shared" si="11"/>
        <v>79.915861639139919</v>
      </c>
      <c r="P134" s="75">
        <f>VLOOKUP($A134,'Data Vlaue (Cr)'!$C:$FB,119)</f>
        <v>0.69</v>
      </c>
      <c r="Q134" s="75">
        <f>VLOOKUP($A134,'Data Vlaue (Cr)'!$C:$FB,122)*100</f>
        <v>-8</v>
      </c>
      <c r="R134" s="75">
        <f>VLOOKUP($A134,'Data Vlaue (Cr)'!$C:$FB,125)</f>
        <v>0.32</v>
      </c>
      <c r="S134" s="75">
        <f>VLOOKUP($A134,'Data Vlaue (Cr)'!$C:$FB,128)*100</f>
        <v>-43.86</v>
      </c>
    </row>
    <row r="135" spans="1:19" x14ac:dyDescent="0.25">
      <c r="A135" s="96" t="str">
        <f>'Data Vlaue (Cr)'!C126</f>
        <v>M&amp;M</v>
      </c>
      <c r="B135" s="75">
        <f>VLOOKUP($A135,'Data Vlaue (Cr)'!$C:$FB,2)</f>
        <v>200</v>
      </c>
      <c r="C135" s="75">
        <f>VLOOKUP($A135,'Data Vlaue (Cr)'!$C:$FB,8)</f>
        <v>3047.7</v>
      </c>
      <c r="D135" s="75">
        <f>VLOOKUP($A135,'Data Vlaue (Cr)'!$C:$FB,4)</f>
        <v>3048.5</v>
      </c>
      <c r="E135" s="75">
        <f>VLOOKUP($A135,'Data Vlaue (Cr)'!$C:$FB,5)</f>
        <v>3151.7</v>
      </c>
      <c r="F135" s="75">
        <f t="shared" si="6"/>
        <v>0.8000000000001819</v>
      </c>
      <c r="G135" s="75">
        <f t="shared" si="7"/>
        <v>-3.3852714449729318</v>
      </c>
      <c r="H135" s="75">
        <f>VLOOKUP($A135,'Data Vlaue (Cr)'!$C:$FB,99)</f>
        <v>9131</v>
      </c>
      <c r="I135" s="75">
        <f>VLOOKUP($A135,'Data Vlaue (Cr)'!$C:$FB,100)</f>
        <v>8871</v>
      </c>
      <c r="J135" s="75">
        <f t="shared" si="8"/>
        <v>260</v>
      </c>
      <c r="K135" s="75">
        <f t="shared" si="9"/>
        <v>2.8474427773518785</v>
      </c>
      <c r="L135" s="75">
        <f>VLOOKUP($A135,'Data Vlaue (Cr)'!$C:$FB,67)</f>
        <v>8581</v>
      </c>
      <c r="M135" s="75">
        <f>VLOOKUP($A135,'Data Vlaue (Cr)'!$C:$FB,68)</f>
        <v>4927</v>
      </c>
      <c r="N135" s="75">
        <f t="shared" si="10"/>
        <v>3654</v>
      </c>
      <c r="O135" s="75">
        <f t="shared" si="11"/>
        <v>42.582449597948958</v>
      </c>
      <c r="P135" s="75">
        <f>VLOOKUP($A135,'Data Vlaue (Cr)'!$C:$FB,119)</f>
        <v>0.64</v>
      </c>
      <c r="Q135" s="75">
        <f>VLOOKUP($A135,'Data Vlaue (Cr)'!$C:$FB,122)*100</f>
        <v>-4.4799999999999995</v>
      </c>
      <c r="R135" s="75">
        <f>VLOOKUP($A135,'Data Vlaue (Cr)'!$C:$FB,125)</f>
        <v>0.57999999999999996</v>
      </c>
      <c r="S135" s="75">
        <f>VLOOKUP($A135,'Data Vlaue (Cr)'!$C:$FB,128)*100</f>
        <v>5.45</v>
      </c>
    </row>
    <row r="136" spans="1:19" x14ac:dyDescent="0.25">
      <c r="A136" s="96" t="str">
        <f>'Data Vlaue (Cr)'!C127</f>
        <v>MANAPPURAM</v>
      </c>
      <c r="B136" s="75">
        <f>VLOOKUP($A136,'Data Vlaue (Cr)'!$C:$FB,2)</f>
        <v>3000</v>
      </c>
      <c r="C136" s="75">
        <f>VLOOKUP($A136,'Data Vlaue (Cr)'!$C:$FB,8)</f>
        <v>292.85000000000002</v>
      </c>
      <c r="D136" s="75">
        <f>VLOOKUP($A136,'Data Vlaue (Cr)'!$C:$FB,4)</f>
        <v>292.39999999999998</v>
      </c>
      <c r="E136" s="75">
        <f>VLOOKUP($A136,'Data Vlaue (Cr)'!$C:$FB,5)</f>
        <v>294.8</v>
      </c>
      <c r="F136" s="75">
        <f t="shared" si="6"/>
        <v>-0.45000000000004547</v>
      </c>
      <c r="G136" s="75">
        <f t="shared" si="7"/>
        <v>-0.82079343365254254</v>
      </c>
      <c r="H136" s="75">
        <f>VLOOKUP($A136,'Data Vlaue (Cr)'!$C:$FB,99)</f>
        <v>2643</v>
      </c>
      <c r="I136" s="75">
        <f>VLOOKUP($A136,'Data Vlaue (Cr)'!$C:$FB,100)</f>
        <v>2709</v>
      </c>
      <c r="J136" s="75">
        <f t="shared" si="8"/>
        <v>-66</v>
      </c>
      <c r="K136" s="75">
        <f t="shared" si="9"/>
        <v>-2.4971623155505105</v>
      </c>
      <c r="L136" s="75">
        <f>VLOOKUP($A136,'Data Vlaue (Cr)'!$C:$FB,67)</f>
        <v>1370</v>
      </c>
      <c r="M136" s="75">
        <f>VLOOKUP($A136,'Data Vlaue (Cr)'!$C:$FB,68)</f>
        <v>5461</v>
      </c>
      <c r="N136" s="75">
        <f t="shared" si="10"/>
        <v>-4091</v>
      </c>
      <c r="O136" s="75">
        <f t="shared" si="11"/>
        <v>-298.61313868613138</v>
      </c>
      <c r="P136" s="75">
        <f>VLOOKUP($A136,'Data Vlaue (Cr)'!$C:$FB,119)</f>
        <v>0.87</v>
      </c>
      <c r="Q136" s="75">
        <f>VLOOKUP($A136,'Data Vlaue (Cr)'!$C:$FB,122)*100</f>
        <v>-2.25</v>
      </c>
      <c r="R136" s="75">
        <f>VLOOKUP($A136,'Data Vlaue (Cr)'!$C:$FB,125)</f>
        <v>0.52</v>
      </c>
      <c r="S136" s="75">
        <f>VLOOKUP($A136,'Data Vlaue (Cr)'!$C:$FB,128)*100</f>
        <v>-7.1400000000000006</v>
      </c>
    </row>
    <row r="137" spans="1:19" x14ac:dyDescent="0.25">
      <c r="A137" s="96" t="str">
        <f>'Data Vlaue (Cr)'!C128</f>
        <v>MANKIND</v>
      </c>
      <c r="B137" s="75">
        <f>VLOOKUP($A137,'Data Vlaue (Cr)'!$C:$FB,2)</f>
        <v>225</v>
      </c>
      <c r="C137" s="75">
        <f>VLOOKUP($A137,'Data Vlaue (Cr)'!$C:$FB,8)</f>
        <v>2292.9</v>
      </c>
      <c r="D137" s="75">
        <f>VLOOKUP($A137,'Data Vlaue (Cr)'!$C:$FB,4)</f>
        <v>2291.8000000000002</v>
      </c>
      <c r="E137" s="75">
        <f>VLOOKUP($A137,'Data Vlaue (Cr)'!$C:$FB,5)</f>
        <v>2228.6999999999998</v>
      </c>
      <c r="F137" s="75">
        <f t="shared" si="6"/>
        <v>-1.0999999999999091</v>
      </c>
      <c r="G137" s="75">
        <f t="shared" si="7"/>
        <v>2.7532943537830685</v>
      </c>
      <c r="H137" s="75">
        <f>VLOOKUP($A137,'Data Vlaue (Cr)'!$C:$FB,99)</f>
        <v>1143</v>
      </c>
      <c r="I137" s="75">
        <f>VLOOKUP($A137,'Data Vlaue (Cr)'!$C:$FB,100)</f>
        <v>1052</v>
      </c>
      <c r="J137" s="75">
        <f t="shared" si="8"/>
        <v>91</v>
      </c>
      <c r="K137" s="75">
        <f t="shared" si="9"/>
        <v>7.9615048118985126</v>
      </c>
      <c r="L137" s="75">
        <f>VLOOKUP($A137,'Data Vlaue (Cr)'!$C:$FB,67)</f>
        <v>2728</v>
      </c>
      <c r="M137" s="75">
        <f>VLOOKUP($A137,'Data Vlaue (Cr)'!$C:$FB,68)</f>
        <v>783</v>
      </c>
      <c r="N137" s="75">
        <f t="shared" si="10"/>
        <v>1945</v>
      </c>
      <c r="O137" s="75">
        <f t="shared" si="11"/>
        <v>71.297653958944281</v>
      </c>
      <c r="P137" s="75">
        <f>VLOOKUP($A137,'Data Vlaue (Cr)'!$C:$FB,119)</f>
        <v>0.99</v>
      </c>
      <c r="Q137" s="75">
        <f>VLOOKUP($A137,'Data Vlaue (Cr)'!$C:$FB,122)*100</f>
        <v>25.319999999999997</v>
      </c>
      <c r="R137" s="75">
        <f>VLOOKUP($A137,'Data Vlaue (Cr)'!$C:$FB,125)</f>
        <v>0.39</v>
      </c>
      <c r="S137" s="75">
        <f>VLOOKUP($A137,'Data Vlaue (Cr)'!$C:$FB,128)*100</f>
        <v>-9.3000000000000007</v>
      </c>
    </row>
    <row r="138" spans="1:19" x14ac:dyDescent="0.25">
      <c r="A138" s="96" t="str">
        <f>'Data Vlaue (Cr)'!C129</f>
        <v>MARICO</v>
      </c>
      <c r="B138" s="75">
        <f>VLOOKUP($A138,'Data Vlaue (Cr)'!$C:$FB,2)</f>
        <v>1200</v>
      </c>
      <c r="C138" s="75">
        <f>VLOOKUP($A138,'Data Vlaue (Cr)'!$C:$FB,8)</f>
        <v>778.9</v>
      </c>
      <c r="D138" s="75">
        <f>VLOOKUP($A138,'Data Vlaue (Cr)'!$C:$FB,4)</f>
        <v>777.75</v>
      </c>
      <c r="E138" s="75">
        <f>VLOOKUP($A138,'Data Vlaue (Cr)'!$C:$FB,5)</f>
        <v>773.8</v>
      </c>
      <c r="F138" s="75">
        <f t="shared" si="6"/>
        <v>-1.1499999999999773</v>
      </c>
      <c r="G138" s="75">
        <f t="shared" si="7"/>
        <v>0.50787528126005088</v>
      </c>
      <c r="H138" s="75">
        <f>VLOOKUP($A138,'Data Vlaue (Cr)'!$C:$FB,99)</f>
        <v>2514</v>
      </c>
      <c r="I138" s="75">
        <f>VLOOKUP($A138,'Data Vlaue (Cr)'!$C:$FB,100)</f>
        <v>2562</v>
      </c>
      <c r="J138" s="75">
        <f t="shared" si="8"/>
        <v>-48</v>
      </c>
      <c r="K138" s="75">
        <f t="shared" si="9"/>
        <v>-1.9093078758949882</v>
      </c>
      <c r="L138" s="75">
        <f>VLOOKUP($A138,'Data Vlaue (Cr)'!$C:$FB,67)</f>
        <v>2159</v>
      </c>
      <c r="M138" s="75">
        <f>VLOOKUP($A138,'Data Vlaue (Cr)'!$C:$FB,68)</f>
        <v>1901</v>
      </c>
      <c r="N138" s="75">
        <f t="shared" si="10"/>
        <v>258</v>
      </c>
      <c r="O138" s="75">
        <f t="shared" si="11"/>
        <v>11.949976841130153</v>
      </c>
      <c r="P138" s="75">
        <f>VLOOKUP($A138,'Data Vlaue (Cr)'!$C:$FB,119)</f>
        <v>1.02</v>
      </c>
      <c r="Q138" s="75">
        <f>VLOOKUP($A138,'Data Vlaue (Cr)'!$C:$FB,122)*100</f>
        <v>-3.7699999999999996</v>
      </c>
      <c r="R138" s="75">
        <f>VLOOKUP($A138,'Data Vlaue (Cr)'!$C:$FB,125)</f>
        <v>0.3</v>
      </c>
      <c r="S138" s="75">
        <f>VLOOKUP($A138,'Data Vlaue (Cr)'!$C:$FB,128)*100</f>
        <v>-21.05</v>
      </c>
    </row>
    <row r="139" spans="1:19" x14ac:dyDescent="0.25">
      <c r="A139" s="96" t="str">
        <f>'Data Vlaue (Cr)'!C130</f>
        <v>MARUTI</v>
      </c>
      <c r="B139" s="75">
        <f>VLOOKUP($A139,'Data Vlaue (Cr)'!$C:$FB,2)</f>
        <v>50</v>
      </c>
      <c r="C139" s="75">
        <f>VLOOKUP($A139,'Data Vlaue (Cr)'!$C:$FB,8)</f>
        <v>13160</v>
      </c>
      <c r="D139" s="75">
        <f>VLOOKUP($A139,'Data Vlaue (Cr)'!$C:$FB,4)</f>
        <v>13139</v>
      </c>
      <c r="E139" s="75">
        <f>VLOOKUP($A139,'Data Vlaue (Cr)'!$C:$FB,5)</f>
        <v>13322</v>
      </c>
      <c r="F139" s="75">
        <f t="shared" si="6"/>
        <v>-21</v>
      </c>
      <c r="G139" s="75">
        <f t="shared" si="7"/>
        <v>-1.3928000608874342</v>
      </c>
      <c r="H139" s="75">
        <f>VLOOKUP($A139,'Data Vlaue (Cr)'!$C:$FB,99)</f>
        <v>9334</v>
      </c>
      <c r="I139" s="75">
        <f>VLOOKUP($A139,'Data Vlaue (Cr)'!$C:$FB,100)</f>
        <v>9275</v>
      </c>
      <c r="J139" s="75">
        <f t="shared" si="8"/>
        <v>59</v>
      </c>
      <c r="K139" s="75">
        <f t="shared" si="9"/>
        <v>0.63209770730662096</v>
      </c>
      <c r="L139" s="75">
        <f>VLOOKUP($A139,'Data Vlaue (Cr)'!$C:$FB,67)</f>
        <v>8957</v>
      </c>
      <c r="M139" s="75">
        <f>VLOOKUP($A139,'Data Vlaue (Cr)'!$C:$FB,68)</f>
        <v>6765</v>
      </c>
      <c r="N139" s="75">
        <f t="shared" si="10"/>
        <v>2192</v>
      </c>
      <c r="O139" s="75">
        <f t="shared" si="11"/>
        <v>24.472479624874399</v>
      </c>
      <c r="P139" s="75">
        <f>VLOOKUP($A139,'Data Vlaue (Cr)'!$C:$FB,119)</f>
        <v>0.5</v>
      </c>
      <c r="Q139" s="75">
        <f>VLOOKUP($A139,'Data Vlaue (Cr)'!$C:$FB,122)*100</f>
        <v>-7.41</v>
      </c>
      <c r="R139" s="75">
        <f>VLOOKUP($A139,'Data Vlaue (Cr)'!$C:$FB,125)</f>
        <v>0.44</v>
      </c>
      <c r="S139" s="75">
        <f>VLOOKUP($A139,'Data Vlaue (Cr)'!$C:$FB,128)*100</f>
        <v>-24.14</v>
      </c>
    </row>
    <row r="140" spans="1:19" x14ac:dyDescent="0.25">
      <c r="A140" s="96" t="str">
        <f>'Data Vlaue (Cr)'!C131</f>
        <v>MAXHEALTH</v>
      </c>
      <c r="B140" s="75">
        <f>VLOOKUP($A140,'Data Vlaue (Cr)'!$C:$FB,2)</f>
        <v>525</v>
      </c>
      <c r="C140" s="75">
        <f>VLOOKUP($A140,'Data Vlaue (Cr)'!$C:$FB,8)</f>
        <v>1006.75</v>
      </c>
      <c r="D140" s="75">
        <f>VLOOKUP($A140,'Data Vlaue (Cr)'!$C:$FB,4)</f>
        <v>1008.4</v>
      </c>
      <c r="E140" s="75">
        <f>VLOOKUP($A140,'Data Vlaue (Cr)'!$C:$FB,5)</f>
        <v>1002.8</v>
      </c>
      <c r="F140" s="75">
        <f t="shared" ref="F140:F176" si="12">D140-C140</f>
        <v>1.6499999999999773</v>
      </c>
      <c r="G140" s="75">
        <f t="shared" ref="G140:G176" si="13">(D140-E140)/D140*100</f>
        <v>0.55533518445061714</v>
      </c>
      <c r="H140" s="75">
        <f>VLOOKUP($A140,'Data Vlaue (Cr)'!$C:$FB,99)</f>
        <v>2059</v>
      </c>
      <c r="I140" s="75">
        <f>VLOOKUP($A140,'Data Vlaue (Cr)'!$C:$FB,100)</f>
        <v>2066</v>
      </c>
      <c r="J140" s="75">
        <f t="shared" ref="J140:J176" si="14">H140-I140</f>
        <v>-7</v>
      </c>
      <c r="K140" s="75">
        <f t="shared" ref="K140:K176" si="15">J140/H140*100</f>
        <v>-0.3399708596406022</v>
      </c>
      <c r="L140" s="75">
        <f>VLOOKUP($A140,'Data Vlaue (Cr)'!$C:$FB,67)</f>
        <v>2050</v>
      </c>
      <c r="M140" s="75">
        <f>VLOOKUP($A140,'Data Vlaue (Cr)'!$C:$FB,68)</f>
        <v>1340</v>
      </c>
      <c r="N140" s="75">
        <f t="shared" ref="N140:N176" si="16">L140-M140</f>
        <v>710</v>
      </c>
      <c r="O140" s="75">
        <f t="shared" ref="O140:O176" si="17">N140/L140*100</f>
        <v>34.634146341463413</v>
      </c>
      <c r="P140" s="75">
        <f>VLOOKUP($A140,'Data Vlaue (Cr)'!$C:$FB,119)</f>
        <v>0.62</v>
      </c>
      <c r="Q140" s="75">
        <f>VLOOKUP($A140,'Data Vlaue (Cr)'!$C:$FB,122)*100</f>
        <v>0</v>
      </c>
      <c r="R140" s="75">
        <f>VLOOKUP($A140,'Data Vlaue (Cr)'!$C:$FB,125)</f>
        <v>0.61</v>
      </c>
      <c r="S140" s="75">
        <f>VLOOKUP($A140,'Data Vlaue (Cr)'!$C:$FB,128)*100</f>
        <v>-34.410000000000004</v>
      </c>
    </row>
    <row r="141" spans="1:19" x14ac:dyDescent="0.25">
      <c r="A141" s="96" t="str">
        <f>'Data Vlaue (Cr)'!C132</f>
        <v>MAZDOCK</v>
      </c>
      <c r="B141" s="75">
        <f>VLOOKUP($A141,'Data Vlaue (Cr)'!$C:$FB,2)</f>
        <v>200</v>
      </c>
      <c r="C141" s="75">
        <f>VLOOKUP($A141,'Data Vlaue (Cr)'!$C:$FB,8)</f>
        <v>2693.8</v>
      </c>
      <c r="D141" s="75">
        <f>VLOOKUP($A141,'Data Vlaue (Cr)'!$C:$FB,4)</f>
        <v>2693.4</v>
      </c>
      <c r="E141" s="75">
        <f>VLOOKUP($A141,'Data Vlaue (Cr)'!$C:$FB,5)</f>
        <v>2706.8</v>
      </c>
      <c r="F141" s="75">
        <f t="shared" si="12"/>
        <v>-0.40000000000009095</v>
      </c>
      <c r="G141" s="75">
        <f t="shared" si="13"/>
        <v>-0.49751243781094867</v>
      </c>
      <c r="H141" s="75">
        <f>VLOOKUP($A141,'Data Vlaue (Cr)'!$C:$FB,99)</f>
        <v>3224</v>
      </c>
      <c r="I141" s="75">
        <f>VLOOKUP($A141,'Data Vlaue (Cr)'!$C:$FB,100)</f>
        <v>3252</v>
      </c>
      <c r="J141" s="75">
        <f t="shared" si="14"/>
        <v>-28</v>
      </c>
      <c r="K141" s="75">
        <f t="shared" si="15"/>
        <v>-0.86848635235732019</v>
      </c>
      <c r="L141" s="75">
        <f>VLOOKUP($A141,'Data Vlaue (Cr)'!$C:$FB,67)</f>
        <v>3921</v>
      </c>
      <c r="M141" s="75">
        <f>VLOOKUP($A141,'Data Vlaue (Cr)'!$C:$FB,68)</f>
        <v>3286</v>
      </c>
      <c r="N141" s="75">
        <f t="shared" si="16"/>
        <v>635</v>
      </c>
      <c r="O141" s="75">
        <f t="shared" si="17"/>
        <v>16.194848252996685</v>
      </c>
      <c r="P141" s="75">
        <f>VLOOKUP($A141,'Data Vlaue (Cr)'!$C:$FB,119)</f>
        <v>0.85</v>
      </c>
      <c r="Q141" s="75">
        <f>VLOOKUP($A141,'Data Vlaue (Cr)'!$C:$FB,122)*100</f>
        <v>3.66</v>
      </c>
      <c r="R141" s="75">
        <f>VLOOKUP($A141,'Data Vlaue (Cr)'!$C:$FB,125)</f>
        <v>0.42</v>
      </c>
      <c r="S141" s="75">
        <f>VLOOKUP($A141,'Data Vlaue (Cr)'!$C:$FB,128)*100</f>
        <v>-2.33</v>
      </c>
    </row>
    <row r="142" spans="1:19" x14ac:dyDescent="0.25">
      <c r="A142" s="96" t="str">
        <f>'Data Vlaue (Cr)'!C133</f>
        <v>MCX</v>
      </c>
      <c r="B142" s="75">
        <f>VLOOKUP($A142,'Data Vlaue (Cr)'!$C:$FB,2)</f>
        <v>625</v>
      </c>
      <c r="C142" s="75">
        <f>VLOOKUP($A142,'Data Vlaue (Cr)'!$C:$FB,8)</f>
        <v>2791.4</v>
      </c>
      <c r="D142" s="75">
        <f>VLOOKUP($A142,'Data Vlaue (Cr)'!$C:$FB,4)</f>
        <v>2793.9</v>
      </c>
      <c r="E142" s="75">
        <f>VLOOKUP($A142,'Data Vlaue (Cr)'!$C:$FB,5)</f>
        <v>2788.8</v>
      </c>
      <c r="F142" s="75">
        <f t="shared" si="12"/>
        <v>2.5</v>
      </c>
      <c r="G142" s="75">
        <f t="shared" si="13"/>
        <v>0.18254053473638673</v>
      </c>
      <c r="H142" s="75">
        <f>VLOOKUP($A142,'Data Vlaue (Cr)'!$C:$FB,99)</f>
        <v>8673</v>
      </c>
      <c r="I142" s="75">
        <f>VLOOKUP($A142,'Data Vlaue (Cr)'!$C:$FB,100)</f>
        <v>8802</v>
      </c>
      <c r="J142" s="75">
        <f t="shared" si="14"/>
        <v>-129</v>
      </c>
      <c r="K142" s="75">
        <f t="shared" si="15"/>
        <v>-1.4873746108612937</v>
      </c>
      <c r="L142" s="75">
        <f>VLOOKUP($A142,'Data Vlaue (Cr)'!$C:$FB,67)</f>
        <v>10512</v>
      </c>
      <c r="M142" s="75">
        <f>VLOOKUP($A142,'Data Vlaue (Cr)'!$C:$FB,68)</f>
        <v>8303</v>
      </c>
      <c r="N142" s="75">
        <f t="shared" si="16"/>
        <v>2209</v>
      </c>
      <c r="O142" s="75">
        <f t="shared" si="17"/>
        <v>21.014079147640789</v>
      </c>
      <c r="P142" s="75">
        <f>VLOOKUP($A142,'Data Vlaue (Cr)'!$C:$FB,119)</f>
        <v>0.75</v>
      </c>
      <c r="Q142" s="75">
        <f>VLOOKUP($A142,'Data Vlaue (Cr)'!$C:$FB,122)*100</f>
        <v>-5.0599999999999996</v>
      </c>
      <c r="R142" s="75">
        <f>VLOOKUP($A142,'Data Vlaue (Cr)'!$C:$FB,125)</f>
        <v>0.5</v>
      </c>
      <c r="S142" s="75">
        <f>VLOOKUP($A142,'Data Vlaue (Cr)'!$C:$FB,128)*100</f>
        <v>-30.56</v>
      </c>
    </row>
    <row r="143" spans="1:19" x14ac:dyDescent="0.25">
      <c r="A143" s="96" t="str">
        <f>'Data Vlaue (Cr)'!C134</f>
        <v>MFSL</v>
      </c>
      <c r="B143" s="75">
        <f>VLOOKUP($A143,'Data Vlaue (Cr)'!$C:$FB,2)</f>
        <v>400</v>
      </c>
      <c r="C143" s="75">
        <f>VLOOKUP($A143,'Data Vlaue (Cr)'!$C:$FB,8)</f>
        <v>1595.4</v>
      </c>
      <c r="D143" s="75">
        <f>VLOOKUP($A143,'Data Vlaue (Cr)'!$C:$FB,4)</f>
        <v>1595</v>
      </c>
      <c r="E143" s="75">
        <f>VLOOKUP($A143,'Data Vlaue (Cr)'!$C:$FB,5)</f>
        <v>1632.8</v>
      </c>
      <c r="F143" s="75">
        <f t="shared" si="12"/>
        <v>-0.40000000000009095</v>
      </c>
      <c r="G143" s="75">
        <f t="shared" si="13"/>
        <v>-2.3699059561128499</v>
      </c>
      <c r="H143" s="75">
        <f>VLOOKUP($A143,'Data Vlaue (Cr)'!$C:$FB,99)</f>
        <v>1715</v>
      </c>
      <c r="I143" s="75">
        <f>VLOOKUP($A143,'Data Vlaue (Cr)'!$C:$FB,100)</f>
        <v>1734</v>
      </c>
      <c r="J143" s="75">
        <f t="shared" si="14"/>
        <v>-19</v>
      </c>
      <c r="K143" s="75"/>
      <c r="L143" s="75">
        <f>VLOOKUP($A143,'Data Vlaue (Cr)'!$C:$FB,67)</f>
        <v>1087</v>
      </c>
      <c r="M143" s="75">
        <f>VLOOKUP($A143,'Data Vlaue (Cr)'!$C:$FB,68)</f>
        <v>463</v>
      </c>
      <c r="N143" s="75">
        <f t="shared" si="16"/>
        <v>624</v>
      </c>
      <c r="O143" s="75">
        <f t="shared" si="17"/>
        <v>57.405703771849126</v>
      </c>
      <c r="P143" s="75">
        <f>VLOOKUP($A143,'Data Vlaue (Cr)'!$C:$FB,119)</f>
        <v>0.73</v>
      </c>
      <c r="Q143" s="75">
        <f>VLOOKUP($A143,'Data Vlaue (Cr)'!$C:$FB,122)*100</f>
        <v>10.61</v>
      </c>
      <c r="R143" s="75">
        <f>VLOOKUP($A143,'Data Vlaue (Cr)'!$C:$FB,125)</f>
        <v>0.4</v>
      </c>
      <c r="S143" s="75">
        <f>VLOOKUP($A143,'Data Vlaue (Cr)'!$C:$FB,128)*100</f>
        <v>-13.04</v>
      </c>
    </row>
    <row r="144" spans="1:19" x14ac:dyDescent="0.25">
      <c r="A144" s="96" t="str">
        <f>'Data Vlaue (Cr)'!C135</f>
        <v>MIDCPNIFTY</v>
      </c>
      <c r="B144" s="75">
        <f>VLOOKUP($A144,'Data Vlaue (Cr)'!$C:$FB,2)</f>
        <v>120</v>
      </c>
      <c r="C144" s="75">
        <f>VLOOKUP($A144,'Data Vlaue (Cr)'!$C:$FB,8)</f>
        <v>13848.55</v>
      </c>
      <c r="D144" s="75">
        <f>VLOOKUP($A144,'Data Vlaue (Cr)'!$C:$FB,4)</f>
        <v>13847.35</v>
      </c>
      <c r="E144" s="75">
        <f>VLOOKUP($A144,'Data Vlaue (Cr)'!$C:$FB,5)</f>
        <v>13939.8</v>
      </c>
      <c r="F144" s="75">
        <f t="shared" si="12"/>
        <v>-1.1999999999989086</v>
      </c>
      <c r="G144" s="75">
        <f t="shared" si="13"/>
        <v>-0.66763676804586369</v>
      </c>
      <c r="H144" s="75">
        <f>VLOOKUP($A144,'Data Vlaue (Cr)'!$C:$FB,99)</f>
        <v>27292</v>
      </c>
      <c r="I144" s="75">
        <f>VLOOKUP($A144,'Data Vlaue (Cr)'!$C:$FB,100)</f>
        <v>26341</v>
      </c>
      <c r="J144" s="75">
        <f t="shared" si="14"/>
        <v>951</v>
      </c>
      <c r="K144" s="75">
        <f t="shared" si="15"/>
        <v>3.4845375934339735</v>
      </c>
      <c r="L144" s="75">
        <f>VLOOKUP($A144,'Data Vlaue (Cr)'!$C:$FB,67)</f>
        <v>62124</v>
      </c>
      <c r="M144" s="75">
        <f>VLOOKUP($A144,'Data Vlaue (Cr)'!$C:$FB,68)</f>
        <v>56929</v>
      </c>
      <c r="N144" s="75">
        <f t="shared" si="16"/>
        <v>5195</v>
      </c>
      <c r="O144" s="75">
        <f t="shared" si="17"/>
        <v>8.3623076427789584</v>
      </c>
      <c r="P144" s="75">
        <f>VLOOKUP($A144,'Data Vlaue (Cr)'!$C:$FB,119)</f>
        <v>1.1000000000000001</v>
      </c>
      <c r="Q144" s="75">
        <f>VLOOKUP($A144,'Data Vlaue (Cr)'!$C:$FB,122)*100</f>
        <v>-2.65</v>
      </c>
      <c r="R144" s="75">
        <f>VLOOKUP($A144,'Data Vlaue (Cr)'!$C:$FB,125)</f>
        <v>1.02</v>
      </c>
      <c r="S144" s="75">
        <f>VLOOKUP($A144,'Data Vlaue (Cr)'!$C:$FB,128)*100</f>
        <v>-8.93</v>
      </c>
    </row>
    <row r="145" spans="1:19" x14ac:dyDescent="0.25">
      <c r="A145" s="96" t="str">
        <f>'Data Vlaue (Cr)'!C136</f>
        <v>MOTHERSON</v>
      </c>
      <c r="B145" s="75">
        <f>VLOOKUP($A145,'Data Vlaue (Cr)'!$C:$FB,2)</f>
        <v>6150</v>
      </c>
      <c r="C145" s="75">
        <f>VLOOKUP($A145,'Data Vlaue (Cr)'!$C:$FB,8)</f>
        <v>127.22</v>
      </c>
      <c r="D145" s="75">
        <f>VLOOKUP($A145,'Data Vlaue (Cr)'!$C:$FB,4)</f>
        <v>126.96</v>
      </c>
      <c r="E145" s="75">
        <f>VLOOKUP($A145,'Data Vlaue (Cr)'!$C:$FB,5)</f>
        <v>131.55000000000001</v>
      </c>
      <c r="F145" s="75">
        <f t="shared" si="12"/>
        <v>-0.26000000000000512</v>
      </c>
      <c r="G145" s="75">
        <f t="shared" si="13"/>
        <v>-3.6153119092627741</v>
      </c>
      <c r="H145" s="75">
        <f>VLOOKUP($A145,'Data Vlaue (Cr)'!$C:$FB,99)</f>
        <v>2919</v>
      </c>
      <c r="I145" s="75">
        <f>VLOOKUP($A145,'Data Vlaue (Cr)'!$C:$FB,100)</f>
        <v>2894</v>
      </c>
      <c r="J145" s="75">
        <f t="shared" si="14"/>
        <v>25</v>
      </c>
      <c r="K145" s="75">
        <f t="shared" si="15"/>
        <v>0.85645769099006508</v>
      </c>
      <c r="L145" s="75">
        <f>VLOOKUP($A145,'Data Vlaue (Cr)'!$C:$FB,67)</f>
        <v>2649</v>
      </c>
      <c r="M145" s="75">
        <f>VLOOKUP($A145,'Data Vlaue (Cr)'!$C:$FB,68)</f>
        <v>3706</v>
      </c>
      <c r="N145" s="75">
        <f t="shared" si="16"/>
        <v>-1057</v>
      </c>
      <c r="O145" s="75">
        <f t="shared" si="17"/>
        <v>-39.901849754624386</v>
      </c>
      <c r="P145" s="75">
        <f>VLOOKUP($A145,'Data Vlaue (Cr)'!$C:$FB,119)</f>
        <v>0.91</v>
      </c>
      <c r="Q145" s="75">
        <f>VLOOKUP($A145,'Data Vlaue (Cr)'!$C:$FB,122)*100</f>
        <v>-2.15</v>
      </c>
      <c r="R145" s="75">
        <f>VLOOKUP($A145,'Data Vlaue (Cr)'!$C:$FB,125)</f>
        <v>0.68</v>
      </c>
      <c r="S145" s="75">
        <f>VLOOKUP($A145,'Data Vlaue (Cr)'!$C:$FB,128)*100</f>
        <v>65.849999999999994</v>
      </c>
    </row>
    <row r="146" spans="1:19" x14ac:dyDescent="0.25">
      <c r="A146" s="96" t="str">
        <f>'Data Vlaue (Cr)'!C137</f>
        <v>MOTILALOFS</v>
      </c>
      <c r="B146" s="75">
        <f>VLOOKUP($A146,'Data Vlaue (Cr)'!$C:$FB,2)</f>
        <v>775</v>
      </c>
      <c r="C146" s="75">
        <f>VLOOKUP($A146,'Data Vlaue (Cr)'!$C:$FB,8)</f>
        <v>790.85</v>
      </c>
      <c r="D146" s="75">
        <f>VLOOKUP($A146,'Data Vlaue (Cr)'!$C:$FB,4)</f>
        <v>791.05</v>
      </c>
      <c r="E146" s="75">
        <f>VLOOKUP($A146,'Data Vlaue (Cr)'!$C:$FB,5)</f>
        <v>813.55</v>
      </c>
      <c r="F146" s="75">
        <f t="shared" si="12"/>
        <v>0.19999999999993179</v>
      </c>
      <c r="G146" s="75">
        <f t="shared" si="13"/>
        <v>-2.8443208393906834</v>
      </c>
      <c r="H146" s="75">
        <f>VLOOKUP($A146,'Data Vlaue (Cr)'!$C:$FB,99)</f>
        <v>478</v>
      </c>
      <c r="I146" s="75">
        <f>VLOOKUP($A146,'Data Vlaue (Cr)'!$C:$FB,100)</f>
        <v>459</v>
      </c>
      <c r="J146" s="75">
        <f t="shared" si="14"/>
        <v>19</v>
      </c>
      <c r="K146" s="75">
        <f t="shared" si="15"/>
        <v>3.9748953974895396</v>
      </c>
      <c r="L146" s="75">
        <f>VLOOKUP($A146,'Data Vlaue (Cr)'!$C:$FB,67)</f>
        <v>930</v>
      </c>
      <c r="M146" s="75">
        <f>VLOOKUP($A146,'Data Vlaue (Cr)'!$C:$FB,68)</f>
        <v>409</v>
      </c>
      <c r="N146" s="75">
        <f t="shared" si="16"/>
        <v>521</v>
      </c>
      <c r="O146" s="75">
        <f t="shared" si="17"/>
        <v>56.021505376344081</v>
      </c>
      <c r="P146" s="75">
        <f>VLOOKUP($A146,'Data Vlaue (Cr)'!$C:$FB,119)</f>
        <v>0.93</v>
      </c>
      <c r="Q146" s="75">
        <f>VLOOKUP($A146,'Data Vlaue (Cr)'!$C:$FB,122)*100</f>
        <v>-1.06</v>
      </c>
      <c r="R146" s="75">
        <f>VLOOKUP($A146,'Data Vlaue (Cr)'!$C:$FB,125)</f>
        <v>0.9</v>
      </c>
      <c r="S146" s="75">
        <f>VLOOKUP($A146,'Data Vlaue (Cr)'!$C:$FB,128)*100</f>
        <v>-60</v>
      </c>
    </row>
    <row r="147" spans="1:19" x14ac:dyDescent="0.25">
      <c r="A147" s="96" t="str">
        <f>'Data Vlaue (Cr)'!C138</f>
        <v>MPHASIS</v>
      </c>
      <c r="B147" s="75">
        <f>VLOOKUP($A147,'Data Vlaue (Cr)'!$C:$FB,2)</f>
        <v>275</v>
      </c>
      <c r="C147" s="75">
        <f>VLOOKUP($A147,'Data Vlaue (Cr)'!$C:$FB,8)</f>
        <v>2277</v>
      </c>
      <c r="D147" s="75">
        <f>VLOOKUP($A147,'Data Vlaue (Cr)'!$C:$FB,4)</f>
        <v>2275.6</v>
      </c>
      <c r="E147" s="75">
        <f>VLOOKUP($A147,'Data Vlaue (Cr)'!$C:$FB,5)</f>
        <v>2340.9</v>
      </c>
      <c r="F147" s="75">
        <f t="shared" si="12"/>
        <v>-1.4000000000000909</v>
      </c>
      <c r="G147" s="75">
        <f t="shared" si="13"/>
        <v>-2.8695728599050883</v>
      </c>
      <c r="H147" s="75">
        <f>VLOOKUP($A147,'Data Vlaue (Cr)'!$C:$FB,99)</f>
        <v>1766</v>
      </c>
      <c r="I147" s="75">
        <f>VLOOKUP($A147,'Data Vlaue (Cr)'!$C:$FB,100)</f>
        <v>1579</v>
      </c>
      <c r="J147" s="75">
        <f t="shared" si="14"/>
        <v>187</v>
      </c>
      <c r="K147" s="75">
        <f t="shared" si="15"/>
        <v>10.588901472253681</v>
      </c>
      <c r="L147" s="75">
        <f>VLOOKUP($A147,'Data Vlaue (Cr)'!$C:$FB,67)</f>
        <v>1220</v>
      </c>
      <c r="M147" s="75">
        <f>VLOOKUP($A147,'Data Vlaue (Cr)'!$C:$FB,68)</f>
        <v>1092</v>
      </c>
      <c r="N147" s="75">
        <f t="shared" si="16"/>
        <v>128</v>
      </c>
      <c r="O147" s="75">
        <f t="shared" si="17"/>
        <v>10.491803278688524</v>
      </c>
      <c r="P147" s="75">
        <f>VLOOKUP($A147,'Data Vlaue (Cr)'!$C:$FB,119)</f>
        <v>0.68</v>
      </c>
      <c r="Q147" s="75">
        <f>VLOOKUP($A147,'Data Vlaue (Cr)'!$C:$FB,122)*100</f>
        <v>-6.8500000000000005</v>
      </c>
      <c r="R147" s="75">
        <f>VLOOKUP($A147,'Data Vlaue (Cr)'!$C:$FB,125)</f>
        <v>0.61</v>
      </c>
      <c r="S147" s="75">
        <f>VLOOKUP($A147,'Data Vlaue (Cr)'!$C:$FB,128)*100</f>
        <v>-29.89</v>
      </c>
    </row>
    <row r="148" spans="1:19" x14ac:dyDescent="0.25">
      <c r="A148" s="96" t="str">
        <f>'Data Vlaue (Cr)'!C139</f>
        <v>MUTHOOTFIN</v>
      </c>
      <c r="B148" s="75">
        <f>VLOOKUP($A148,'Data Vlaue (Cr)'!$C:$FB,2)</f>
        <v>275</v>
      </c>
      <c r="C148" s="75">
        <f>VLOOKUP($A148,'Data Vlaue (Cr)'!$C:$FB,8)</f>
        <v>3561.4</v>
      </c>
      <c r="D148" s="75">
        <f>VLOOKUP($A148,'Data Vlaue (Cr)'!$C:$FB,4)</f>
        <v>3571.8</v>
      </c>
      <c r="E148" s="75">
        <f>VLOOKUP($A148,'Data Vlaue (Cr)'!$C:$FB,5)</f>
        <v>3597.4</v>
      </c>
      <c r="F148" s="75">
        <f t="shared" si="12"/>
        <v>10.400000000000091</v>
      </c>
      <c r="G148" s="75">
        <f t="shared" si="13"/>
        <v>-0.71672546055210007</v>
      </c>
      <c r="H148" s="75">
        <f>VLOOKUP($A148,'Data Vlaue (Cr)'!$C:$FB,99)</f>
        <v>2715</v>
      </c>
      <c r="I148" s="75">
        <f>VLOOKUP($A148,'Data Vlaue (Cr)'!$C:$FB,100)</f>
        <v>2876</v>
      </c>
      <c r="J148" s="75">
        <f t="shared" si="14"/>
        <v>-161</v>
      </c>
      <c r="K148" s="75">
        <f t="shared" si="15"/>
        <v>-5.930018416206261</v>
      </c>
      <c r="L148" s="75">
        <f>VLOOKUP($A148,'Data Vlaue (Cr)'!$C:$FB,67)</f>
        <v>2328</v>
      </c>
      <c r="M148" s="75">
        <f>VLOOKUP($A148,'Data Vlaue (Cr)'!$C:$FB,68)</f>
        <v>3041</v>
      </c>
      <c r="N148" s="75">
        <f t="shared" si="16"/>
        <v>-713</v>
      </c>
      <c r="O148" s="75">
        <f t="shared" si="17"/>
        <v>-30.627147766323027</v>
      </c>
      <c r="P148" s="75">
        <f>VLOOKUP($A148,'Data Vlaue (Cr)'!$C:$FB,119)</f>
        <v>0.6</v>
      </c>
      <c r="Q148" s="75">
        <f>VLOOKUP($A148,'Data Vlaue (Cr)'!$C:$FB,122)*100</f>
        <v>9.09</v>
      </c>
      <c r="R148" s="75">
        <f>VLOOKUP($A148,'Data Vlaue (Cr)'!$C:$FB,125)</f>
        <v>0.61</v>
      </c>
      <c r="S148" s="75">
        <f>VLOOKUP($A148,'Data Vlaue (Cr)'!$C:$FB,128)*100</f>
        <v>69.44</v>
      </c>
    </row>
    <row r="149" spans="1:19" x14ac:dyDescent="0.25">
      <c r="A149" s="96" t="str">
        <f>'Data Vlaue (Cr)'!C140</f>
        <v>NAM-INDIA</v>
      </c>
      <c r="B149" s="75">
        <f>VLOOKUP($A149,'Data Vlaue (Cr)'!$C:$FB,2)</f>
        <v>625</v>
      </c>
      <c r="C149" s="75">
        <f>VLOOKUP($A149,'Data Vlaue (Cr)'!$C:$FB,8)</f>
        <v>1031.95</v>
      </c>
      <c r="D149" s="75">
        <f>VLOOKUP($A149,'Data Vlaue (Cr)'!$C:$FB,4)</f>
        <v>1035.05</v>
      </c>
      <c r="E149" s="75">
        <f>VLOOKUP($A149,'Data Vlaue (Cr)'!$C:$FB,5)</f>
        <v>1053.05</v>
      </c>
      <c r="F149" s="75">
        <f t="shared" si="12"/>
        <v>3.0999999999999091</v>
      </c>
      <c r="G149" s="75">
        <f t="shared" si="13"/>
        <v>-1.7390464228781217</v>
      </c>
      <c r="H149" s="75">
        <f>VLOOKUP($A149,'Data Vlaue (Cr)'!$C:$FB,99)</f>
        <v>546</v>
      </c>
      <c r="I149" s="75">
        <f>VLOOKUP($A149,'Data Vlaue (Cr)'!$C:$FB,100)</f>
        <v>578</v>
      </c>
      <c r="J149" s="75">
        <f t="shared" si="14"/>
        <v>-32</v>
      </c>
      <c r="K149" s="75">
        <f t="shared" si="15"/>
        <v>-5.8608058608058604</v>
      </c>
      <c r="L149" s="75">
        <f>VLOOKUP($A149,'Data Vlaue (Cr)'!$C:$FB,67)</f>
        <v>645</v>
      </c>
      <c r="M149" s="75">
        <f>VLOOKUP($A149,'Data Vlaue (Cr)'!$C:$FB,68)</f>
        <v>419</v>
      </c>
      <c r="N149" s="75">
        <f t="shared" si="16"/>
        <v>226</v>
      </c>
      <c r="O149" s="75">
        <f t="shared" si="17"/>
        <v>35.038759689922486</v>
      </c>
      <c r="P149" s="75">
        <f>VLOOKUP($A149,'Data Vlaue (Cr)'!$C:$FB,119)</f>
        <v>0.5</v>
      </c>
      <c r="Q149" s="75">
        <f>VLOOKUP($A149,'Data Vlaue (Cr)'!$C:$FB,122)*100</f>
        <v>-7.41</v>
      </c>
      <c r="R149" s="75">
        <f>VLOOKUP($A149,'Data Vlaue (Cr)'!$C:$FB,125)</f>
        <v>1.39</v>
      </c>
      <c r="S149" s="75">
        <f>VLOOKUP($A149,'Data Vlaue (Cr)'!$C:$FB,128)*100</f>
        <v>63.53</v>
      </c>
    </row>
    <row r="150" spans="1:19" x14ac:dyDescent="0.25">
      <c r="A150" s="96" t="str">
        <f>'Data Vlaue (Cr)'!C141</f>
        <v>NATIONALUM</v>
      </c>
      <c r="B150" s="75">
        <f>VLOOKUP($A150,'Data Vlaue (Cr)'!$C:$FB,2)</f>
        <v>3750</v>
      </c>
      <c r="C150" s="75">
        <f>VLOOKUP($A150,'Data Vlaue (Cr)'!$C:$FB,8)</f>
        <v>439.25</v>
      </c>
      <c r="D150" s="75">
        <f>VLOOKUP($A150,'Data Vlaue (Cr)'!$C:$FB,4)</f>
        <v>439.75</v>
      </c>
      <c r="E150" s="75">
        <f>VLOOKUP($A150,'Data Vlaue (Cr)'!$C:$FB,5)</f>
        <v>436.95</v>
      </c>
      <c r="F150" s="75">
        <f t="shared" si="12"/>
        <v>0.5</v>
      </c>
      <c r="G150" s="75">
        <f t="shared" si="13"/>
        <v>0.63672541216600598</v>
      </c>
      <c r="H150" s="75">
        <f>VLOOKUP($A150,'Data Vlaue (Cr)'!$C:$FB,99)</f>
        <v>5635</v>
      </c>
      <c r="I150" s="75">
        <f>VLOOKUP($A150,'Data Vlaue (Cr)'!$C:$FB,100)</f>
        <v>5605</v>
      </c>
      <c r="J150" s="75">
        <f t="shared" si="14"/>
        <v>30</v>
      </c>
      <c r="K150" s="75">
        <f t="shared" si="15"/>
        <v>0.53238686779059452</v>
      </c>
      <c r="L150" s="75">
        <f>VLOOKUP($A150,'Data Vlaue (Cr)'!$C:$FB,67)</f>
        <v>5775</v>
      </c>
      <c r="M150" s="75">
        <f>VLOOKUP($A150,'Data Vlaue (Cr)'!$C:$FB,68)</f>
        <v>6743</v>
      </c>
      <c r="N150" s="75">
        <f t="shared" si="16"/>
        <v>-968</v>
      </c>
      <c r="O150" s="75">
        <f t="shared" si="17"/>
        <v>-16.761904761904763</v>
      </c>
      <c r="P150" s="75">
        <f>VLOOKUP($A150,'Data Vlaue (Cr)'!$C:$FB,119)</f>
        <v>0.82</v>
      </c>
      <c r="Q150" s="75">
        <f>VLOOKUP($A150,'Data Vlaue (Cr)'!$C:$FB,122)*100</f>
        <v>-1.2</v>
      </c>
      <c r="R150" s="75">
        <f>VLOOKUP($A150,'Data Vlaue (Cr)'!$C:$FB,125)</f>
        <v>0.54</v>
      </c>
      <c r="S150" s="75">
        <f>VLOOKUP($A150,'Data Vlaue (Cr)'!$C:$FB,128)*100</f>
        <v>10.199999999999999</v>
      </c>
    </row>
    <row r="151" spans="1:19" x14ac:dyDescent="0.25">
      <c r="A151" s="96" t="str">
        <f>'Data Vlaue (Cr)'!C142</f>
        <v>NAUKRI</v>
      </c>
      <c r="B151" s="75">
        <f>VLOOKUP($A151,'Data Vlaue (Cr)'!$C:$FB,2)</f>
        <v>375</v>
      </c>
      <c r="C151" s="75">
        <f>VLOOKUP($A151,'Data Vlaue (Cr)'!$C:$FB,8)</f>
        <v>1018.05</v>
      </c>
      <c r="D151" s="75">
        <f>VLOOKUP($A151,'Data Vlaue (Cr)'!$C:$FB,4)</f>
        <v>1021.1</v>
      </c>
      <c r="E151" s="75">
        <f>VLOOKUP($A151,'Data Vlaue (Cr)'!$C:$FB,5)</f>
        <v>1053.0999999999999</v>
      </c>
      <c r="F151" s="75">
        <f t="shared" si="12"/>
        <v>3.0500000000000682</v>
      </c>
      <c r="G151" s="75">
        <f t="shared" si="13"/>
        <v>-3.1338752325922909</v>
      </c>
      <c r="H151" s="75">
        <f>VLOOKUP($A151,'Data Vlaue (Cr)'!$C:$FB,99)</f>
        <v>1634</v>
      </c>
      <c r="I151" s="75">
        <f>VLOOKUP($A151,'Data Vlaue (Cr)'!$C:$FB,100)</f>
        <v>1543</v>
      </c>
      <c r="J151" s="75">
        <f t="shared" si="14"/>
        <v>91</v>
      </c>
      <c r="K151" s="75">
        <f t="shared" si="15"/>
        <v>5.5691554467564259</v>
      </c>
      <c r="L151" s="75">
        <f>VLOOKUP($A151,'Data Vlaue (Cr)'!$C:$FB,67)</f>
        <v>1892</v>
      </c>
      <c r="M151" s="75">
        <f>VLOOKUP($A151,'Data Vlaue (Cr)'!$C:$FB,68)</f>
        <v>859</v>
      </c>
      <c r="N151" s="75">
        <f t="shared" si="16"/>
        <v>1033</v>
      </c>
      <c r="O151" s="75">
        <f t="shared" si="17"/>
        <v>54.598308668076115</v>
      </c>
      <c r="P151" s="75">
        <f>VLOOKUP($A151,'Data Vlaue (Cr)'!$C:$FB,119)</f>
        <v>0.54</v>
      </c>
      <c r="Q151" s="75">
        <f>VLOOKUP($A151,'Data Vlaue (Cr)'!$C:$FB,122)*100</f>
        <v>12.5</v>
      </c>
      <c r="R151" s="75">
        <f>VLOOKUP($A151,'Data Vlaue (Cr)'!$C:$FB,125)</f>
        <v>0.63</v>
      </c>
      <c r="S151" s="75">
        <f>VLOOKUP($A151,'Data Vlaue (Cr)'!$C:$FB,128)*100</f>
        <v>6.78</v>
      </c>
    </row>
    <row r="152" spans="1:19" x14ac:dyDescent="0.25">
      <c r="A152" s="96" t="str">
        <f>'Data Vlaue (Cr)'!C143</f>
        <v>NBCC</v>
      </c>
      <c r="B152" s="75">
        <f>VLOOKUP($A152,'Data Vlaue (Cr)'!$C:$FB,2)</f>
        <v>6500</v>
      </c>
      <c r="C152" s="75">
        <f>VLOOKUP($A152,'Data Vlaue (Cr)'!$C:$FB,8)</f>
        <v>93.31</v>
      </c>
      <c r="D152" s="75">
        <f>VLOOKUP($A152,'Data Vlaue (Cr)'!$C:$FB,4)</f>
        <v>93.4</v>
      </c>
      <c r="E152" s="75">
        <f>VLOOKUP($A152,'Data Vlaue (Cr)'!$C:$FB,5)</f>
        <v>94.46</v>
      </c>
      <c r="F152" s="75">
        <f t="shared" si="12"/>
        <v>9.0000000000003411E-2</v>
      </c>
      <c r="G152" s="75">
        <f t="shared" si="13"/>
        <v>-1.1349036402569466</v>
      </c>
      <c r="H152" s="75">
        <f>VLOOKUP($A152,'Data Vlaue (Cr)'!$C:$FB,99)</f>
        <v>1103</v>
      </c>
      <c r="I152" s="75">
        <f>VLOOKUP($A152,'Data Vlaue (Cr)'!$C:$FB,100)</f>
        <v>1079</v>
      </c>
      <c r="J152" s="75">
        <f t="shared" si="14"/>
        <v>24</v>
      </c>
      <c r="K152" s="75">
        <f t="shared" si="15"/>
        <v>2.1758839528558478</v>
      </c>
      <c r="L152" s="75">
        <f>VLOOKUP($A152,'Data Vlaue (Cr)'!$C:$FB,67)</f>
        <v>685</v>
      </c>
      <c r="M152" s="75">
        <f>VLOOKUP($A152,'Data Vlaue (Cr)'!$C:$FB,68)</f>
        <v>301</v>
      </c>
      <c r="N152" s="75">
        <f t="shared" si="16"/>
        <v>384</v>
      </c>
      <c r="O152" s="75">
        <f t="shared" si="17"/>
        <v>56.058394160583944</v>
      </c>
      <c r="P152" s="75">
        <f>VLOOKUP($A152,'Data Vlaue (Cr)'!$C:$FB,119)</f>
        <v>0.61</v>
      </c>
      <c r="Q152" s="75">
        <f>VLOOKUP($A152,'Data Vlaue (Cr)'!$C:$FB,122)*100</f>
        <v>-4.6899999999999995</v>
      </c>
      <c r="R152" s="75">
        <f>VLOOKUP($A152,'Data Vlaue (Cr)'!$C:$FB,125)</f>
        <v>0.32</v>
      </c>
      <c r="S152" s="75">
        <f>VLOOKUP($A152,'Data Vlaue (Cr)'!$C:$FB,128)*100</f>
        <v>-8.57</v>
      </c>
    </row>
    <row r="153" spans="1:19" x14ac:dyDescent="0.25">
      <c r="A153" s="96" t="str">
        <f>'Data Vlaue (Cr)'!C144</f>
        <v>NESTLEIND</v>
      </c>
      <c r="B153" s="75">
        <f>VLOOKUP($A153,'Data Vlaue (Cr)'!$C:$FB,2)</f>
        <v>500</v>
      </c>
      <c r="C153" s="75">
        <f>VLOOKUP($A153,'Data Vlaue (Cr)'!$C:$FB,8)</f>
        <v>1410.5</v>
      </c>
      <c r="D153" s="75">
        <f>VLOOKUP($A153,'Data Vlaue (Cr)'!$C:$FB,4)</f>
        <v>1408.6</v>
      </c>
      <c r="E153" s="75">
        <f>VLOOKUP($A153,'Data Vlaue (Cr)'!$C:$FB,5)</f>
        <v>1394.1</v>
      </c>
      <c r="F153" s="75">
        <f t="shared" si="12"/>
        <v>-1.9000000000000909</v>
      </c>
      <c r="G153" s="75">
        <f t="shared" si="13"/>
        <v>1.0293908845662361</v>
      </c>
      <c r="H153" s="75">
        <f>VLOOKUP($A153,'Data Vlaue (Cr)'!$C:$FB,99)</f>
        <v>5005</v>
      </c>
      <c r="I153" s="75">
        <f>VLOOKUP($A153,'Data Vlaue (Cr)'!$C:$FB,100)</f>
        <v>5339</v>
      </c>
      <c r="J153" s="75">
        <f t="shared" si="14"/>
        <v>-334</v>
      </c>
      <c r="K153" s="75">
        <f t="shared" si="15"/>
        <v>-6.6733266733266738</v>
      </c>
      <c r="L153" s="75">
        <f>VLOOKUP($A153,'Data Vlaue (Cr)'!$C:$FB,67)</f>
        <v>5812</v>
      </c>
      <c r="M153" s="75">
        <f>VLOOKUP($A153,'Data Vlaue (Cr)'!$C:$FB,68)</f>
        <v>18547</v>
      </c>
      <c r="N153" s="75">
        <f t="shared" si="16"/>
        <v>-12735</v>
      </c>
      <c r="O153" s="75">
        <f t="shared" si="17"/>
        <v>-219.11562284927734</v>
      </c>
      <c r="P153" s="75">
        <f>VLOOKUP($A153,'Data Vlaue (Cr)'!$C:$FB,119)</f>
        <v>0.69</v>
      </c>
      <c r="Q153" s="75">
        <f>VLOOKUP($A153,'Data Vlaue (Cr)'!$C:$FB,122)*100</f>
        <v>9.5200000000000014</v>
      </c>
      <c r="R153" s="75">
        <f>VLOOKUP($A153,'Data Vlaue (Cr)'!$C:$FB,125)</f>
        <v>0.53</v>
      </c>
      <c r="S153" s="75">
        <f>VLOOKUP($A153,'Data Vlaue (Cr)'!$C:$FB,128)*100</f>
        <v>26.19</v>
      </c>
    </row>
    <row r="154" spans="1:19" x14ac:dyDescent="0.25">
      <c r="A154" s="96" t="str">
        <f>'Data Vlaue (Cr)'!C145</f>
        <v>NHPC</v>
      </c>
      <c r="B154" s="75">
        <f>VLOOKUP($A154,'Data Vlaue (Cr)'!$C:$FB,2)</f>
        <v>6400</v>
      </c>
      <c r="C154" s="75">
        <f>VLOOKUP($A154,'Data Vlaue (Cr)'!$C:$FB,8)</f>
        <v>81.459999999999994</v>
      </c>
      <c r="D154" s="75">
        <f>VLOOKUP($A154,'Data Vlaue (Cr)'!$C:$FB,4)</f>
        <v>81.38</v>
      </c>
      <c r="E154" s="75">
        <f>VLOOKUP($A154,'Data Vlaue (Cr)'!$C:$FB,5)</f>
        <v>82.81</v>
      </c>
      <c r="F154" s="75">
        <f t="shared" si="12"/>
        <v>-7.9999999999998295E-2</v>
      </c>
      <c r="G154" s="75">
        <f t="shared" si="13"/>
        <v>-1.7571884984025645</v>
      </c>
      <c r="H154" s="75">
        <f>VLOOKUP($A154,'Data Vlaue (Cr)'!$C:$FB,99)</f>
        <v>1283</v>
      </c>
      <c r="I154" s="75">
        <f>VLOOKUP($A154,'Data Vlaue (Cr)'!$C:$FB,100)</f>
        <v>1286</v>
      </c>
      <c r="J154" s="75">
        <f t="shared" si="14"/>
        <v>-3</v>
      </c>
      <c r="K154" s="75">
        <f t="shared" si="15"/>
        <v>-0.23382696804364772</v>
      </c>
      <c r="L154" s="75">
        <f>VLOOKUP($A154,'Data Vlaue (Cr)'!$C:$FB,67)</f>
        <v>1257</v>
      </c>
      <c r="M154" s="75">
        <f>VLOOKUP($A154,'Data Vlaue (Cr)'!$C:$FB,68)</f>
        <v>488</v>
      </c>
      <c r="N154" s="75">
        <f t="shared" si="16"/>
        <v>769</v>
      </c>
      <c r="O154" s="75">
        <f t="shared" si="17"/>
        <v>61.177406523468584</v>
      </c>
      <c r="P154" s="75">
        <f>VLOOKUP($A154,'Data Vlaue (Cr)'!$C:$FB,119)</f>
        <v>0.82</v>
      </c>
      <c r="Q154" s="75">
        <f>VLOOKUP($A154,'Data Vlaue (Cr)'!$C:$FB,122)*100</f>
        <v>0</v>
      </c>
      <c r="R154" s="75">
        <f>VLOOKUP($A154,'Data Vlaue (Cr)'!$C:$FB,125)</f>
        <v>0.73</v>
      </c>
      <c r="S154" s="75">
        <f>VLOOKUP($A154,'Data Vlaue (Cr)'!$C:$FB,128)*100</f>
        <v>58.699999999999996</v>
      </c>
    </row>
    <row r="155" spans="1:19" x14ac:dyDescent="0.25">
      <c r="A155" s="96" t="str">
        <f>'Data Vlaue (Cr)'!C146</f>
        <v>NIFTY</v>
      </c>
      <c r="B155" s="75">
        <f>VLOOKUP($A155,'Data Vlaue (Cr)'!$C:$FB,2)</f>
        <v>65</v>
      </c>
      <c r="C155" s="75">
        <f>VLOOKUP($A155,'Data Vlaue (Cr)'!$C:$FB,8)</f>
        <v>24173.05</v>
      </c>
      <c r="D155" s="75">
        <f>VLOOKUP($A155,'Data Vlaue (Cr)'!$C:$FB,4)</f>
        <v>24163</v>
      </c>
      <c r="E155" s="75">
        <f>VLOOKUP($A155,'Data Vlaue (Cr)'!$C:$FB,5)</f>
        <v>24381.200000000001</v>
      </c>
      <c r="F155" s="75">
        <f t="shared" si="12"/>
        <v>-10.049999999999272</v>
      </c>
      <c r="G155" s="75">
        <f t="shared" si="13"/>
        <v>-0.90303356371311816</v>
      </c>
      <c r="H155" s="75">
        <f>VLOOKUP($A155,'Data Vlaue (Cr)'!$C:$FB,99)</f>
        <v>1105967</v>
      </c>
      <c r="I155" s="75">
        <f>VLOOKUP($A155,'Data Vlaue (Cr)'!$C:$FB,100)</f>
        <v>959779</v>
      </c>
      <c r="J155" s="75">
        <f t="shared" si="14"/>
        <v>146188</v>
      </c>
      <c r="K155" s="75">
        <f t="shared" si="15"/>
        <v>13.218115911234241</v>
      </c>
      <c r="L155" s="75">
        <f>VLOOKUP($A155,'Data Vlaue (Cr)'!$C:$FB,67)</f>
        <v>5998889</v>
      </c>
      <c r="M155" s="75">
        <f>VLOOKUP($A155,'Data Vlaue (Cr)'!$C:$FB,68)</f>
        <v>5453465</v>
      </c>
      <c r="N155" s="75">
        <f t="shared" si="16"/>
        <v>545424</v>
      </c>
      <c r="O155" s="75">
        <f t="shared" si="17"/>
        <v>9.0920835508041566</v>
      </c>
      <c r="P155" s="75">
        <f>VLOOKUP($A155,'Data Vlaue (Cr)'!$C:$FB,119)</f>
        <v>0.92</v>
      </c>
      <c r="Q155" s="75">
        <f>VLOOKUP($A155,'Data Vlaue (Cr)'!$C:$FB,122)*100</f>
        <v>-9.8000000000000007</v>
      </c>
      <c r="R155" s="75">
        <f>VLOOKUP($A155,'Data Vlaue (Cr)'!$C:$FB,125)</f>
        <v>0.88</v>
      </c>
      <c r="S155" s="75">
        <f>VLOOKUP($A155,'Data Vlaue (Cr)'!$C:$FB,128)*100</f>
        <v>-14.56</v>
      </c>
    </row>
    <row r="156" spans="1:19" x14ac:dyDescent="0.25">
      <c r="A156" s="96" t="str">
        <f>'Data Vlaue (Cr)'!C147</f>
        <v>NIFTYNXT50</v>
      </c>
      <c r="B156" s="75">
        <f>VLOOKUP($A156,'Data Vlaue (Cr)'!$C:$FB,2)</f>
        <v>25</v>
      </c>
      <c r="C156" s="75">
        <f>VLOOKUP($A156,'Data Vlaue (Cr)'!$C:$FB,8)</f>
        <v>70410.350000000006</v>
      </c>
      <c r="D156" s="75">
        <f>VLOOKUP($A156,'Data Vlaue (Cr)'!$C:$FB,4)</f>
        <v>70376</v>
      </c>
      <c r="E156" s="75">
        <f>VLOOKUP($A156,'Data Vlaue (Cr)'!$C:$FB,5)</f>
        <v>71349.2</v>
      </c>
      <c r="F156" s="75">
        <f t="shared" si="12"/>
        <v>-34.350000000005821</v>
      </c>
      <c r="G156" s="75">
        <f t="shared" si="13"/>
        <v>-1.3828577924292331</v>
      </c>
      <c r="H156" s="75">
        <f>VLOOKUP($A156,'Data Vlaue (Cr)'!$C:$FB,99)</f>
        <v>362</v>
      </c>
      <c r="I156" s="75">
        <f>VLOOKUP($A156,'Data Vlaue (Cr)'!$C:$FB,100)</f>
        <v>358</v>
      </c>
      <c r="J156" s="75">
        <f t="shared" si="14"/>
        <v>4</v>
      </c>
      <c r="K156" s="75">
        <f t="shared" si="15"/>
        <v>1.1049723756906076</v>
      </c>
      <c r="L156" s="75">
        <f>VLOOKUP($A156,'Data Vlaue (Cr)'!$C:$FB,67)</f>
        <v>208</v>
      </c>
      <c r="M156" s="75">
        <f>VLOOKUP($A156,'Data Vlaue (Cr)'!$C:$FB,68)</f>
        <v>269</v>
      </c>
      <c r="N156" s="75">
        <f t="shared" si="16"/>
        <v>-61</v>
      </c>
      <c r="O156" s="75">
        <f t="shared" si="17"/>
        <v>-29.326923076923077</v>
      </c>
      <c r="P156" s="75">
        <f>VLOOKUP($A156,'Data Vlaue (Cr)'!$C:$FB,119)</f>
        <v>0.53</v>
      </c>
      <c r="Q156" s="75">
        <f>VLOOKUP($A156,'Data Vlaue (Cr)'!$C:$FB,122)*100</f>
        <v>-14.52</v>
      </c>
      <c r="R156" s="75">
        <f>VLOOKUP($A156,'Data Vlaue (Cr)'!$C:$FB,125)</f>
        <v>0.76</v>
      </c>
      <c r="S156" s="75">
        <f>VLOOKUP($A156,'Data Vlaue (Cr)'!$C:$FB,128)*100</f>
        <v>-7.32</v>
      </c>
    </row>
    <row r="157" spans="1:19" x14ac:dyDescent="0.25">
      <c r="A157" s="96" t="str">
        <f>'Data Vlaue (Cr)'!C148</f>
        <v>NMDC</v>
      </c>
      <c r="B157" s="75">
        <f>VLOOKUP($A157,'Data Vlaue (Cr)'!$C:$FB,2)</f>
        <v>6750</v>
      </c>
      <c r="C157" s="75">
        <f>VLOOKUP($A157,'Data Vlaue (Cr)'!$C:$FB,8)</f>
        <v>87.31</v>
      </c>
      <c r="D157" s="75">
        <f>VLOOKUP($A157,'Data Vlaue (Cr)'!$C:$FB,4)</f>
        <v>87.42</v>
      </c>
      <c r="E157" s="75">
        <f>VLOOKUP($A157,'Data Vlaue (Cr)'!$C:$FB,5)</f>
        <v>88.52</v>
      </c>
      <c r="F157" s="75">
        <f t="shared" si="12"/>
        <v>0.10999999999999943</v>
      </c>
      <c r="G157" s="75">
        <f t="shared" si="13"/>
        <v>-1.258293296728431</v>
      </c>
      <c r="H157" s="75">
        <f>VLOOKUP($A157,'Data Vlaue (Cr)'!$C:$FB,99)</f>
        <v>4047</v>
      </c>
      <c r="I157" s="75">
        <f>VLOOKUP($A157,'Data Vlaue (Cr)'!$C:$FB,100)</f>
        <v>3996</v>
      </c>
      <c r="J157" s="75">
        <f t="shared" si="14"/>
        <v>51</v>
      </c>
      <c r="K157" s="75">
        <f t="shared" si="15"/>
        <v>1.2601927353595257</v>
      </c>
      <c r="L157" s="75">
        <f>VLOOKUP($A157,'Data Vlaue (Cr)'!$C:$FB,67)</f>
        <v>1679</v>
      </c>
      <c r="M157" s="75">
        <f>VLOOKUP($A157,'Data Vlaue (Cr)'!$C:$FB,68)</f>
        <v>1417</v>
      </c>
      <c r="N157" s="75">
        <f t="shared" si="16"/>
        <v>262</v>
      </c>
      <c r="O157" s="75">
        <f t="shared" si="17"/>
        <v>15.604526503871352</v>
      </c>
      <c r="P157" s="75">
        <f>VLOOKUP($A157,'Data Vlaue (Cr)'!$C:$FB,119)</f>
        <v>0.6</v>
      </c>
      <c r="Q157" s="75">
        <f>VLOOKUP($A157,'Data Vlaue (Cr)'!$C:$FB,122)*100</f>
        <v>0</v>
      </c>
      <c r="R157" s="75">
        <f>VLOOKUP($A157,'Data Vlaue (Cr)'!$C:$FB,125)</f>
        <v>0.35</v>
      </c>
      <c r="S157" s="75">
        <f>VLOOKUP($A157,'Data Vlaue (Cr)'!$C:$FB,128)*100</f>
        <v>-7.89</v>
      </c>
    </row>
    <row r="158" spans="1:19" x14ac:dyDescent="0.25">
      <c r="A158" s="96" t="str">
        <f>'Data Vlaue (Cr)'!C149</f>
        <v>NTPC</v>
      </c>
      <c r="B158" s="75">
        <f>VLOOKUP($A158,'Data Vlaue (Cr)'!$C:$FB,2)</f>
        <v>1500</v>
      </c>
      <c r="C158" s="75">
        <f>VLOOKUP($A158,'Data Vlaue (Cr)'!$C:$FB,8)</f>
        <v>402.25</v>
      </c>
      <c r="D158" s="75">
        <f>VLOOKUP($A158,'Data Vlaue (Cr)'!$C:$FB,4)</f>
        <v>401.75</v>
      </c>
      <c r="E158" s="75">
        <f>VLOOKUP($A158,'Data Vlaue (Cr)'!$C:$FB,5)</f>
        <v>404.9</v>
      </c>
      <c r="F158" s="75">
        <f t="shared" si="12"/>
        <v>-0.5</v>
      </c>
      <c r="G158" s="75">
        <f t="shared" si="13"/>
        <v>-0.78406969508400171</v>
      </c>
      <c r="H158" s="75">
        <f>VLOOKUP($A158,'Data Vlaue (Cr)'!$C:$FB,99)</f>
        <v>9170</v>
      </c>
      <c r="I158" s="75">
        <f>VLOOKUP($A158,'Data Vlaue (Cr)'!$C:$FB,100)</f>
        <v>9130</v>
      </c>
      <c r="J158" s="75">
        <f t="shared" si="14"/>
        <v>40</v>
      </c>
      <c r="K158" s="75">
        <f t="shared" si="15"/>
        <v>0.43620501635768816</v>
      </c>
      <c r="L158" s="75">
        <f>VLOOKUP($A158,'Data Vlaue (Cr)'!$C:$FB,67)</f>
        <v>6606</v>
      </c>
      <c r="M158" s="75">
        <f>VLOOKUP($A158,'Data Vlaue (Cr)'!$C:$FB,68)</f>
        <v>10625</v>
      </c>
      <c r="N158" s="75">
        <f t="shared" si="16"/>
        <v>-4019</v>
      </c>
      <c r="O158" s="75">
        <f t="shared" si="17"/>
        <v>-60.838631547078414</v>
      </c>
      <c r="P158" s="75">
        <f>VLOOKUP($A158,'Data Vlaue (Cr)'!$C:$FB,119)</f>
        <v>0.56999999999999995</v>
      </c>
      <c r="Q158" s="75">
        <f>VLOOKUP($A158,'Data Vlaue (Cr)'!$C:$FB,122)*100</f>
        <v>-3.39</v>
      </c>
      <c r="R158" s="75">
        <f>VLOOKUP($A158,'Data Vlaue (Cr)'!$C:$FB,125)</f>
        <v>0.62</v>
      </c>
      <c r="S158" s="75">
        <f>VLOOKUP($A158,'Data Vlaue (Cr)'!$C:$FB,128)*100</f>
        <v>24</v>
      </c>
    </row>
    <row r="159" spans="1:19" x14ac:dyDescent="0.25">
      <c r="A159" s="96" t="str">
        <f>'Data Vlaue (Cr)'!C150</f>
        <v>NUVAMA</v>
      </c>
      <c r="B159" s="75">
        <f>VLOOKUP($A159,'Data Vlaue (Cr)'!$C:$FB,2)</f>
        <v>500</v>
      </c>
      <c r="C159" s="75">
        <f>VLOOKUP($A159,'Data Vlaue (Cr)'!$C:$FB,8)</f>
        <v>1376.7</v>
      </c>
      <c r="D159" s="75">
        <f>VLOOKUP($A159,'Data Vlaue (Cr)'!$C:$FB,4)</f>
        <v>1377.9</v>
      </c>
      <c r="E159" s="75">
        <f>VLOOKUP($A159,'Data Vlaue (Cr)'!$C:$FB,5)</f>
        <v>1375.5</v>
      </c>
      <c r="F159" s="75">
        <f t="shared" si="12"/>
        <v>1.2000000000000455</v>
      </c>
      <c r="G159" s="75">
        <f t="shared" si="13"/>
        <v>0.17417809710429571</v>
      </c>
      <c r="H159" s="75">
        <f>VLOOKUP($A159,'Data Vlaue (Cr)'!$C:$FB,99)</f>
        <v>569</v>
      </c>
      <c r="I159" s="75">
        <f>VLOOKUP($A159,'Data Vlaue (Cr)'!$C:$FB,100)</f>
        <v>564</v>
      </c>
      <c r="J159" s="75">
        <f t="shared" si="14"/>
        <v>5</v>
      </c>
      <c r="K159" s="75">
        <f t="shared" si="15"/>
        <v>0.87873462214411258</v>
      </c>
      <c r="L159" s="75">
        <f>VLOOKUP($A159,'Data Vlaue (Cr)'!$C:$FB,67)</f>
        <v>408</v>
      </c>
      <c r="M159" s="75">
        <f>VLOOKUP($A159,'Data Vlaue (Cr)'!$C:$FB,68)</f>
        <v>289</v>
      </c>
      <c r="N159" s="75">
        <f t="shared" si="16"/>
        <v>119</v>
      </c>
      <c r="O159" s="75">
        <f t="shared" si="17"/>
        <v>29.166666666666668</v>
      </c>
      <c r="P159" s="75">
        <f>VLOOKUP($A159,'Data Vlaue (Cr)'!$C:$FB,119)</f>
        <v>0.74</v>
      </c>
      <c r="Q159" s="75">
        <f>VLOOKUP($A159,'Data Vlaue (Cr)'!$C:$FB,122)*100</f>
        <v>0</v>
      </c>
      <c r="R159" s="75">
        <f>VLOOKUP($A159,'Data Vlaue (Cr)'!$C:$FB,125)</f>
        <v>0.8</v>
      </c>
      <c r="S159" s="75">
        <f>VLOOKUP($A159,'Data Vlaue (Cr)'!$C:$FB,128)*100</f>
        <v>33.33</v>
      </c>
    </row>
    <row r="160" spans="1:19" x14ac:dyDescent="0.25">
      <c r="A160" s="96" t="str">
        <f>'Data Vlaue (Cr)'!C151</f>
        <v>NYKAA</v>
      </c>
      <c r="B160" s="75">
        <f>VLOOKUP($A160,'Data Vlaue (Cr)'!$C:$FB,2)</f>
        <v>3125</v>
      </c>
      <c r="C160" s="75">
        <f>VLOOKUP($A160,'Data Vlaue (Cr)'!$C:$FB,8)</f>
        <v>261.85000000000002</v>
      </c>
      <c r="D160" s="75">
        <f>VLOOKUP($A160,'Data Vlaue (Cr)'!$C:$FB,4)</f>
        <v>261.62</v>
      </c>
      <c r="E160" s="75">
        <f>VLOOKUP($A160,'Data Vlaue (Cr)'!$C:$FB,5)</f>
        <v>260.88</v>
      </c>
      <c r="F160" s="75">
        <f t="shared" si="12"/>
        <v>-0.23000000000001819</v>
      </c>
      <c r="G160" s="75">
        <f t="shared" si="13"/>
        <v>0.28285299289045529</v>
      </c>
      <c r="H160" s="75">
        <f>VLOOKUP($A160,'Data Vlaue (Cr)'!$C:$FB,99)</f>
        <v>1815</v>
      </c>
      <c r="I160" s="75">
        <f>VLOOKUP($A160,'Data Vlaue (Cr)'!$C:$FB,100)</f>
        <v>1738</v>
      </c>
      <c r="J160" s="75">
        <f t="shared" si="14"/>
        <v>77</v>
      </c>
      <c r="K160" s="75">
        <f t="shared" si="15"/>
        <v>4.2424242424242431</v>
      </c>
      <c r="L160" s="75">
        <f>VLOOKUP($A160,'Data Vlaue (Cr)'!$C:$FB,67)</f>
        <v>1015</v>
      </c>
      <c r="M160" s="75">
        <f>VLOOKUP($A160,'Data Vlaue (Cr)'!$C:$FB,68)</f>
        <v>616</v>
      </c>
      <c r="N160" s="75">
        <f t="shared" si="16"/>
        <v>399</v>
      </c>
      <c r="O160" s="75">
        <f t="shared" si="17"/>
        <v>39.310344827586206</v>
      </c>
      <c r="P160" s="75">
        <f>VLOOKUP($A160,'Data Vlaue (Cr)'!$C:$FB,119)</f>
        <v>0.46</v>
      </c>
      <c r="Q160" s="75">
        <f>VLOOKUP($A160,'Data Vlaue (Cr)'!$C:$FB,122)*100</f>
        <v>2.2200000000000002</v>
      </c>
      <c r="R160" s="75">
        <f>VLOOKUP($A160,'Data Vlaue (Cr)'!$C:$FB,125)</f>
        <v>0.31</v>
      </c>
      <c r="S160" s="75">
        <f>VLOOKUP($A160,'Data Vlaue (Cr)'!$C:$FB,128)*100</f>
        <v>-36.730000000000004</v>
      </c>
    </row>
    <row r="161" spans="1:19" x14ac:dyDescent="0.25">
      <c r="A161" s="96" t="str">
        <f>'Data Vlaue (Cr)'!C152</f>
        <v>OBEROIRLTY</v>
      </c>
      <c r="B161" s="75">
        <f>VLOOKUP($A161,'Data Vlaue (Cr)'!$C:$FB,2)</f>
        <v>350</v>
      </c>
      <c r="C161" s="75">
        <f>VLOOKUP($A161,'Data Vlaue (Cr)'!$C:$FB,8)</f>
        <v>1707.7</v>
      </c>
      <c r="D161" s="75">
        <f>VLOOKUP($A161,'Data Vlaue (Cr)'!$C:$FB,4)</f>
        <v>1709.6</v>
      </c>
      <c r="E161" s="75">
        <f>VLOOKUP($A161,'Data Vlaue (Cr)'!$C:$FB,5)</f>
        <v>1733.8</v>
      </c>
      <c r="F161" s="75">
        <f t="shared" si="12"/>
        <v>1.8999999999998636</v>
      </c>
      <c r="G161" s="75">
        <f t="shared" si="13"/>
        <v>-1.4155357978474523</v>
      </c>
      <c r="H161" s="75">
        <f>VLOOKUP($A161,'Data Vlaue (Cr)'!$C:$FB,99)</f>
        <v>1936</v>
      </c>
      <c r="I161" s="75">
        <f>VLOOKUP($A161,'Data Vlaue (Cr)'!$C:$FB,100)</f>
        <v>2183</v>
      </c>
      <c r="J161" s="75">
        <f t="shared" si="14"/>
        <v>-247</v>
      </c>
      <c r="K161" s="75">
        <f t="shared" si="15"/>
        <v>-12.758264462809917</v>
      </c>
      <c r="L161" s="75">
        <f>VLOOKUP($A161,'Data Vlaue (Cr)'!$C:$FB,67)</f>
        <v>1256</v>
      </c>
      <c r="M161" s="75">
        <f>VLOOKUP($A161,'Data Vlaue (Cr)'!$C:$FB,68)</f>
        <v>477</v>
      </c>
      <c r="N161" s="75">
        <f t="shared" si="16"/>
        <v>779</v>
      </c>
      <c r="O161" s="75">
        <f t="shared" si="17"/>
        <v>62.022292993630565</v>
      </c>
      <c r="P161" s="75">
        <f>VLOOKUP($A161,'Data Vlaue (Cr)'!$C:$FB,119)</f>
        <v>0.61</v>
      </c>
      <c r="Q161" s="75">
        <f>VLOOKUP($A161,'Data Vlaue (Cr)'!$C:$FB,122)*100</f>
        <v>-1.6099999999999999</v>
      </c>
      <c r="R161" s="75">
        <f>VLOOKUP($A161,'Data Vlaue (Cr)'!$C:$FB,125)</f>
        <v>0.93</v>
      </c>
      <c r="S161" s="75">
        <f>VLOOKUP($A161,'Data Vlaue (Cr)'!$C:$FB,128)*100</f>
        <v>158.32999999999998</v>
      </c>
    </row>
    <row r="162" spans="1:19" x14ac:dyDescent="0.25">
      <c r="A162" s="96" t="str">
        <f>'Data Vlaue (Cr)'!C153</f>
        <v>OFSS</v>
      </c>
      <c r="B162" s="75">
        <f>VLOOKUP($A162,'Data Vlaue (Cr)'!$C:$FB,2)</f>
        <v>75</v>
      </c>
      <c r="C162" s="75">
        <f>VLOOKUP($A162,'Data Vlaue (Cr)'!$C:$FB,8)</f>
        <v>8791.5</v>
      </c>
      <c r="D162" s="75">
        <f>VLOOKUP($A162,'Data Vlaue (Cr)'!$C:$FB,4)</f>
        <v>8783</v>
      </c>
      <c r="E162" s="75">
        <f>VLOOKUP($A162,'Data Vlaue (Cr)'!$C:$FB,5)</f>
        <v>8160.5</v>
      </c>
      <c r="F162" s="75">
        <f t="shared" si="12"/>
        <v>-8.5</v>
      </c>
      <c r="G162" s="75">
        <f t="shared" si="13"/>
        <v>7.0875555049527499</v>
      </c>
      <c r="H162" s="75">
        <f>VLOOKUP($A162,'Data Vlaue (Cr)'!$C:$FB,99)</f>
        <v>3910</v>
      </c>
      <c r="I162" s="75">
        <f>VLOOKUP($A162,'Data Vlaue (Cr)'!$C:$FB,100)</f>
        <v>3421</v>
      </c>
      <c r="J162" s="75">
        <f t="shared" si="14"/>
        <v>489</v>
      </c>
      <c r="K162" s="75">
        <f t="shared" si="15"/>
        <v>12.506393861892583</v>
      </c>
      <c r="L162" s="75">
        <f>VLOOKUP($A162,'Data Vlaue (Cr)'!$C:$FB,67)</f>
        <v>31533</v>
      </c>
      <c r="M162" s="75">
        <f>VLOOKUP($A162,'Data Vlaue (Cr)'!$C:$FB,68)</f>
        <v>7476</v>
      </c>
      <c r="N162" s="75">
        <f t="shared" si="16"/>
        <v>24057</v>
      </c>
      <c r="O162" s="75">
        <f t="shared" si="17"/>
        <v>76.291504138521546</v>
      </c>
      <c r="P162" s="75">
        <f>VLOOKUP($A162,'Data Vlaue (Cr)'!$C:$FB,119)</f>
        <v>0.95</v>
      </c>
      <c r="Q162" s="75">
        <f>VLOOKUP($A162,'Data Vlaue (Cr)'!$C:$FB,122)*100</f>
        <v>11.76</v>
      </c>
      <c r="R162" s="75">
        <f>VLOOKUP($A162,'Data Vlaue (Cr)'!$C:$FB,125)</f>
        <v>0.37</v>
      </c>
      <c r="S162" s="75">
        <f>VLOOKUP($A162,'Data Vlaue (Cr)'!$C:$FB,128)*100</f>
        <v>-46.379999999999995</v>
      </c>
    </row>
    <row r="163" spans="1:19" x14ac:dyDescent="0.25">
      <c r="A163" s="96" t="str">
        <f>'Data Vlaue (Cr)'!C154</f>
        <v>OIL</v>
      </c>
      <c r="B163" s="75">
        <f>VLOOKUP($A163,'Data Vlaue (Cr)'!$C:$FB,2)</f>
        <v>1400</v>
      </c>
      <c r="C163" s="75">
        <f>VLOOKUP($A163,'Data Vlaue (Cr)'!$C:$FB,8)</f>
        <v>473.9</v>
      </c>
      <c r="D163" s="75">
        <f>VLOOKUP($A163,'Data Vlaue (Cr)'!$C:$FB,4)</f>
        <v>474.3</v>
      </c>
      <c r="E163" s="75">
        <f>VLOOKUP($A163,'Data Vlaue (Cr)'!$C:$FB,5)</f>
        <v>471</v>
      </c>
      <c r="F163" s="75">
        <f t="shared" si="12"/>
        <v>0.40000000000003411</v>
      </c>
      <c r="G163" s="75">
        <f t="shared" si="13"/>
        <v>0.69576217583807953</v>
      </c>
      <c r="H163" s="75">
        <f>VLOOKUP($A163,'Data Vlaue (Cr)'!$C:$FB,99)</f>
        <v>1660</v>
      </c>
      <c r="I163" s="75">
        <f>VLOOKUP($A163,'Data Vlaue (Cr)'!$C:$FB,100)</f>
        <v>1677</v>
      </c>
      <c r="J163" s="75">
        <f t="shared" si="14"/>
        <v>-17</v>
      </c>
      <c r="K163" s="75">
        <f t="shared" si="15"/>
        <v>-1.0240963855421688</v>
      </c>
      <c r="L163" s="75">
        <f>VLOOKUP($A163,'Data Vlaue (Cr)'!$C:$FB,67)</f>
        <v>2041</v>
      </c>
      <c r="M163" s="75">
        <f>VLOOKUP($A163,'Data Vlaue (Cr)'!$C:$FB,68)</f>
        <v>811</v>
      </c>
      <c r="N163" s="75">
        <f t="shared" si="16"/>
        <v>1230</v>
      </c>
      <c r="O163" s="75">
        <f t="shared" si="17"/>
        <v>60.264576188143067</v>
      </c>
      <c r="P163" s="75">
        <f>VLOOKUP($A163,'Data Vlaue (Cr)'!$C:$FB,119)</f>
        <v>0.47</v>
      </c>
      <c r="Q163" s="75">
        <f>VLOOKUP($A163,'Data Vlaue (Cr)'!$C:$FB,122)*100</f>
        <v>6.8199999999999994</v>
      </c>
      <c r="R163" s="75">
        <f>VLOOKUP($A163,'Data Vlaue (Cr)'!$C:$FB,125)</f>
        <v>0.21</v>
      </c>
      <c r="S163" s="75">
        <f>VLOOKUP($A163,'Data Vlaue (Cr)'!$C:$FB,128)*100</f>
        <v>-22.220000000000002</v>
      </c>
    </row>
    <row r="164" spans="1:19" x14ac:dyDescent="0.25">
      <c r="A164" s="96" t="str">
        <f>'Data Vlaue (Cr)'!C155</f>
        <v>ONGC</v>
      </c>
      <c r="B164" s="75">
        <f>VLOOKUP($A164,'Data Vlaue (Cr)'!$C:$FB,2)</f>
        <v>2250</v>
      </c>
      <c r="C164" s="75">
        <f>VLOOKUP($A164,'Data Vlaue (Cr)'!$C:$FB,8)</f>
        <v>286.25</v>
      </c>
      <c r="D164" s="75">
        <f>VLOOKUP($A164,'Data Vlaue (Cr)'!$C:$FB,4)</f>
        <v>286.64999999999998</v>
      </c>
      <c r="E164" s="75">
        <f>VLOOKUP($A164,'Data Vlaue (Cr)'!$C:$FB,5)</f>
        <v>284.5</v>
      </c>
      <c r="F164" s="75">
        <f t="shared" si="12"/>
        <v>0.39999999999997726</v>
      </c>
      <c r="G164" s="75">
        <f t="shared" si="13"/>
        <v>0.75004360718645646</v>
      </c>
      <c r="H164" s="75">
        <f>VLOOKUP($A164,'Data Vlaue (Cr)'!$C:$FB,99)</f>
        <v>6798</v>
      </c>
      <c r="I164" s="75">
        <f>VLOOKUP($A164,'Data Vlaue (Cr)'!$C:$FB,100)</f>
        <v>6704</v>
      </c>
      <c r="J164" s="75">
        <f t="shared" si="14"/>
        <v>94</v>
      </c>
      <c r="K164" s="75">
        <f t="shared" si="15"/>
        <v>1.3827596351868197</v>
      </c>
      <c r="L164" s="75">
        <f>VLOOKUP($A164,'Data Vlaue (Cr)'!$C:$FB,67)</f>
        <v>6925</v>
      </c>
      <c r="M164" s="75">
        <f>VLOOKUP($A164,'Data Vlaue (Cr)'!$C:$FB,68)</f>
        <v>2569</v>
      </c>
      <c r="N164" s="75">
        <f t="shared" si="16"/>
        <v>4356</v>
      </c>
      <c r="O164" s="75">
        <f t="shared" si="17"/>
        <v>62.902527075812273</v>
      </c>
      <c r="P164" s="75">
        <f>VLOOKUP($A164,'Data Vlaue (Cr)'!$C:$FB,119)</f>
        <v>0.39</v>
      </c>
      <c r="Q164" s="75">
        <f>VLOOKUP($A164,'Data Vlaue (Cr)'!$C:$FB,122)*100</f>
        <v>-2.5</v>
      </c>
      <c r="R164" s="75">
        <f>VLOOKUP($A164,'Data Vlaue (Cr)'!$C:$FB,125)</f>
        <v>0.33</v>
      </c>
      <c r="S164" s="75">
        <f>VLOOKUP($A164,'Data Vlaue (Cr)'!$C:$FB,128)*100</f>
        <v>-17.5</v>
      </c>
    </row>
    <row r="165" spans="1:19" x14ac:dyDescent="0.25">
      <c r="A165" s="96" t="str">
        <f>'Data Vlaue (Cr)'!C156</f>
        <v>PAGEIND</v>
      </c>
      <c r="B165" s="75">
        <f>VLOOKUP($A165,'Data Vlaue (Cr)'!$C:$FB,2)</f>
        <v>15</v>
      </c>
      <c r="C165" s="75">
        <f>VLOOKUP($A165,'Data Vlaue (Cr)'!$C:$FB,8)</f>
        <v>37965</v>
      </c>
      <c r="D165" s="75">
        <f>VLOOKUP($A165,'Data Vlaue (Cr)'!$C:$FB,4)</f>
        <v>37995</v>
      </c>
      <c r="E165" s="75">
        <f>VLOOKUP($A165,'Data Vlaue (Cr)'!$C:$FB,5)</f>
        <v>37985</v>
      </c>
      <c r="F165" s="75">
        <f t="shared" si="12"/>
        <v>30</v>
      </c>
      <c r="G165" s="75">
        <f t="shared" si="13"/>
        <v>2.631925253322806E-2</v>
      </c>
      <c r="H165" s="75">
        <f>VLOOKUP($A165,'Data Vlaue (Cr)'!$C:$FB,99)</f>
        <v>1863</v>
      </c>
      <c r="I165" s="75">
        <f>VLOOKUP($A165,'Data Vlaue (Cr)'!$C:$FB,100)</f>
        <v>1895</v>
      </c>
      <c r="J165" s="75">
        <f t="shared" si="14"/>
        <v>-32</v>
      </c>
      <c r="K165" s="75">
        <f t="shared" si="15"/>
        <v>-1.7176596886741815</v>
      </c>
      <c r="L165" s="75">
        <f>VLOOKUP($A165,'Data Vlaue (Cr)'!$C:$FB,67)</f>
        <v>1599</v>
      </c>
      <c r="M165" s="75">
        <f>VLOOKUP($A165,'Data Vlaue (Cr)'!$C:$FB,68)</f>
        <v>480</v>
      </c>
      <c r="N165" s="75">
        <f t="shared" si="16"/>
        <v>1119</v>
      </c>
      <c r="O165" s="75">
        <f t="shared" si="17"/>
        <v>69.981238273921193</v>
      </c>
      <c r="P165" s="75">
        <f>VLOOKUP($A165,'Data Vlaue (Cr)'!$C:$FB,119)</f>
        <v>0.94</v>
      </c>
      <c r="Q165" s="75">
        <f>VLOOKUP($A165,'Data Vlaue (Cr)'!$C:$FB,122)*100</f>
        <v>-12.959999999999999</v>
      </c>
      <c r="R165" s="75">
        <f>VLOOKUP($A165,'Data Vlaue (Cr)'!$C:$FB,125)</f>
        <v>2.13</v>
      </c>
      <c r="S165" s="75">
        <f>VLOOKUP($A165,'Data Vlaue (Cr)'!$C:$FB,128)*100</f>
        <v>42.95</v>
      </c>
    </row>
    <row r="166" spans="1:19" x14ac:dyDescent="0.25">
      <c r="A166" s="96" t="str">
        <f>'Data Vlaue (Cr)'!C157</f>
        <v>PATANJALI</v>
      </c>
      <c r="B166" s="75">
        <f>VLOOKUP($A166,'Data Vlaue (Cr)'!$C:$FB,2)</f>
        <v>900</v>
      </c>
      <c r="C166" s="75">
        <f>VLOOKUP($A166,'Data Vlaue (Cr)'!$C:$FB,8)</f>
        <v>469.25</v>
      </c>
      <c r="D166" s="75">
        <f>VLOOKUP($A166,'Data Vlaue (Cr)'!$C:$FB,4)</f>
        <v>468.1</v>
      </c>
      <c r="E166" s="75">
        <f>VLOOKUP($A166,'Data Vlaue (Cr)'!$C:$FB,5)</f>
        <v>470.9</v>
      </c>
      <c r="F166" s="75">
        <f t="shared" si="12"/>
        <v>-1.1499999999999773</v>
      </c>
      <c r="G166" s="75">
        <f t="shared" si="13"/>
        <v>-0.5981627857295353</v>
      </c>
      <c r="H166" s="75">
        <f>VLOOKUP($A166,'Data Vlaue (Cr)'!$C:$FB,99)</f>
        <v>2139</v>
      </c>
      <c r="I166" s="75">
        <f>VLOOKUP($A166,'Data Vlaue (Cr)'!$C:$FB,100)</f>
        <v>2189</v>
      </c>
      <c r="J166" s="75">
        <f t="shared" si="14"/>
        <v>-50</v>
      </c>
      <c r="K166" s="75">
        <f t="shared" si="15"/>
        <v>-2.3375409069658719</v>
      </c>
      <c r="L166" s="75">
        <f>VLOOKUP($A166,'Data Vlaue (Cr)'!$C:$FB,67)</f>
        <v>1086</v>
      </c>
      <c r="M166" s="75">
        <f>VLOOKUP($A166,'Data Vlaue (Cr)'!$C:$FB,68)</f>
        <v>891</v>
      </c>
      <c r="N166" s="75">
        <f t="shared" si="16"/>
        <v>195</v>
      </c>
      <c r="O166" s="75">
        <f t="shared" si="17"/>
        <v>17.955801104972377</v>
      </c>
      <c r="P166" s="75">
        <f>VLOOKUP($A166,'Data Vlaue (Cr)'!$C:$FB,119)</f>
        <v>0.68</v>
      </c>
      <c r="Q166" s="75">
        <f>VLOOKUP($A166,'Data Vlaue (Cr)'!$C:$FB,122)*100</f>
        <v>19.3</v>
      </c>
      <c r="R166" s="75">
        <f>VLOOKUP($A166,'Data Vlaue (Cr)'!$C:$FB,125)</f>
        <v>0.18</v>
      </c>
      <c r="S166" s="75">
        <f>VLOOKUP($A166,'Data Vlaue (Cr)'!$C:$FB,128)*100</f>
        <v>-21.740000000000002</v>
      </c>
    </row>
    <row r="167" spans="1:19" x14ac:dyDescent="0.25">
      <c r="A167" s="96" t="str">
        <f>'Data Vlaue (Cr)'!C158</f>
        <v>PAYTM</v>
      </c>
      <c r="B167" s="75">
        <f>VLOOKUP($A167,'Data Vlaue (Cr)'!$C:$FB,2)</f>
        <v>725</v>
      </c>
      <c r="C167" s="75">
        <f>VLOOKUP($A167,'Data Vlaue (Cr)'!$C:$FB,8)</f>
        <v>1159.55</v>
      </c>
      <c r="D167" s="75">
        <f>VLOOKUP($A167,'Data Vlaue (Cr)'!$C:$FB,4)</f>
        <v>1157.05</v>
      </c>
      <c r="E167" s="75">
        <f>VLOOKUP($A167,'Data Vlaue (Cr)'!$C:$FB,5)</f>
        <v>1163.7</v>
      </c>
      <c r="F167" s="75">
        <f t="shared" si="12"/>
        <v>-2.5</v>
      </c>
      <c r="G167" s="75">
        <f t="shared" si="13"/>
        <v>-0.57473747893350258</v>
      </c>
      <c r="H167" s="75">
        <f>VLOOKUP($A167,'Data Vlaue (Cr)'!$C:$FB,99)</f>
        <v>3082</v>
      </c>
      <c r="I167" s="75">
        <f>VLOOKUP($A167,'Data Vlaue (Cr)'!$C:$FB,100)</f>
        <v>3182</v>
      </c>
      <c r="J167" s="75">
        <f t="shared" si="14"/>
        <v>-100</v>
      </c>
      <c r="K167" s="75">
        <f t="shared" si="15"/>
        <v>-3.2446463335496429</v>
      </c>
      <c r="L167" s="75">
        <f>VLOOKUP($A167,'Data Vlaue (Cr)'!$C:$FB,67)</f>
        <v>1988</v>
      </c>
      <c r="M167" s="75">
        <f>VLOOKUP($A167,'Data Vlaue (Cr)'!$C:$FB,68)</f>
        <v>1656</v>
      </c>
      <c r="N167" s="75">
        <f t="shared" si="16"/>
        <v>332</v>
      </c>
      <c r="O167" s="75">
        <f t="shared" si="17"/>
        <v>16.700201207243463</v>
      </c>
      <c r="P167" s="75">
        <f>VLOOKUP($A167,'Data Vlaue (Cr)'!$C:$FB,119)</f>
        <v>0.78</v>
      </c>
      <c r="Q167" s="75">
        <f>VLOOKUP($A167,'Data Vlaue (Cr)'!$C:$FB,122)*100</f>
        <v>-3.6999999999999997</v>
      </c>
      <c r="R167" s="75">
        <f>VLOOKUP($A167,'Data Vlaue (Cr)'!$C:$FB,125)</f>
        <v>0.62</v>
      </c>
      <c r="S167" s="75">
        <f>VLOOKUP($A167,'Data Vlaue (Cr)'!$C:$FB,128)*100</f>
        <v>-47.46</v>
      </c>
    </row>
    <row r="168" spans="1:19" x14ac:dyDescent="0.25">
      <c r="A168" s="96" t="str">
        <f>'Data Vlaue (Cr)'!C159</f>
        <v>PERSISTENT</v>
      </c>
      <c r="B168" s="75">
        <f>VLOOKUP($A168,'Data Vlaue (Cr)'!$C:$FB,2)</f>
        <v>100</v>
      </c>
      <c r="C168" s="75">
        <f>VLOOKUP($A168,'Data Vlaue (Cr)'!$C:$FB,8)</f>
        <v>5065.2</v>
      </c>
      <c r="D168" s="75">
        <f>VLOOKUP($A168,'Data Vlaue (Cr)'!$C:$FB,4)</f>
        <v>5068.8</v>
      </c>
      <c r="E168" s="75">
        <f>VLOOKUP($A168,'Data Vlaue (Cr)'!$C:$FB,5)</f>
        <v>5091.8</v>
      </c>
      <c r="F168" s="75">
        <f t="shared" si="12"/>
        <v>3.6000000000003638</v>
      </c>
      <c r="G168" s="75">
        <f t="shared" si="13"/>
        <v>-0.45375631313131309</v>
      </c>
      <c r="H168" s="75">
        <f>VLOOKUP($A168,'Data Vlaue (Cr)'!$C:$FB,99)</f>
        <v>4883</v>
      </c>
      <c r="I168" s="75">
        <f>VLOOKUP($A168,'Data Vlaue (Cr)'!$C:$FB,100)</f>
        <v>5391</v>
      </c>
      <c r="J168" s="75">
        <f t="shared" si="14"/>
        <v>-508</v>
      </c>
      <c r="K168" s="75">
        <f t="shared" si="15"/>
        <v>-10.403440507884497</v>
      </c>
      <c r="L168" s="75">
        <f>VLOOKUP($A168,'Data Vlaue (Cr)'!$C:$FB,67)</f>
        <v>6393</v>
      </c>
      <c r="M168" s="75">
        <f>VLOOKUP($A168,'Data Vlaue (Cr)'!$C:$FB,68)</f>
        <v>11231</v>
      </c>
      <c r="N168" s="75">
        <f t="shared" si="16"/>
        <v>-4838</v>
      </c>
      <c r="O168" s="75">
        <f t="shared" si="17"/>
        <v>-75.676521195057092</v>
      </c>
      <c r="P168" s="75">
        <f>VLOOKUP($A168,'Data Vlaue (Cr)'!$C:$FB,119)</f>
        <v>0.53</v>
      </c>
      <c r="Q168" s="75">
        <f>VLOOKUP($A168,'Data Vlaue (Cr)'!$C:$FB,122)*100</f>
        <v>3.92</v>
      </c>
      <c r="R168" s="75">
        <f>VLOOKUP($A168,'Data Vlaue (Cr)'!$C:$FB,125)</f>
        <v>0.47</v>
      </c>
      <c r="S168" s="75">
        <f>VLOOKUP($A168,'Data Vlaue (Cr)'!$C:$FB,128)*100</f>
        <v>-35.620000000000005</v>
      </c>
    </row>
    <row r="169" spans="1:19" x14ac:dyDescent="0.25">
      <c r="A169" s="96" t="str">
        <f>'Data Vlaue (Cr)'!C160</f>
        <v>PETRONET</v>
      </c>
      <c r="B169" s="75">
        <f>VLOOKUP($A169,'Data Vlaue (Cr)'!$C:$FB,2)</f>
        <v>1900</v>
      </c>
      <c r="C169" s="75">
        <f>VLOOKUP($A169,'Data Vlaue (Cr)'!$C:$FB,8)</f>
        <v>275.81</v>
      </c>
      <c r="D169" s="75">
        <f>VLOOKUP($A169,'Data Vlaue (Cr)'!$C:$FB,4)</f>
        <v>275.60000000000002</v>
      </c>
      <c r="E169" s="75">
        <f>VLOOKUP($A169,'Data Vlaue (Cr)'!$C:$FB,5)</f>
        <v>279.64</v>
      </c>
      <c r="F169" s="75">
        <f t="shared" si="12"/>
        <v>-0.20999999999997954</v>
      </c>
      <c r="G169" s="75">
        <f t="shared" si="13"/>
        <v>-1.4658925979680564</v>
      </c>
      <c r="H169" s="75">
        <f>VLOOKUP($A169,'Data Vlaue (Cr)'!$C:$FB,99)</f>
        <v>1696</v>
      </c>
      <c r="I169" s="75">
        <f>VLOOKUP($A169,'Data Vlaue (Cr)'!$C:$FB,100)</f>
        <v>1761</v>
      </c>
      <c r="J169" s="75">
        <f t="shared" si="14"/>
        <v>-65</v>
      </c>
      <c r="K169" s="75">
        <f t="shared" si="15"/>
        <v>-3.8325471698113205</v>
      </c>
      <c r="L169" s="75">
        <f>VLOOKUP($A169,'Data Vlaue (Cr)'!$C:$FB,67)</f>
        <v>1292</v>
      </c>
      <c r="M169" s="75">
        <f>VLOOKUP($A169,'Data Vlaue (Cr)'!$C:$FB,68)</f>
        <v>580</v>
      </c>
      <c r="N169" s="75">
        <f t="shared" si="16"/>
        <v>712</v>
      </c>
      <c r="O169" s="75">
        <f t="shared" si="17"/>
        <v>55.108359133126939</v>
      </c>
      <c r="P169" s="75">
        <f>VLOOKUP($A169,'Data Vlaue (Cr)'!$C:$FB,119)</f>
        <v>0.7</v>
      </c>
      <c r="Q169" s="75">
        <f>VLOOKUP($A169,'Data Vlaue (Cr)'!$C:$FB,122)*100</f>
        <v>9.370000000000001</v>
      </c>
      <c r="R169" s="75">
        <f>VLOOKUP($A169,'Data Vlaue (Cr)'!$C:$FB,125)</f>
        <v>0.52</v>
      </c>
      <c r="S169" s="75">
        <f>VLOOKUP($A169,'Data Vlaue (Cr)'!$C:$FB,128)*100</f>
        <v>40.54</v>
      </c>
    </row>
    <row r="170" spans="1:19" x14ac:dyDescent="0.25">
      <c r="A170" s="96" t="str">
        <f>'Data Vlaue (Cr)'!C161</f>
        <v>PFC</v>
      </c>
      <c r="B170" s="75">
        <f>VLOOKUP($A170,'Data Vlaue (Cr)'!$C:$FB,2)</f>
        <v>1300</v>
      </c>
      <c r="C170" s="75">
        <f>VLOOKUP($A170,'Data Vlaue (Cr)'!$C:$FB,8)</f>
        <v>469.8</v>
      </c>
      <c r="D170" s="75">
        <f>VLOOKUP($A170,'Data Vlaue (Cr)'!$C:$FB,4)</f>
        <v>469</v>
      </c>
      <c r="E170" s="75">
        <f>VLOOKUP($A170,'Data Vlaue (Cr)'!$C:$FB,5)</f>
        <v>470.85</v>
      </c>
      <c r="F170" s="75">
        <f t="shared" si="12"/>
        <v>-0.80000000000001137</v>
      </c>
      <c r="G170" s="75">
        <f t="shared" si="13"/>
        <v>-0.39445628997868287</v>
      </c>
      <c r="H170" s="75">
        <f>VLOOKUP($A170,'Data Vlaue (Cr)'!$C:$FB,99)</f>
        <v>4975</v>
      </c>
      <c r="I170" s="75">
        <f>VLOOKUP($A170,'Data Vlaue (Cr)'!$C:$FB,100)</f>
        <v>5050</v>
      </c>
      <c r="J170" s="75">
        <f t="shared" si="14"/>
        <v>-75</v>
      </c>
      <c r="K170" s="75">
        <f t="shared" si="15"/>
        <v>-1.5075376884422109</v>
      </c>
      <c r="L170" s="75">
        <f>VLOOKUP($A170,'Data Vlaue (Cr)'!$C:$FB,67)</f>
        <v>3184</v>
      </c>
      <c r="M170" s="75">
        <f>VLOOKUP($A170,'Data Vlaue (Cr)'!$C:$FB,68)</f>
        <v>2620</v>
      </c>
      <c r="N170" s="75">
        <f t="shared" si="16"/>
        <v>564</v>
      </c>
      <c r="O170" s="75">
        <f t="shared" si="17"/>
        <v>17.713567839195978</v>
      </c>
      <c r="P170" s="75">
        <f>VLOOKUP($A170,'Data Vlaue (Cr)'!$C:$FB,119)</f>
        <v>0.77</v>
      </c>
      <c r="Q170" s="75">
        <f>VLOOKUP($A170,'Data Vlaue (Cr)'!$C:$FB,122)*100</f>
        <v>0</v>
      </c>
      <c r="R170" s="75">
        <f>VLOOKUP($A170,'Data Vlaue (Cr)'!$C:$FB,125)</f>
        <v>0.46</v>
      </c>
      <c r="S170" s="75">
        <f>VLOOKUP($A170,'Data Vlaue (Cr)'!$C:$FB,128)*100</f>
        <v>-13.209999999999999</v>
      </c>
    </row>
    <row r="171" spans="1:19" x14ac:dyDescent="0.25">
      <c r="A171" s="96" t="str">
        <f>'Data Vlaue (Cr)'!C162</f>
        <v>PGEL</v>
      </c>
      <c r="B171" s="75">
        <f>VLOOKUP($A171,'Data Vlaue (Cr)'!$C:$FB,2)</f>
        <v>950</v>
      </c>
      <c r="C171" s="75">
        <f>VLOOKUP($A171,'Data Vlaue (Cr)'!$C:$FB,8)</f>
        <v>550.5</v>
      </c>
      <c r="D171" s="75">
        <f>VLOOKUP($A171,'Data Vlaue (Cr)'!$C:$FB,4)</f>
        <v>552.15</v>
      </c>
      <c r="E171" s="75">
        <f>VLOOKUP($A171,'Data Vlaue (Cr)'!$C:$FB,5)</f>
        <v>570.75</v>
      </c>
      <c r="F171" s="75">
        <f t="shared" si="12"/>
        <v>1.6499999999999773</v>
      </c>
      <c r="G171" s="75">
        <f t="shared" si="13"/>
        <v>-3.3686498234175537</v>
      </c>
      <c r="H171" s="75">
        <f>VLOOKUP($A171,'Data Vlaue (Cr)'!$C:$FB,99)</f>
        <v>1789</v>
      </c>
      <c r="I171" s="75">
        <f>VLOOKUP($A171,'Data Vlaue (Cr)'!$C:$FB,100)</f>
        <v>1877</v>
      </c>
      <c r="J171" s="75">
        <f t="shared" si="14"/>
        <v>-88</v>
      </c>
      <c r="K171" s="75">
        <f t="shared" si="15"/>
        <v>-4.9189491335941868</v>
      </c>
      <c r="L171" s="75">
        <f>VLOOKUP($A171,'Data Vlaue (Cr)'!$C:$FB,67)</f>
        <v>2058</v>
      </c>
      <c r="M171" s="75">
        <f>VLOOKUP($A171,'Data Vlaue (Cr)'!$C:$FB,68)</f>
        <v>1548</v>
      </c>
      <c r="N171" s="75">
        <f t="shared" si="16"/>
        <v>510</v>
      </c>
      <c r="O171" s="75">
        <f t="shared" si="17"/>
        <v>24.781341107871722</v>
      </c>
      <c r="P171" s="75">
        <f>VLOOKUP($A171,'Data Vlaue (Cr)'!$C:$FB,119)</f>
        <v>0.98</v>
      </c>
      <c r="Q171" s="75">
        <f>VLOOKUP($A171,'Data Vlaue (Cr)'!$C:$FB,122)*100</f>
        <v>-6.67</v>
      </c>
      <c r="R171" s="75">
        <f>VLOOKUP($A171,'Data Vlaue (Cr)'!$C:$FB,125)</f>
        <v>1</v>
      </c>
      <c r="S171" s="75">
        <f>VLOOKUP($A171,'Data Vlaue (Cr)'!$C:$FB,128)*100</f>
        <v>42.86</v>
      </c>
    </row>
    <row r="172" spans="1:19" x14ac:dyDescent="0.25">
      <c r="A172" s="96" t="str">
        <f>'Data Vlaue (Cr)'!C163</f>
        <v>PHOENIXLTD</v>
      </c>
      <c r="B172" s="75">
        <f>VLOOKUP($A172,'Data Vlaue (Cr)'!$C:$FB,2)</f>
        <v>350</v>
      </c>
      <c r="C172" s="75">
        <f>VLOOKUP($A172,'Data Vlaue (Cr)'!$C:$FB,8)</f>
        <v>1785.3</v>
      </c>
      <c r="D172" s="75">
        <f>VLOOKUP($A172,'Data Vlaue (Cr)'!$C:$FB,4)</f>
        <v>1786.2</v>
      </c>
      <c r="E172" s="75">
        <f>VLOOKUP($A172,'Data Vlaue (Cr)'!$C:$FB,5)</f>
        <v>1810.4</v>
      </c>
      <c r="F172" s="75">
        <f t="shared" si="12"/>
        <v>0.90000000000009095</v>
      </c>
      <c r="G172" s="75">
        <f t="shared" si="13"/>
        <v>-1.3548314858358552</v>
      </c>
      <c r="H172" s="75">
        <f>VLOOKUP($A172,'Data Vlaue (Cr)'!$C:$FB,99)</f>
        <v>1150</v>
      </c>
      <c r="I172" s="75">
        <f>VLOOKUP($A172,'Data Vlaue (Cr)'!$C:$FB,100)</f>
        <v>1111</v>
      </c>
      <c r="J172" s="75">
        <f t="shared" si="14"/>
        <v>39</v>
      </c>
      <c r="K172" s="75">
        <f t="shared" si="15"/>
        <v>3.3913043478260874</v>
      </c>
      <c r="L172" s="75">
        <f>VLOOKUP($A172,'Data Vlaue (Cr)'!$C:$FB,67)</f>
        <v>950</v>
      </c>
      <c r="M172" s="75">
        <f>VLOOKUP($A172,'Data Vlaue (Cr)'!$C:$FB,68)</f>
        <v>271</v>
      </c>
      <c r="N172" s="75">
        <f t="shared" si="16"/>
        <v>679</v>
      </c>
      <c r="O172" s="75">
        <f t="shared" si="17"/>
        <v>71.473684210526315</v>
      </c>
      <c r="P172" s="75">
        <f>VLOOKUP($A172,'Data Vlaue (Cr)'!$C:$FB,119)</f>
        <v>0.79</v>
      </c>
      <c r="Q172" s="75">
        <f>VLOOKUP($A172,'Data Vlaue (Cr)'!$C:$FB,122)*100</f>
        <v>0</v>
      </c>
      <c r="R172" s="75">
        <f>VLOOKUP($A172,'Data Vlaue (Cr)'!$C:$FB,125)</f>
        <v>2.27</v>
      </c>
      <c r="S172" s="75">
        <f>VLOOKUP($A172,'Data Vlaue (Cr)'!$C:$FB,128)*100</f>
        <v>530.56000000000006</v>
      </c>
    </row>
    <row r="173" spans="1:19" x14ac:dyDescent="0.25">
      <c r="A173" s="96" t="str">
        <f>'Data Vlaue (Cr)'!C164</f>
        <v>PIDILITIND</v>
      </c>
      <c r="B173" s="75">
        <f>VLOOKUP($A173,'Data Vlaue (Cr)'!$C:$FB,2)</f>
        <v>500</v>
      </c>
      <c r="C173" s="75">
        <f>VLOOKUP($A173,'Data Vlaue (Cr)'!$C:$FB,8)</f>
        <v>1402.1</v>
      </c>
      <c r="D173" s="75">
        <f>VLOOKUP($A173,'Data Vlaue (Cr)'!$C:$FB,4)</f>
        <v>1400.9</v>
      </c>
      <c r="E173" s="75">
        <f>VLOOKUP($A173,'Data Vlaue (Cr)'!$C:$FB,5)</f>
        <v>1420.8</v>
      </c>
      <c r="F173" s="75">
        <f t="shared" si="12"/>
        <v>-1.1999999999998181</v>
      </c>
      <c r="G173" s="75">
        <f t="shared" si="13"/>
        <v>-1.4205153829680821</v>
      </c>
      <c r="H173" s="75">
        <f>VLOOKUP($A173,'Data Vlaue (Cr)'!$C:$FB,99)</f>
        <v>1564</v>
      </c>
      <c r="I173" s="75">
        <f>VLOOKUP($A173,'Data Vlaue (Cr)'!$C:$FB,100)</f>
        <v>1596</v>
      </c>
      <c r="J173" s="75">
        <f t="shared" si="14"/>
        <v>-32</v>
      </c>
      <c r="K173" s="75">
        <f t="shared" si="15"/>
        <v>-2.0460358056265986</v>
      </c>
      <c r="L173" s="75">
        <f>VLOOKUP($A173,'Data Vlaue (Cr)'!$C:$FB,67)</f>
        <v>1174</v>
      </c>
      <c r="M173" s="75">
        <f>VLOOKUP($A173,'Data Vlaue (Cr)'!$C:$FB,68)</f>
        <v>569</v>
      </c>
      <c r="N173" s="75">
        <f t="shared" si="16"/>
        <v>605</v>
      </c>
      <c r="O173" s="75">
        <f t="shared" si="17"/>
        <v>51.533219761499147</v>
      </c>
      <c r="P173" s="75">
        <f>VLOOKUP($A173,'Data Vlaue (Cr)'!$C:$FB,119)</f>
        <v>0.79</v>
      </c>
      <c r="Q173" s="75">
        <f>VLOOKUP($A173,'Data Vlaue (Cr)'!$C:$FB,122)*100</f>
        <v>2.6</v>
      </c>
      <c r="R173" s="75">
        <f>VLOOKUP($A173,'Data Vlaue (Cr)'!$C:$FB,125)</f>
        <v>0.68</v>
      </c>
      <c r="S173" s="75">
        <f>VLOOKUP($A173,'Data Vlaue (Cr)'!$C:$FB,128)*100</f>
        <v>15.25</v>
      </c>
    </row>
    <row r="174" spans="1:19" x14ac:dyDescent="0.25">
      <c r="A174" s="96" t="str">
        <f>'Data Vlaue (Cr)'!C165</f>
        <v>PIIND</v>
      </c>
      <c r="B174" s="75">
        <f>VLOOKUP($A174,'Data Vlaue (Cr)'!$C:$FB,2)</f>
        <v>175</v>
      </c>
      <c r="C174" s="75">
        <f>VLOOKUP($A174,'Data Vlaue (Cr)'!$C:$FB,8)</f>
        <v>3069.6</v>
      </c>
      <c r="D174" s="75">
        <f>VLOOKUP($A174,'Data Vlaue (Cr)'!$C:$FB,4)</f>
        <v>3077.9</v>
      </c>
      <c r="E174" s="75">
        <f>VLOOKUP($A174,'Data Vlaue (Cr)'!$C:$FB,5)</f>
        <v>3068.1</v>
      </c>
      <c r="F174" s="75">
        <f t="shared" si="12"/>
        <v>8.3000000000001819</v>
      </c>
      <c r="G174" s="75">
        <f t="shared" si="13"/>
        <v>0.31839890834660589</v>
      </c>
      <c r="H174" s="75">
        <f>VLOOKUP($A174,'Data Vlaue (Cr)'!$C:$FB,99)</f>
        <v>1292</v>
      </c>
      <c r="I174" s="75">
        <f>VLOOKUP($A174,'Data Vlaue (Cr)'!$C:$FB,100)</f>
        <v>1297</v>
      </c>
      <c r="J174" s="75">
        <f t="shared" si="14"/>
        <v>-5</v>
      </c>
      <c r="K174" s="75">
        <f t="shared" si="15"/>
        <v>-0.38699690402476783</v>
      </c>
      <c r="L174" s="75">
        <f>VLOOKUP($A174,'Data Vlaue (Cr)'!$C:$FB,67)</f>
        <v>1209</v>
      </c>
      <c r="M174" s="75">
        <f>VLOOKUP($A174,'Data Vlaue (Cr)'!$C:$FB,68)</f>
        <v>455</v>
      </c>
      <c r="N174" s="75">
        <f t="shared" si="16"/>
        <v>754</v>
      </c>
      <c r="O174" s="75">
        <f t="shared" si="17"/>
        <v>62.365591397849464</v>
      </c>
      <c r="P174" s="75">
        <f>VLOOKUP($A174,'Data Vlaue (Cr)'!$C:$FB,119)</f>
        <v>0.75</v>
      </c>
      <c r="Q174" s="75">
        <f>VLOOKUP($A174,'Data Vlaue (Cr)'!$C:$FB,122)*100</f>
        <v>-8.5400000000000009</v>
      </c>
      <c r="R174" s="75">
        <f>VLOOKUP($A174,'Data Vlaue (Cr)'!$C:$FB,125)</f>
        <v>0.47</v>
      </c>
      <c r="S174" s="75">
        <f>VLOOKUP($A174,'Data Vlaue (Cr)'!$C:$FB,128)*100</f>
        <v>-2.08</v>
      </c>
    </row>
    <row r="175" spans="1:19" x14ac:dyDescent="0.25">
      <c r="A175" s="96" t="str">
        <f>'Data Vlaue (Cr)'!C166</f>
        <v>PNB</v>
      </c>
      <c r="B175" s="75">
        <f>VLOOKUP($A175,'Data Vlaue (Cr)'!$C:$FB,2)</f>
        <v>8000</v>
      </c>
      <c r="C175" s="75">
        <f>VLOOKUP($A175,'Data Vlaue (Cr)'!$C:$FB,8)</f>
        <v>112.71</v>
      </c>
      <c r="D175" s="75">
        <f>VLOOKUP($A175,'Data Vlaue (Cr)'!$C:$FB,4)</f>
        <v>112.76</v>
      </c>
      <c r="E175" s="75">
        <f>VLOOKUP($A175,'Data Vlaue (Cr)'!$C:$FB,5)</f>
        <v>114.68</v>
      </c>
      <c r="F175" s="75">
        <f t="shared" si="12"/>
        <v>5.0000000000011369E-2</v>
      </c>
      <c r="G175" s="75">
        <f t="shared" si="13"/>
        <v>-1.7027314650585328</v>
      </c>
      <c r="H175" s="75">
        <f>VLOOKUP($A175,'Data Vlaue (Cr)'!$C:$FB,99)</f>
        <v>4963</v>
      </c>
      <c r="I175" s="75">
        <f>VLOOKUP($A175,'Data Vlaue (Cr)'!$C:$FB,100)</f>
        <v>4912</v>
      </c>
      <c r="J175" s="75">
        <f t="shared" si="14"/>
        <v>51</v>
      </c>
      <c r="K175" s="75">
        <f t="shared" si="15"/>
        <v>1.0276042716099134</v>
      </c>
      <c r="L175" s="75">
        <f>VLOOKUP($A175,'Data Vlaue (Cr)'!$C:$FB,67)</f>
        <v>3902</v>
      </c>
      <c r="M175" s="75">
        <f>VLOOKUP($A175,'Data Vlaue (Cr)'!$C:$FB,68)</f>
        <v>2493</v>
      </c>
      <c r="N175" s="75">
        <f t="shared" si="16"/>
        <v>1409</v>
      </c>
      <c r="O175" s="75">
        <f t="shared" si="17"/>
        <v>36.109687339825733</v>
      </c>
      <c r="P175" s="75">
        <f>VLOOKUP($A175,'Data Vlaue (Cr)'!$C:$FB,119)</f>
        <v>0.88</v>
      </c>
      <c r="Q175" s="75">
        <f>VLOOKUP($A175,'Data Vlaue (Cr)'!$C:$FB,122)*100</f>
        <v>-3.3000000000000003</v>
      </c>
      <c r="R175" s="75">
        <f>VLOOKUP($A175,'Data Vlaue (Cr)'!$C:$FB,125)</f>
        <v>0.69</v>
      </c>
      <c r="S175" s="75">
        <f>VLOOKUP($A175,'Data Vlaue (Cr)'!$C:$FB,128)*100</f>
        <v>16.950000000000003</v>
      </c>
    </row>
    <row r="176" spans="1:19" x14ac:dyDescent="0.25">
      <c r="A176" s="96" t="str">
        <f>'Data Vlaue (Cr)'!C167</f>
        <v>PNBHOUSING</v>
      </c>
      <c r="B176" s="75">
        <f>VLOOKUP($A176,'Data Vlaue (Cr)'!$C:$FB,2)</f>
        <v>650</v>
      </c>
      <c r="C176" s="75">
        <f>VLOOKUP($A176,'Data Vlaue (Cr)'!$C:$FB,8)</f>
        <v>1007.75</v>
      </c>
      <c r="D176" s="75">
        <f>VLOOKUP($A176,'Data Vlaue (Cr)'!$C:$FB,4)</f>
        <v>1008.9</v>
      </c>
      <c r="E176" s="75">
        <f>VLOOKUP($A176,'Data Vlaue (Cr)'!$C:$FB,5)</f>
        <v>992.45</v>
      </c>
      <c r="F176" s="75">
        <f t="shared" si="12"/>
        <v>1.1499999999999773</v>
      </c>
      <c r="G176" s="75">
        <f t="shared" si="13"/>
        <v>1.6304886510060395</v>
      </c>
      <c r="H176" s="75">
        <f>VLOOKUP($A176,'Data Vlaue (Cr)'!$C:$FB,99)</f>
        <v>2393</v>
      </c>
      <c r="I176" s="75">
        <f>VLOOKUP($A176,'Data Vlaue (Cr)'!$C:$FB,100)</f>
        <v>2421</v>
      </c>
      <c r="J176" s="75">
        <f t="shared" si="14"/>
        <v>-28</v>
      </c>
      <c r="K176" s="75">
        <f t="shared" si="15"/>
        <v>-1.1700793982448809</v>
      </c>
      <c r="L176" s="75">
        <f>VLOOKUP($A176,'Data Vlaue (Cr)'!$C:$FB,67)</f>
        <v>3547</v>
      </c>
      <c r="M176" s="75">
        <f>VLOOKUP($A176,'Data Vlaue (Cr)'!$C:$FB,68)</f>
        <v>3336</v>
      </c>
      <c r="N176" s="75">
        <f t="shared" si="16"/>
        <v>211</v>
      </c>
      <c r="O176" s="75">
        <f t="shared" si="17"/>
        <v>5.9486890329856221</v>
      </c>
      <c r="P176" s="75">
        <f>VLOOKUP($A176,'Data Vlaue (Cr)'!$C:$FB,119)</f>
        <v>1.05</v>
      </c>
      <c r="Q176" s="75">
        <f>VLOOKUP($A176,'Data Vlaue (Cr)'!$C:$FB,122)*100</f>
        <v>20.69</v>
      </c>
      <c r="R176" s="75">
        <f>VLOOKUP($A176,'Data Vlaue (Cr)'!$C:$FB,125)</f>
        <v>0.55000000000000004</v>
      </c>
      <c r="S176" s="75">
        <f>VLOOKUP($A176,'Data Vlaue (Cr)'!$C:$FB,128)*100</f>
        <v>10</v>
      </c>
    </row>
    <row r="177" spans="1:19" x14ac:dyDescent="0.25">
      <c r="A177" s="96" t="str">
        <f>'Data Vlaue (Cr)'!C168</f>
        <v>POLICYBZR</v>
      </c>
      <c r="B177" s="75">
        <f>VLOOKUP($A177,'Data Vlaue (Cr)'!$C:$FB,2)</f>
        <v>350</v>
      </c>
      <c r="C177" s="75">
        <f>VLOOKUP($A177,'Data Vlaue (Cr)'!$C:$FB,8)</f>
        <v>1670.8</v>
      </c>
      <c r="D177" s="75">
        <f>VLOOKUP($A177,'Data Vlaue (Cr)'!$C:$FB,4)</f>
        <v>1671.9</v>
      </c>
      <c r="E177" s="75">
        <f>VLOOKUP($A177,'Data Vlaue (Cr)'!$C:$FB,5)</f>
        <v>1623.9</v>
      </c>
      <c r="F177" s="75">
        <f t="shared" ref="F177:F185" si="18">D177-C177</f>
        <v>1.1000000000001364</v>
      </c>
      <c r="G177" s="75">
        <f t="shared" ref="G177:G185" si="19">(D177-E177)/D177*100</f>
        <v>2.8709851067647585</v>
      </c>
      <c r="H177" s="75">
        <f>VLOOKUP($A177,'Data Vlaue (Cr)'!$C:$FB,99)</f>
        <v>2087</v>
      </c>
      <c r="I177" s="75">
        <f>VLOOKUP($A177,'Data Vlaue (Cr)'!$C:$FB,100)</f>
        <v>1949</v>
      </c>
      <c r="J177" s="75">
        <f t="shared" ref="J177:J185" si="20">H177-I177</f>
        <v>138</v>
      </c>
      <c r="K177" s="75">
        <f t="shared" ref="K177:K185" si="21">J177/H177*100</f>
        <v>6.6123622424532815</v>
      </c>
      <c r="L177" s="75">
        <f>VLOOKUP($A177,'Data Vlaue (Cr)'!$C:$FB,67)</f>
        <v>2920</v>
      </c>
      <c r="M177" s="75">
        <f>VLOOKUP($A177,'Data Vlaue (Cr)'!$C:$FB,68)</f>
        <v>1353</v>
      </c>
      <c r="N177" s="75">
        <f t="shared" ref="N177:N185" si="22">L177-M177</f>
        <v>1567</v>
      </c>
      <c r="O177" s="75">
        <f t="shared" ref="O177:O185" si="23">N177/L177*100</f>
        <v>53.664383561643838</v>
      </c>
      <c r="P177" s="75">
        <f>VLOOKUP($A177,'Data Vlaue (Cr)'!$C:$FB,119)</f>
        <v>0.9</v>
      </c>
      <c r="Q177" s="75">
        <f>VLOOKUP($A177,'Data Vlaue (Cr)'!$C:$FB,122)*100</f>
        <v>26.76</v>
      </c>
      <c r="R177" s="75">
        <f>VLOOKUP($A177,'Data Vlaue (Cr)'!$C:$FB,125)</f>
        <v>0.47</v>
      </c>
      <c r="S177" s="75">
        <f>VLOOKUP($A177,'Data Vlaue (Cr)'!$C:$FB,128)*100</f>
        <v>-12.959999999999999</v>
      </c>
    </row>
    <row r="178" spans="1:19" x14ac:dyDescent="0.25">
      <c r="A178" s="96" t="str">
        <f>'Data Vlaue (Cr)'!C169</f>
        <v>POLYCAB</v>
      </c>
      <c r="B178" s="75">
        <f>VLOOKUP($A178,'Data Vlaue (Cr)'!$C:$FB,2)</f>
        <v>125</v>
      </c>
      <c r="C178" s="75">
        <f>VLOOKUP($A178,'Data Vlaue (Cr)'!$C:$FB,8)</f>
        <v>7963.5</v>
      </c>
      <c r="D178" s="75">
        <f>VLOOKUP($A178,'Data Vlaue (Cr)'!$C:$FB,4)</f>
        <v>7995.5</v>
      </c>
      <c r="E178" s="75">
        <f>VLOOKUP($A178,'Data Vlaue (Cr)'!$C:$FB,5)</f>
        <v>8060</v>
      </c>
      <c r="F178" s="75">
        <f t="shared" si="18"/>
        <v>32</v>
      </c>
      <c r="G178" s="75">
        <f t="shared" si="19"/>
        <v>-0.806703770871115</v>
      </c>
      <c r="H178" s="75">
        <f>VLOOKUP($A178,'Data Vlaue (Cr)'!$C:$FB,99)</f>
        <v>3573</v>
      </c>
      <c r="I178" s="75">
        <f>VLOOKUP($A178,'Data Vlaue (Cr)'!$C:$FB,100)</f>
        <v>3619</v>
      </c>
      <c r="J178" s="75">
        <f t="shared" si="20"/>
        <v>-46</v>
      </c>
      <c r="K178" s="75">
        <f t="shared" si="21"/>
        <v>-1.2874335292471313</v>
      </c>
      <c r="L178" s="75">
        <f>VLOOKUP($A178,'Data Vlaue (Cr)'!$C:$FB,67)</f>
        <v>4912</v>
      </c>
      <c r="M178" s="75">
        <f>VLOOKUP($A178,'Data Vlaue (Cr)'!$C:$FB,68)</f>
        <v>5629</v>
      </c>
      <c r="N178" s="75">
        <f t="shared" si="22"/>
        <v>-717</v>
      </c>
      <c r="O178" s="75">
        <f t="shared" si="23"/>
        <v>-14.596905537459284</v>
      </c>
      <c r="P178" s="75">
        <f>VLOOKUP($A178,'Data Vlaue (Cr)'!$C:$FB,119)</f>
        <v>0.75</v>
      </c>
      <c r="Q178" s="75">
        <f>VLOOKUP($A178,'Data Vlaue (Cr)'!$C:$FB,122)*100</f>
        <v>-10.71</v>
      </c>
      <c r="R178" s="75">
        <f>VLOOKUP($A178,'Data Vlaue (Cr)'!$C:$FB,125)</f>
        <v>0.85</v>
      </c>
      <c r="S178" s="75">
        <f>VLOOKUP($A178,'Data Vlaue (Cr)'!$C:$FB,128)*100</f>
        <v>51.790000000000006</v>
      </c>
    </row>
    <row r="179" spans="1:19" x14ac:dyDescent="0.25">
      <c r="A179" s="96" t="str">
        <f>'Data Vlaue (Cr)'!C170</f>
        <v>POWERGRID</v>
      </c>
      <c r="B179" s="75">
        <f>VLOOKUP($A179,'Data Vlaue (Cr)'!$C:$FB,2)</f>
        <v>1900</v>
      </c>
      <c r="C179" s="75">
        <f>VLOOKUP($A179,'Data Vlaue (Cr)'!$C:$FB,8)</f>
        <v>319.14999999999998</v>
      </c>
      <c r="D179" s="75">
        <f>VLOOKUP($A179,'Data Vlaue (Cr)'!$C:$FB,4)</f>
        <v>318.25</v>
      </c>
      <c r="E179" s="75">
        <f>VLOOKUP($A179,'Data Vlaue (Cr)'!$C:$FB,5)</f>
        <v>319.8</v>
      </c>
      <c r="F179" s="75">
        <f t="shared" si="18"/>
        <v>-0.89999999999997726</v>
      </c>
      <c r="G179" s="75">
        <f t="shared" si="19"/>
        <v>-0.48703849175177105</v>
      </c>
      <c r="H179" s="75">
        <f>VLOOKUP($A179,'Data Vlaue (Cr)'!$C:$FB,99)</f>
        <v>4678</v>
      </c>
      <c r="I179" s="75">
        <f>VLOOKUP($A179,'Data Vlaue (Cr)'!$C:$FB,100)</f>
        <v>4751</v>
      </c>
      <c r="J179" s="75">
        <f t="shared" si="20"/>
        <v>-73</v>
      </c>
      <c r="K179" s="75">
        <f t="shared" si="21"/>
        <v>-1.5604959384352288</v>
      </c>
      <c r="L179" s="75">
        <f>VLOOKUP($A179,'Data Vlaue (Cr)'!$C:$FB,67)</f>
        <v>3667</v>
      </c>
      <c r="M179" s="75">
        <f>VLOOKUP($A179,'Data Vlaue (Cr)'!$C:$FB,68)</f>
        <v>2641</v>
      </c>
      <c r="N179" s="75">
        <f t="shared" si="22"/>
        <v>1026</v>
      </c>
      <c r="O179" s="75">
        <f t="shared" si="23"/>
        <v>27.979274611398964</v>
      </c>
      <c r="P179" s="75">
        <f>VLOOKUP($A179,'Data Vlaue (Cr)'!$C:$FB,119)</f>
        <v>0.63</v>
      </c>
      <c r="Q179" s="75">
        <f>VLOOKUP($A179,'Data Vlaue (Cr)'!$C:$FB,122)*100</f>
        <v>0</v>
      </c>
      <c r="R179" s="75">
        <f>VLOOKUP($A179,'Data Vlaue (Cr)'!$C:$FB,125)</f>
        <v>0.41</v>
      </c>
      <c r="S179" s="75">
        <f>VLOOKUP($A179,'Data Vlaue (Cr)'!$C:$FB,128)*100</f>
        <v>2.5</v>
      </c>
    </row>
    <row r="180" spans="1:19" x14ac:dyDescent="0.25">
      <c r="A180" s="96" t="str">
        <f>'Data Vlaue (Cr)'!C171</f>
        <v>POWERINDIA</v>
      </c>
      <c r="B180" s="75">
        <f>VLOOKUP($A180,'Data Vlaue (Cr)'!$C:$FB,2)</f>
        <v>50</v>
      </c>
      <c r="C180" s="75">
        <f>VLOOKUP($A180,'Data Vlaue (Cr)'!$C:$FB,8)</f>
        <v>31720</v>
      </c>
      <c r="D180" s="75">
        <f>VLOOKUP($A180,'Data Vlaue (Cr)'!$C:$FB,4)</f>
        <v>31715</v>
      </c>
      <c r="E180" s="75">
        <f>VLOOKUP($A180,'Data Vlaue (Cr)'!$C:$FB,5)</f>
        <v>30415</v>
      </c>
      <c r="F180" s="75">
        <f t="shared" si="18"/>
        <v>-5</v>
      </c>
      <c r="G180" s="75">
        <f t="shared" si="19"/>
        <v>4.0990067791265963</v>
      </c>
      <c r="H180" s="75">
        <f>VLOOKUP($A180,'Data Vlaue (Cr)'!$C:$FB,99)</f>
        <v>4119</v>
      </c>
      <c r="I180" s="75">
        <f>VLOOKUP($A180,'Data Vlaue (Cr)'!$C:$FB,100)</f>
        <v>3591</v>
      </c>
      <c r="J180" s="75">
        <f t="shared" si="20"/>
        <v>528</v>
      </c>
      <c r="K180" s="75">
        <f t="shared" si="21"/>
        <v>12.818645302257831</v>
      </c>
      <c r="L180" s="75">
        <f>VLOOKUP($A180,'Data Vlaue (Cr)'!$C:$FB,67)</f>
        <v>12714</v>
      </c>
      <c r="M180" s="75">
        <f>VLOOKUP($A180,'Data Vlaue (Cr)'!$C:$FB,68)</f>
        <v>6015</v>
      </c>
      <c r="N180" s="75">
        <f t="shared" si="22"/>
        <v>6699</v>
      </c>
      <c r="O180" s="75">
        <f t="shared" si="23"/>
        <v>52.689948088721096</v>
      </c>
      <c r="P180" s="75">
        <f>VLOOKUP($A180,'Data Vlaue (Cr)'!$C:$FB,119)</f>
        <v>1.41</v>
      </c>
      <c r="Q180" s="75">
        <f>VLOOKUP($A180,'Data Vlaue (Cr)'!$C:$FB,122)*100</f>
        <v>6.02</v>
      </c>
      <c r="R180" s="75">
        <f>VLOOKUP($A180,'Data Vlaue (Cr)'!$C:$FB,125)</f>
        <v>0.76</v>
      </c>
      <c r="S180" s="75">
        <f>VLOOKUP($A180,'Data Vlaue (Cr)'!$C:$FB,128)*100</f>
        <v>-50.33</v>
      </c>
    </row>
    <row r="181" spans="1:19" x14ac:dyDescent="0.25">
      <c r="A181" s="96" t="str">
        <f>'Data Vlaue (Cr)'!C172</f>
        <v>PPLPHARMA</v>
      </c>
      <c r="B181" s="75">
        <f>VLOOKUP($A181,'Data Vlaue (Cr)'!$C:$FB,2)</f>
        <v>2625</v>
      </c>
      <c r="C181" s="75">
        <f>VLOOKUP($A181,'Data Vlaue (Cr)'!$C:$FB,8)</f>
        <v>163.87</v>
      </c>
      <c r="D181" s="75">
        <f>VLOOKUP($A181,'Data Vlaue (Cr)'!$C:$FB,4)</f>
        <v>163.41</v>
      </c>
      <c r="E181" s="75">
        <f>VLOOKUP($A181,'Data Vlaue (Cr)'!$C:$FB,5)</f>
        <v>152.43</v>
      </c>
      <c r="F181" s="75">
        <f t="shared" si="18"/>
        <v>-0.46000000000000796</v>
      </c>
      <c r="G181" s="75">
        <f t="shared" si="19"/>
        <v>6.7192950247842793</v>
      </c>
      <c r="H181" s="75">
        <f>VLOOKUP($A181,'Data Vlaue (Cr)'!$C:$FB,99)</f>
        <v>392</v>
      </c>
      <c r="I181" s="75">
        <f>VLOOKUP($A181,'Data Vlaue (Cr)'!$C:$FB,100)</f>
        <v>317</v>
      </c>
      <c r="J181" s="75">
        <f t="shared" si="20"/>
        <v>75</v>
      </c>
      <c r="K181" s="75">
        <f t="shared" si="21"/>
        <v>19.132653061224488</v>
      </c>
      <c r="L181" s="75">
        <f>VLOOKUP($A181,'Data Vlaue (Cr)'!$C:$FB,67)</f>
        <v>2810</v>
      </c>
      <c r="M181" s="75">
        <f>VLOOKUP($A181,'Data Vlaue (Cr)'!$C:$FB,68)</f>
        <v>229</v>
      </c>
      <c r="N181" s="75">
        <f t="shared" si="22"/>
        <v>2581</v>
      </c>
      <c r="O181" s="75">
        <f t="shared" si="23"/>
        <v>91.85053380782918</v>
      </c>
      <c r="P181" s="75">
        <f>VLOOKUP($A181,'Data Vlaue (Cr)'!$C:$FB,119)</f>
        <v>0.8</v>
      </c>
      <c r="Q181" s="75">
        <f>VLOOKUP($A181,'Data Vlaue (Cr)'!$C:$FB,122)*100</f>
        <v>33.33</v>
      </c>
      <c r="R181" s="75">
        <f>VLOOKUP($A181,'Data Vlaue (Cr)'!$C:$FB,125)</f>
        <v>0.24</v>
      </c>
      <c r="S181" s="75">
        <f>VLOOKUP($A181,'Data Vlaue (Cr)'!$C:$FB,128)*100</f>
        <v>50</v>
      </c>
    </row>
    <row r="182" spans="1:19" x14ac:dyDescent="0.25">
      <c r="A182" s="96" t="str">
        <f>'Data Vlaue (Cr)'!C173</f>
        <v>PREMIERENE</v>
      </c>
      <c r="B182" s="75">
        <f>VLOOKUP($A182,'Data Vlaue (Cr)'!$C:$FB,2)</f>
        <v>575</v>
      </c>
      <c r="C182" s="75">
        <f>VLOOKUP($A182,'Data Vlaue (Cr)'!$C:$FB,8)</f>
        <v>1000.7</v>
      </c>
      <c r="D182" s="75">
        <f>VLOOKUP($A182,'Data Vlaue (Cr)'!$C:$FB,4)</f>
        <v>1000.7</v>
      </c>
      <c r="E182" s="75">
        <f>VLOOKUP($A182,'Data Vlaue (Cr)'!$C:$FB,5)</f>
        <v>993.8</v>
      </c>
      <c r="F182" s="75">
        <f t="shared" si="18"/>
        <v>0</v>
      </c>
      <c r="G182" s="75">
        <f t="shared" si="19"/>
        <v>0.68951733786350466</v>
      </c>
      <c r="H182" s="75">
        <f>VLOOKUP($A182,'Data Vlaue (Cr)'!$C:$FB,99)</f>
        <v>1700</v>
      </c>
      <c r="I182" s="75">
        <f>VLOOKUP($A182,'Data Vlaue (Cr)'!$C:$FB,100)</f>
        <v>1865</v>
      </c>
      <c r="J182" s="75">
        <f t="shared" si="20"/>
        <v>-165</v>
      </c>
      <c r="K182" s="75">
        <f t="shared" si="21"/>
        <v>-9.7058823529411775</v>
      </c>
      <c r="L182" s="75">
        <f>VLOOKUP($A182,'Data Vlaue (Cr)'!$C:$FB,67)</f>
        <v>1340</v>
      </c>
      <c r="M182" s="75">
        <f>VLOOKUP($A182,'Data Vlaue (Cr)'!$C:$FB,68)</f>
        <v>649</v>
      </c>
      <c r="N182" s="75">
        <f t="shared" si="22"/>
        <v>691</v>
      </c>
      <c r="O182" s="75">
        <f t="shared" si="23"/>
        <v>51.567164179104473</v>
      </c>
      <c r="P182" s="75">
        <f>VLOOKUP($A182,'Data Vlaue (Cr)'!$C:$FB,119)</f>
        <v>0.67</v>
      </c>
      <c r="Q182" s="75">
        <f>VLOOKUP($A182,'Data Vlaue (Cr)'!$C:$FB,122)*100</f>
        <v>3.08</v>
      </c>
      <c r="R182" s="75">
        <f>VLOOKUP($A182,'Data Vlaue (Cr)'!$C:$FB,125)</f>
        <v>0.32</v>
      </c>
      <c r="S182" s="75">
        <f>VLOOKUP($A182,'Data Vlaue (Cr)'!$C:$FB,128)*100</f>
        <v>-5.88</v>
      </c>
    </row>
    <row r="183" spans="1:19" x14ac:dyDescent="0.25">
      <c r="A183" s="96" t="str">
        <f>'Data Vlaue (Cr)'!C174</f>
        <v>PRESTIGE</v>
      </c>
      <c r="B183" s="75">
        <f>VLOOKUP($A183,'Data Vlaue (Cr)'!$C:$FB,2)</f>
        <v>450</v>
      </c>
      <c r="C183" s="75">
        <f>VLOOKUP($A183,'Data Vlaue (Cr)'!$C:$FB,8)</f>
        <v>1384.2</v>
      </c>
      <c r="D183" s="75">
        <f>VLOOKUP($A183,'Data Vlaue (Cr)'!$C:$FB,4)</f>
        <v>1386.6</v>
      </c>
      <c r="E183" s="75">
        <f>VLOOKUP($A183,'Data Vlaue (Cr)'!$C:$FB,5)</f>
        <v>1404.7</v>
      </c>
      <c r="F183" s="75">
        <f t="shared" si="18"/>
        <v>2.3999999999998636</v>
      </c>
      <c r="G183" s="75">
        <f t="shared" si="19"/>
        <v>-1.3053512188086065</v>
      </c>
      <c r="H183" s="75">
        <f>VLOOKUP($A183,'Data Vlaue (Cr)'!$C:$FB,99)</f>
        <v>1393</v>
      </c>
      <c r="I183" s="75">
        <f>VLOOKUP($A183,'Data Vlaue (Cr)'!$C:$FB,100)</f>
        <v>1424</v>
      </c>
      <c r="J183" s="75">
        <f t="shared" si="20"/>
        <v>-31</v>
      </c>
      <c r="K183" s="75">
        <f t="shared" si="21"/>
        <v>-2.2254127781765973</v>
      </c>
      <c r="L183" s="75">
        <f>VLOOKUP($A183,'Data Vlaue (Cr)'!$C:$FB,67)</f>
        <v>1020</v>
      </c>
      <c r="M183" s="75">
        <f>VLOOKUP($A183,'Data Vlaue (Cr)'!$C:$FB,68)</f>
        <v>452</v>
      </c>
      <c r="N183" s="75">
        <f t="shared" si="22"/>
        <v>568</v>
      </c>
      <c r="O183" s="75">
        <f t="shared" si="23"/>
        <v>55.686274509803923</v>
      </c>
      <c r="P183" s="75">
        <f>VLOOKUP($A183,'Data Vlaue (Cr)'!$C:$FB,119)</f>
        <v>0.74</v>
      </c>
      <c r="Q183" s="75">
        <f>VLOOKUP($A183,'Data Vlaue (Cr)'!$C:$FB,122)*100</f>
        <v>0</v>
      </c>
      <c r="R183" s="75">
        <f>VLOOKUP($A183,'Data Vlaue (Cr)'!$C:$FB,125)</f>
        <v>0.38</v>
      </c>
      <c r="S183" s="75">
        <f>VLOOKUP($A183,'Data Vlaue (Cr)'!$C:$FB,128)*100</f>
        <v>2.7</v>
      </c>
    </row>
    <row r="184" spans="1:19" x14ac:dyDescent="0.25">
      <c r="A184" s="96" t="str">
        <f>'Data Vlaue (Cr)'!C175</f>
        <v>RBLBANK</v>
      </c>
      <c r="B184" s="75">
        <f>VLOOKUP($A184,'Data Vlaue (Cr)'!$C:$FB,2)</f>
        <v>3175</v>
      </c>
      <c r="C184" s="75">
        <f>VLOOKUP($A184,'Data Vlaue (Cr)'!$C:$FB,8)</f>
        <v>312.45</v>
      </c>
      <c r="D184" s="75">
        <f>VLOOKUP($A184,'Data Vlaue (Cr)'!$C:$FB,4)</f>
        <v>313.39999999999998</v>
      </c>
      <c r="E184" s="75">
        <f>VLOOKUP($A184,'Data Vlaue (Cr)'!$C:$FB,5)</f>
        <v>317.55</v>
      </c>
      <c r="F184" s="75">
        <f t="shared" si="18"/>
        <v>0.94999999999998863</v>
      </c>
      <c r="G184" s="75">
        <f t="shared" si="19"/>
        <v>-1.3241863433312171</v>
      </c>
      <c r="H184" s="75">
        <f>VLOOKUP($A184,'Data Vlaue (Cr)'!$C:$FB,99)</f>
        <v>3696</v>
      </c>
      <c r="I184" s="75">
        <f>VLOOKUP($A184,'Data Vlaue (Cr)'!$C:$FB,100)</f>
        <v>3650</v>
      </c>
      <c r="J184" s="75">
        <f t="shared" si="20"/>
        <v>46</v>
      </c>
      <c r="K184" s="75">
        <f t="shared" si="21"/>
        <v>1.2445887445887447</v>
      </c>
      <c r="L184" s="75">
        <f>VLOOKUP($A184,'Data Vlaue (Cr)'!$C:$FB,67)</f>
        <v>1986</v>
      </c>
      <c r="M184" s="75">
        <f>VLOOKUP($A184,'Data Vlaue (Cr)'!$C:$FB,68)</f>
        <v>2226</v>
      </c>
      <c r="N184" s="75">
        <f t="shared" si="22"/>
        <v>-240</v>
      </c>
      <c r="O184" s="75">
        <f t="shared" si="23"/>
        <v>-12.084592145015106</v>
      </c>
      <c r="P184" s="75">
        <f>VLOOKUP($A184,'Data Vlaue (Cr)'!$C:$FB,119)</f>
        <v>0.88</v>
      </c>
      <c r="Q184" s="75">
        <f>VLOOKUP($A184,'Data Vlaue (Cr)'!$C:$FB,122)*100</f>
        <v>1.1499999999999999</v>
      </c>
      <c r="R184" s="75">
        <f>VLOOKUP($A184,'Data Vlaue (Cr)'!$C:$FB,125)</f>
        <v>0.68</v>
      </c>
      <c r="S184" s="75">
        <f>VLOOKUP($A184,'Data Vlaue (Cr)'!$C:$FB,128)*100</f>
        <v>9.68</v>
      </c>
    </row>
    <row r="185" spans="1:19" x14ac:dyDescent="0.25">
      <c r="A185" s="96" t="str">
        <f>'Data Vlaue (Cr)'!C176</f>
        <v>RECLTD</v>
      </c>
      <c r="B185" s="75">
        <f>VLOOKUP($A185,'Data Vlaue (Cr)'!$C:$FB,2)</f>
        <v>1400</v>
      </c>
      <c r="C185" s="75">
        <f>VLOOKUP($A185,'Data Vlaue (Cr)'!$C:$FB,8)</f>
        <v>376.45</v>
      </c>
      <c r="D185" s="75">
        <f>VLOOKUP($A185,'Data Vlaue (Cr)'!$C:$FB,4)</f>
        <v>377.05</v>
      </c>
      <c r="E185" s="75">
        <f>VLOOKUP($A185,'Data Vlaue (Cr)'!$C:$FB,5)</f>
        <v>383.95</v>
      </c>
      <c r="F185" s="75">
        <f t="shared" si="18"/>
        <v>0.60000000000002274</v>
      </c>
      <c r="G185" s="75">
        <f t="shared" si="19"/>
        <v>-1.8299960217477726</v>
      </c>
      <c r="H185" s="75">
        <f>VLOOKUP($A185,'Data Vlaue (Cr)'!$C:$FB,99)</f>
        <v>4546</v>
      </c>
      <c r="I185" s="75">
        <f>VLOOKUP($A185,'Data Vlaue (Cr)'!$C:$FB,100)</f>
        <v>4531</v>
      </c>
      <c r="J185" s="75">
        <f t="shared" si="20"/>
        <v>15</v>
      </c>
      <c r="K185" s="75">
        <f t="shared" si="21"/>
        <v>0.32996040475142985</v>
      </c>
      <c r="L185" s="75">
        <f>VLOOKUP($A185,'Data Vlaue (Cr)'!$C:$FB,67)</f>
        <v>2274</v>
      </c>
      <c r="M185" s="75">
        <f>VLOOKUP($A185,'Data Vlaue (Cr)'!$C:$FB,68)</f>
        <v>1820</v>
      </c>
      <c r="N185" s="75">
        <f t="shared" si="22"/>
        <v>454</v>
      </c>
      <c r="O185" s="75">
        <f t="shared" si="23"/>
        <v>19.96481970096746</v>
      </c>
      <c r="P185" s="75">
        <f>VLOOKUP($A185,'Data Vlaue (Cr)'!$C:$FB,119)</f>
        <v>0.83</v>
      </c>
      <c r="Q185" s="75">
        <f>VLOOKUP($A185,'Data Vlaue (Cr)'!$C:$FB,122)*100</f>
        <v>-6.74</v>
      </c>
      <c r="R185" s="75">
        <f>VLOOKUP($A185,'Data Vlaue (Cr)'!$C:$FB,125)</f>
        <v>0.56999999999999995</v>
      </c>
      <c r="S185" s="75">
        <f>VLOOKUP($A185,'Data Vlaue (Cr)'!$C:$FB,128)*100</f>
        <v>-21.92</v>
      </c>
    </row>
    <row r="186" spans="1:19" x14ac:dyDescent="0.25">
      <c r="A186" s="96" t="str">
        <f>'Data Vlaue (Cr)'!C177</f>
        <v>RELIANCE</v>
      </c>
      <c r="B186" s="75">
        <f>VLOOKUP($A186,'Data Vlaue (Cr)'!$C:$FB,2)</f>
        <v>500</v>
      </c>
      <c r="C186" s="75">
        <f>VLOOKUP($A186,'Data Vlaue (Cr)'!$C:$FB,8)</f>
        <v>1343.4</v>
      </c>
      <c r="D186" s="75">
        <f>VLOOKUP($A186,'Data Vlaue (Cr)'!$C:$FB,4)</f>
        <v>1344.3</v>
      </c>
      <c r="E186" s="75">
        <f>VLOOKUP($A186,'Data Vlaue (Cr)'!$C:$FB,5)</f>
        <v>1362.1</v>
      </c>
      <c r="F186" s="75">
        <f t="shared" ref="F186:F193" si="24">D186-C186</f>
        <v>0.89999999999986358</v>
      </c>
      <c r="G186" s="75">
        <f t="shared" ref="G186:G193" si="25">(D186-E186)/D186*100</f>
        <v>-1.3241092018150677</v>
      </c>
      <c r="H186" s="75">
        <f>VLOOKUP($A186,'Data Vlaue (Cr)'!$C:$FB,99)</f>
        <v>30500</v>
      </c>
      <c r="I186" s="75">
        <f>VLOOKUP($A186,'Data Vlaue (Cr)'!$C:$FB,100)</f>
        <v>29311</v>
      </c>
      <c r="J186" s="75">
        <f t="shared" ref="J186:J193" si="26">H186-I186</f>
        <v>1189</v>
      </c>
      <c r="K186" s="75">
        <f t="shared" ref="K186:K193" si="27">J186/H186*100</f>
        <v>3.8983606557377053</v>
      </c>
      <c r="L186" s="75">
        <f>VLOOKUP($A186,'Data Vlaue (Cr)'!$C:$FB,67)</f>
        <v>22323</v>
      </c>
      <c r="M186" s="75">
        <f>VLOOKUP($A186,'Data Vlaue (Cr)'!$C:$FB,68)</f>
        <v>17149</v>
      </c>
      <c r="N186" s="75">
        <f t="shared" ref="N186:N193" si="28">L186-M186</f>
        <v>5174</v>
      </c>
      <c r="O186" s="75">
        <f t="shared" ref="O186:O193" si="29">N186/L186*100</f>
        <v>23.177888276665325</v>
      </c>
      <c r="P186" s="75">
        <f>VLOOKUP($A186,'Data Vlaue (Cr)'!$C:$FB,119)</f>
        <v>0.51</v>
      </c>
      <c r="Q186" s="75">
        <f>VLOOKUP($A186,'Data Vlaue (Cr)'!$C:$FB,122)*100</f>
        <v>4.08</v>
      </c>
      <c r="R186" s="75">
        <f>VLOOKUP($A186,'Data Vlaue (Cr)'!$C:$FB,125)</f>
        <v>0.69</v>
      </c>
      <c r="S186" s="75">
        <f>VLOOKUP($A186,'Data Vlaue (Cr)'!$C:$FB,128)*100</f>
        <v>18.970000000000002</v>
      </c>
    </row>
    <row r="187" spans="1:19" x14ac:dyDescent="0.25">
      <c r="A187" s="96" t="str">
        <f>'Data Vlaue (Cr)'!C178</f>
        <v>RVNL</v>
      </c>
      <c r="B187" s="75">
        <f>VLOOKUP($A187,'Data Vlaue (Cr)'!$C:$FB,2)</f>
        <v>1525</v>
      </c>
      <c r="C187" s="75">
        <f>VLOOKUP($A187,'Data Vlaue (Cr)'!$C:$FB,8)</f>
        <v>307.20999999999998</v>
      </c>
      <c r="D187" s="75">
        <f>VLOOKUP($A187,'Data Vlaue (Cr)'!$C:$FB,4)</f>
        <v>307.06</v>
      </c>
      <c r="E187" s="75">
        <f>VLOOKUP($A187,'Data Vlaue (Cr)'!$C:$FB,5)</f>
        <v>306.55</v>
      </c>
      <c r="F187" s="75">
        <f t="shared" si="24"/>
        <v>-0.14999999999997726</v>
      </c>
      <c r="G187" s="75">
        <f t="shared" si="25"/>
        <v>0.16609131765778379</v>
      </c>
      <c r="H187" s="75">
        <f>VLOOKUP($A187,'Data Vlaue (Cr)'!$C:$FB,99)</f>
        <v>3086</v>
      </c>
      <c r="I187" s="75">
        <f>VLOOKUP($A187,'Data Vlaue (Cr)'!$C:$FB,100)</f>
        <v>3393</v>
      </c>
      <c r="J187" s="75">
        <f t="shared" si="26"/>
        <v>-307</v>
      </c>
      <c r="K187" s="75">
        <f t="shared" si="27"/>
        <v>-9.9481529488010363</v>
      </c>
      <c r="L187" s="75">
        <f>VLOOKUP($A187,'Data Vlaue (Cr)'!$C:$FB,67)</f>
        <v>3287</v>
      </c>
      <c r="M187" s="75">
        <f>VLOOKUP($A187,'Data Vlaue (Cr)'!$C:$FB,68)</f>
        <v>2394</v>
      </c>
      <c r="N187" s="75">
        <f t="shared" si="28"/>
        <v>893</v>
      </c>
      <c r="O187" s="75">
        <f t="shared" si="29"/>
        <v>27.167630057803464</v>
      </c>
      <c r="P187" s="75">
        <f>VLOOKUP($A187,'Data Vlaue (Cr)'!$C:$FB,119)</f>
        <v>0.74</v>
      </c>
      <c r="Q187" s="75">
        <f>VLOOKUP($A187,'Data Vlaue (Cr)'!$C:$FB,122)*100</f>
        <v>-1.3299999999999998</v>
      </c>
      <c r="R187" s="75">
        <f>VLOOKUP($A187,'Data Vlaue (Cr)'!$C:$FB,125)</f>
        <v>0.41</v>
      </c>
      <c r="S187" s="75">
        <f>VLOOKUP($A187,'Data Vlaue (Cr)'!$C:$FB,128)*100</f>
        <v>46.43</v>
      </c>
    </row>
    <row r="188" spans="1:19" x14ac:dyDescent="0.25">
      <c r="A188" s="96" t="str">
        <f>'Data Vlaue (Cr)'!C179</f>
        <v>SAIL</v>
      </c>
      <c r="B188" s="75">
        <f>VLOOKUP($A188,'Data Vlaue (Cr)'!$C:$FB,2)</f>
        <v>4700</v>
      </c>
      <c r="C188" s="75">
        <f>VLOOKUP($A188,'Data Vlaue (Cr)'!$C:$FB,8)</f>
        <v>176.45</v>
      </c>
      <c r="D188" s="75">
        <f>VLOOKUP($A188,'Data Vlaue (Cr)'!$C:$FB,4)</f>
        <v>176.57</v>
      </c>
      <c r="E188" s="75">
        <f>VLOOKUP($A188,'Data Vlaue (Cr)'!$C:$FB,5)</f>
        <v>175.95</v>
      </c>
      <c r="F188" s="75">
        <f t="shared" si="24"/>
        <v>0.12000000000000455</v>
      </c>
      <c r="G188" s="75">
        <f t="shared" si="25"/>
        <v>0.35113552698646688</v>
      </c>
      <c r="H188" s="75">
        <f>VLOOKUP($A188,'Data Vlaue (Cr)'!$C:$FB,99)</f>
        <v>3744</v>
      </c>
      <c r="I188" s="75">
        <f>VLOOKUP($A188,'Data Vlaue (Cr)'!$C:$FB,100)</f>
        <v>3743</v>
      </c>
      <c r="J188" s="75">
        <f t="shared" si="26"/>
        <v>1</v>
      </c>
      <c r="K188" s="75">
        <f t="shared" si="27"/>
        <v>2.6709401709401712E-2</v>
      </c>
      <c r="L188" s="75">
        <f>VLOOKUP($A188,'Data Vlaue (Cr)'!$C:$FB,67)</f>
        <v>198</v>
      </c>
      <c r="M188" s="75">
        <f>VLOOKUP($A188,'Data Vlaue (Cr)'!$C:$FB,68)</f>
        <v>83</v>
      </c>
      <c r="N188" s="75">
        <f t="shared" si="28"/>
        <v>115</v>
      </c>
      <c r="O188" s="75">
        <f t="shared" si="29"/>
        <v>58.080808080808076</v>
      </c>
      <c r="P188" s="75">
        <f>VLOOKUP($A188,'Data Vlaue (Cr)'!$C:$FB,119)</f>
        <v>0.83</v>
      </c>
      <c r="Q188" s="75">
        <f>VLOOKUP($A188,'Data Vlaue (Cr)'!$C:$FB,122)*100</f>
        <v>6.41</v>
      </c>
      <c r="R188" s="75">
        <f>VLOOKUP($A188,'Data Vlaue (Cr)'!$C:$FB,125)</f>
        <v>0.68</v>
      </c>
      <c r="S188" s="75">
        <f>VLOOKUP($A188,'Data Vlaue (Cr)'!$C:$FB,128)*100</f>
        <v>-10.530000000000001</v>
      </c>
    </row>
    <row r="189" spans="1:19" x14ac:dyDescent="0.25">
      <c r="A189" s="96" t="str">
        <f>'Data Vlaue (Cr)'!C180</f>
        <v>SAMMAANCAP</v>
      </c>
      <c r="B189" s="75">
        <f>VLOOKUP($A189,'Data Vlaue (Cr)'!$C:$FB,2)</f>
        <v>4300</v>
      </c>
      <c r="C189" s="75">
        <f>VLOOKUP($A189,'Data Vlaue (Cr)'!$C:$FB,8)</f>
        <v>144.25</v>
      </c>
      <c r="D189" s="75">
        <f>VLOOKUP($A189,'Data Vlaue (Cr)'!$C:$FB,4)</f>
        <v>144.32</v>
      </c>
      <c r="E189" s="75">
        <f>VLOOKUP($A189,'Data Vlaue (Cr)'!$C:$FB,5)</f>
        <v>147.16999999999999</v>
      </c>
      <c r="F189" s="75">
        <f t="shared" si="24"/>
        <v>6.9999999999993179E-2</v>
      </c>
      <c r="G189" s="75">
        <f t="shared" si="25"/>
        <v>-1.9747782705099741</v>
      </c>
      <c r="H189" s="75">
        <f>VLOOKUP($A189,'Data Vlaue (Cr)'!$C:$FB,99)</f>
        <v>2043</v>
      </c>
      <c r="I189" s="75">
        <f>VLOOKUP($A189,'Data Vlaue (Cr)'!$C:$FB,100)</f>
        <v>2052</v>
      </c>
      <c r="J189" s="75">
        <f t="shared" si="26"/>
        <v>-9</v>
      </c>
      <c r="K189" s="75">
        <f t="shared" si="27"/>
        <v>-0.44052863436123352</v>
      </c>
      <c r="L189" s="75">
        <f>VLOOKUP($A189,'Data Vlaue (Cr)'!$C:$FB,67)</f>
        <v>744</v>
      </c>
      <c r="M189" s="75">
        <f>VLOOKUP($A189,'Data Vlaue (Cr)'!$C:$FB,68)</f>
        <v>587</v>
      </c>
      <c r="N189" s="75">
        <f t="shared" si="28"/>
        <v>157</v>
      </c>
      <c r="O189" s="75">
        <f t="shared" si="29"/>
        <v>21.102150537634408</v>
      </c>
      <c r="P189" s="75">
        <f>VLOOKUP($A189,'Data Vlaue (Cr)'!$C:$FB,119)</f>
        <v>0.84</v>
      </c>
      <c r="Q189" s="75">
        <f>VLOOKUP($A189,'Data Vlaue (Cr)'!$C:$FB,122)*100</f>
        <v>1.2</v>
      </c>
      <c r="R189" s="75">
        <f>VLOOKUP($A189,'Data Vlaue (Cr)'!$C:$FB,125)</f>
        <v>0.54</v>
      </c>
      <c r="S189" s="75">
        <f>VLOOKUP($A189,'Data Vlaue (Cr)'!$C:$FB,128)*100</f>
        <v>-34.150000000000006</v>
      </c>
    </row>
    <row r="190" spans="1:19" x14ac:dyDescent="0.25">
      <c r="A190" s="96" t="str">
        <f>'Data Vlaue (Cr)'!C181</f>
        <v>SBICARD</v>
      </c>
      <c r="B190" s="75">
        <f>VLOOKUP($A190,'Data Vlaue (Cr)'!$C:$FB,2)</f>
        <v>800</v>
      </c>
      <c r="C190" s="75">
        <f>VLOOKUP($A190,'Data Vlaue (Cr)'!$C:$FB,8)</f>
        <v>680.55</v>
      </c>
      <c r="D190" s="75">
        <f>VLOOKUP($A190,'Data Vlaue (Cr)'!$C:$FB,4)</f>
        <v>682.3</v>
      </c>
      <c r="E190" s="75">
        <f>VLOOKUP($A190,'Data Vlaue (Cr)'!$C:$FB,5)</f>
        <v>687.9</v>
      </c>
      <c r="F190" s="75">
        <f t="shared" si="24"/>
        <v>1.75</v>
      </c>
      <c r="G190" s="75">
        <f t="shared" si="25"/>
        <v>-0.82075333431042408</v>
      </c>
      <c r="H190" s="75">
        <f>VLOOKUP($A190,'Data Vlaue (Cr)'!$C:$FB,99)</f>
        <v>3065</v>
      </c>
      <c r="I190" s="75">
        <f>VLOOKUP($A190,'Data Vlaue (Cr)'!$C:$FB,100)</f>
        <v>3279</v>
      </c>
      <c r="J190" s="75">
        <f t="shared" si="26"/>
        <v>-214</v>
      </c>
      <c r="K190" s="75">
        <f t="shared" si="27"/>
        <v>-6.9820554649265913</v>
      </c>
      <c r="L190" s="75">
        <f>VLOOKUP($A190,'Data Vlaue (Cr)'!$C:$FB,67)</f>
        <v>1931</v>
      </c>
      <c r="M190" s="75">
        <f>VLOOKUP($A190,'Data Vlaue (Cr)'!$C:$FB,68)</f>
        <v>1487</v>
      </c>
      <c r="N190" s="75">
        <f t="shared" si="28"/>
        <v>444</v>
      </c>
      <c r="O190" s="75">
        <f t="shared" si="29"/>
        <v>22.993267736923872</v>
      </c>
      <c r="P190" s="75">
        <f>VLOOKUP($A190,'Data Vlaue (Cr)'!$C:$FB,119)</f>
        <v>0.9</v>
      </c>
      <c r="Q190" s="75">
        <f>VLOOKUP($A190,'Data Vlaue (Cr)'!$C:$FB,122)*100</f>
        <v>5.88</v>
      </c>
      <c r="R190" s="75">
        <f>VLOOKUP($A190,'Data Vlaue (Cr)'!$C:$FB,125)</f>
        <v>0.61</v>
      </c>
      <c r="S190" s="75">
        <f>VLOOKUP($A190,'Data Vlaue (Cr)'!$C:$FB,128)*100</f>
        <v>15.09</v>
      </c>
    </row>
    <row r="191" spans="1:19" x14ac:dyDescent="0.25">
      <c r="A191" s="96" t="str">
        <f>'Data Vlaue (Cr)'!C182</f>
        <v>SBILIFE</v>
      </c>
      <c r="B191" s="75">
        <f>VLOOKUP($A191,'Data Vlaue (Cr)'!$C:$FB,2)</f>
        <v>375</v>
      </c>
      <c r="C191" s="75">
        <f>VLOOKUP($A191,'Data Vlaue (Cr)'!$C:$FB,8)</f>
        <v>1828.1</v>
      </c>
      <c r="D191" s="75">
        <f>VLOOKUP($A191,'Data Vlaue (Cr)'!$C:$FB,4)</f>
        <v>1826.1</v>
      </c>
      <c r="E191" s="75">
        <f>VLOOKUP($A191,'Data Vlaue (Cr)'!$C:$FB,5)</f>
        <v>1889.7</v>
      </c>
      <c r="F191" s="75">
        <f t="shared" si="24"/>
        <v>-2</v>
      </c>
      <c r="G191" s="75">
        <f t="shared" si="25"/>
        <v>-3.4828322654838253</v>
      </c>
      <c r="H191" s="75">
        <f>VLOOKUP($A191,'Data Vlaue (Cr)'!$C:$FB,99)</f>
        <v>4401</v>
      </c>
      <c r="I191" s="75">
        <f>VLOOKUP($A191,'Data Vlaue (Cr)'!$C:$FB,100)</f>
        <v>4203</v>
      </c>
      <c r="J191" s="75">
        <f t="shared" si="26"/>
        <v>198</v>
      </c>
      <c r="K191" s="75">
        <f t="shared" si="27"/>
        <v>4.4989775051124745</v>
      </c>
      <c r="L191" s="75">
        <f>VLOOKUP($A191,'Data Vlaue (Cr)'!$C:$FB,67)</f>
        <v>9355</v>
      </c>
      <c r="M191" s="75">
        <f>VLOOKUP($A191,'Data Vlaue (Cr)'!$C:$FB,68)</f>
        <v>6495</v>
      </c>
      <c r="N191" s="75">
        <f t="shared" si="28"/>
        <v>2860</v>
      </c>
      <c r="O191" s="75">
        <f t="shared" si="29"/>
        <v>30.571886691608764</v>
      </c>
      <c r="P191" s="75">
        <f>VLOOKUP($A191,'Data Vlaue (Cr)'!$C:$FB,119)</f>
        <v>0.46</v>
      </c>
      <c r="Q191" s="75">
        <f>VLOOKUP($A191,'Data Vlaue (Cr)'!$C:$FB,122)*100</f>
        <v>-16.36</v>
      </c>
      <c r="R191" s="75">
        <f>VLOOKUP($A191,'Data Vlaue (Cr)'!$C:$FB,125)</f>
        <v>0.66</v>
      </c>
      <c r="S191" s="75">
        <f>VLOOKUP($A191,'Data Vlaue (Cr)'!$C:$FB,128)*100</f>
        <v>37.5</v>
      </c>
    </row>
    <row r="192" spans="1:19" x14ac:dyDescent="0.25">
      <c r="A192" s="96" t="str">
        <f>'Data Vlaue (Cr)'!C183</f>
        <v>SBIN</v>
      </c>
      <c r="B192" s="75">
        <f>VLOOKUP($A192,'Data Vlaue (Cr)'!$C:$FB,2)</f>
        <v>750</v>
      </c>
      <c r="C192" s="75">
        <f>VLOOKUP($A192,'Data Vlaue (Cr)'!$C:$FB,8)</f>
        <v>1094.25</v>
      </c>
      <c r="D192" s="75">
        <f>VLOOKUP($A192,'Data Vlaue (Cr)'!$C:$FB,4)</f>
        <v>1094.0999999999999</v>
      </c>
      <c r="E192" s="75">
        <f>VLOOKUP($A192,'Data Vlaue (Cr)'!$C:$FB,5)</f>
        <v>1105.5</v>
      </c>
      <c r="F192" s="75">
        <f t="shared" si="24"/>
        <v>-0.15000000000009095</v>
      </c>
      <c r="G192" s="75">
        <f t="shared" si="25"/>
        <v>-1.0419522895530657</v>
      </c>
      <c r="H192" s="75">
        <f>VLOOKUP($A192,'Data Vlaue (Cr)'!$C:$FB,99)</f>
        <v>19472</v>
      </c>
      <c r="I192" s="75">
        <f>VLOOKUP($A192,'Data Vlaue (Cr)'!$C:$FB,100)</f>
        <v>19359</v>
      </c>
      <c r="J192" s="75">
        <f t="shared" si="26"/>
        <v>113</v>
      </c>
      <c r="K192" s="75">
        <f t="shared" si="27"/>
        <v>0.58032046014790462</v>
      </c>
      <c r="L192" s="75">
        <f>VLOOKUP($A192,'Data Vlaue (Cr)'!$C:$FB,67)</f>
        <v>21802</v>
      </c>
      <c r="M192" s="75">
        <f>VLOOKUP($A192,'Data Vlaue (Cr)'!$C:$FB,68)</f>
        <v>14456</v>
      </c>
      <c r="N192" s="75">
        <f t="shared" si="28"/>
        <v>7346</v>
      </c>
      <c r="O192" s="75">
        <f t="shared" si="29"/>
        <v>33.694156499403725</v>
      </c>
      <c r="P192" s="75">
        <f>VLOOKUP($A192,'Data Vlaue (Cr)'!$C:$FB,119)</f>
        <v>0.79</v>
      </c>
      <c r="Q192" s="75">
        <f>VLOOKUP($A192,'Data Vlaue (Cr)'!$C:$FB,122)*100</f>
        <v>-4.82</v>
      </c>
      <c r="R192" s="75">
        <f>VLOOKUP($A192,'Data Vlaue (Cr)'!$C:$FB,125)</f>
        <v>0.81</v>
      </c>
      <c r="S192" s="75">
        <f>VLOOKUP($A192,'Data Vlaue (Cr)'!$C:$FB,128)*100</f>
        <v>24.62</v>
      </c>
    </row>
    <row r="193" spans="1:19" x14ac:dyDescent="0.25">
      <c r="A193" s="96" t="str">
        <f>'Data Vlaue (Cr)'!C184</f>
        <v>SHREECEM</v>
      </c>
      <c r="B193" s="75">
        <f>VLOOKUP($A193,'Data Vlaue (Cr)'!$C:$FB,2)</f>
        <v>25</v>
      </c>
      <c r="C193" s="75">
        <f>VLOOKUP($A193,'Data Vlaue (Cr)'!$C:$FB,8)</f>
        <v>25470</v>
      </c>
      <c r="D193" s="75">
        <f>VLOOKUP($A193,'Data Vlaue (Cr)'!$C:$FB,4)</f>
        <v>25435</v>
      </c>
      <c r="E193" s="75">
        <f>VLOOKUP($A193,'Data Vlaue (Cr)'!$C:$FB,5)</f>
        <v>25755</v>
      </c>
      <c r="F193" s="75">
        <f t="shared" si="24"/>
        <v>-35</v>
      </c>
      <c r="G193" s="75">
        <f t="shared" si="25"/>
        <v>-1.2581089050520937</v>
      </c>
      <c r="H193" s="75">
        <f>VLOOKUP($A193,'Data Vlaue (Cr)'!$C:$FB,99)</f>
        <v>1336</v>
      </c>
      <c r="I193" s="75">
        <f>VLOOKUP($A193,'Data Vlaue (Cr)'!$C:$FB,100)</f>
        <v>1310</v>
      </c>
      <c r="J193" s="75">
        <f t="shared" si="26"/>
        <v>26</v>
      </c>
      <c r="K193" s="75">
        <f t="shared" si="27"/>
        <v>1.9461077844311379</v>
      </c>
      <c r="L193" s="75">
        <f>VLOOKUP($A193,'Data Vlaue (Cr)'!$C:$FB,67)</f>
        <v>1146</v>
      </c>
      <c r="M193" s="75">
        <f>VLOOKUP($A193,'Data Vlaue (Cr)'!$C:$FB,68)</f>
        <v>963</v>
      </c>
      <c r="N193" s="75">
        <f t="shared" si="28"/>
        <v>183</v>
      </c>
      <c r="O193" s="75">
        <f t="shared" si="29"/>
        <v>15.968586387434556</v>
      </c>
      <c r="P193" s="75">
        <f>VLOOKUP($A193,'Data Vlaue (Cr)'!$C:$FB,119)</f>
        <v>0.75</v>
      </c>
      <c r="Q193" s="75">
        <f>VLOOKUP($A193,'Data Vlaue (Cr)'!$C:$FB,122)*100</f>
        <v>-7.41</v>
      </c>
      <c r="R193" s="75">
        <f>VLOOKUP($A193,'Data Vlaue (Cr)'!$C:$FB,125)</f>
        <v>1.34</v>
      </c>
      <c r="S193" s="75">
        <f>VLOOKUP($A193,'Data Vlaue (Cr)'!$C:$FB,128)*100</f>
        <v>-70.740000000000009</v>
      </c>
    </row>
    <row r="194" spans="1:19" ht="13.9" customHeight="1" x14ac:dyDescent="0.25">
      <c r="A194" s="96" t="str">
        <f>'Data Vlaue (Cr)'!C185</f>
        <v>SHRIRAMFIN</v>
      </c>
      <c r="B194" s="75">
        <f>VLOOKUP($A194,'Data Vlaue (Cr)'!$C:$FB,2)</f>
        <v>825</v>
      </c>
      <c r="C194" s="75">
        <f>VLOOKUP($A194,'Data Vlaue (Cr)'!$C:$FB,8)</f>
        <v>1009.3</v>
      </c>
      <c r="D194" s="75">
        <f>VLOOKUP($A194,'Data Vlaue (Cr)'!$C:$FB,4)</f>
        <v>1010.2</v>
      </c>
      <c r="E194" s="75">
        <f>VLOOKUP($A194,'Data Vlaue (Cr)'!$C:$FB,5)</f>
        <v>1044.7</v>
      </c>
      <c r="F194" s="75">
        <f t="shared" ref="F194:F214" si="30">D194-C194</f>
        <v>0.90000000000009095</v>
      </c>
      <c r="G194" s="75">
        <f t="shared" ref="G194:G214" si="31">(D194-E194)/D194*100</f>
        <v>-3.4151653137992475</v>
      </c>
      <c r="H194" s="75">
        <f>VLOOKUP($A194,'Data Vlaue (Cr)'!$C:$FB,99)</f>
        <v>6650</v>
      </c>
      <c r="I194" s="75">
        <f>VLOOKUP($A194,'Data Vlaue (Cr)'!$C:$FB,100)</f>
        <v>6494</v>
      </c>
      <c r="J194" s="75">
        <f t="shared" ref="J194:J214" si="32">H194-I194</f>
        <v>156</v>
      </c>
      <c r="K194" s="75">
        <f t="shared" ref="K194:K214" si="33">J194/H194*100</f>
        <v>2.3458646616541352</v>
      </c>
      <c r="L194" s="75">
        <f>VLOOKUP($A194,'Data Vlaue (Cr)'!$C:$FB,67)</f>
        <v>5390</v>
      </c>
      <c r="M194" s="75">
        <f>VLOOKUP($A194,'Data Vlaue (Cr)'!$C:$FB,68)</f>
        <v>3158</v>
      </c>
      <c r="N194" s="75">
        <f t="shared" ref="N194:N214" si="34">L194-M194</f>
        <v>2232</v>
      </c>
      <c r="O194" s="75">
        <f t="shared" ref="O194:O214" si="35">N194/L194*100</f>
        <v>41.410018552875691</v>
      </c>
      <c r="P194" s="75">
        <f>VLOOKUP($A194,'Data Vlaue (Cr)'!$C:$FB,119)</f>
        <v>0.7</v>
      </c>
      <c r="Q194" s="75">
        <f>VLOOKUP($A194,'Data Vlaue (Cr)'!$C:$FB,122)*100</f>
        <v>-2.78</v>
      </c>
      <c r="R194" s="75">
        <f>VLOOKUP($A194,'Data Vlaue (Cr)'!$C:$FB,125)</f>
        <v>0.62</v>
      </c>
      <c r="S194" s="75">
        <f>VLOOKUP($A194,'Data Vlaue (Cr)'!$C:$FB,128)*100</f>
        <v>34.78</v>
      </c>
    </row>
    <row r="195" spans="1:19" x14ac:dyDescent="0.25">
      <c r="A195" s="96" t="str">
        <f>'Data Vlaue (Cr)'!C186</f>
        <v>SIEMENS</v>
      </c>
      <c r="B195" s="75">
        <f>VLOOKUP($A195,'Data Vlaue (Cr)'!$C:$FB,2)</f>
        <v>175</v>
      </c>
      <c r="C195" s="75">
        <f>VLOOKUP($A195,'Data Vlaue (Cr)'!$C:$FB,8)</f>
        <v>3864.4</v>
      </c>
      <c r="D195" s="75">
        <f>VLOOKUP($A195,'Data Vlaue (Cr)'!$C:$FB,4)</f>
        <v>3877.9</v>
      </c>
      <c r="E195" s="75">
        <f>VLOOKUP($A195,'Data Vlaue (Cr)'!$C:$FB,5)</f>
        <v>3841.9</v>
      </c>
      <c r="F195" s="75">
        <f t="shared" si="30"/>
        <v>13.5</v>
      </c>
      <c r="G195" s="75">
        <f t="shared" si="31"/>
        <v>0.92833750225637579</v>
      </c>
      <c r="H195" s="75">
        <f>VLOOKUP($A195,'Data Vlaue (Cr)'!$C:$FB,99)</f>
        <v>2645</v>
      </c>
      <c r="I195" s="75">
        <f>VLOOKUP($A195,'Data Vlaue (Cr)'!$C:$FB,100)</f>
        <v>2714</v>
      </c>
      <c r="J195" s="75">
        <f t="shared" si="32"/>
        <v>-69</v>
      </c>
      <c r="K195" s="75">
        <f t="shared" si="33"/>
        <v>-2.6086956521739131</v>
      </c>
      <c r="L195" s="75">
        <f>VLOOKUP($A195,'Data Vlaue (Cr)'!$C:$FB,67)</f>
        <v>3921</v>
      </c>
      <c r="M195" s="75">
        <f>VLOOKUP($A195,'Data Vlaue (Cr)'!$C:$FB,68)</f>
        <v>8451</v>
      </c>
      <c r="N195" s="75">
        <f t="shared" si="34"/>
        <v>-4530</v>
      </c>
      <c r="O195" s="75">
        <f t="shared" si="35"/>
        <v>-115.53175210405509</v>
      </c>
      <c r="P195" s="75">
        <f>VLOOKUP($A195,'Data Vlaue (Cr)'!$C:$FB,119)</f>
        <v>0.83</v>
      </c>
      <c r="Q195" s="75">
        <f>VLOOKUP($A195,'Data Vlaue (Cr)'!$C:$FB,122)*100</f>
        <v>-13.54</v>
      </c>
      <c r="R195" s="75">
        <f>VLOOKUP($A195,'Data Vlaue (Cr)'!$C:$FB,125)</f>
        <v>0.56999999999999995</v>
      </c>
      <c r="S195" s="75">
        <f>VLOOKUP($A195,'Data Vlaue (Cr)'!$C:$FB,128)*100</f>
        <v>46.150000000000006</v>
      </c>
    </row>
    <row r="196" spans="1:19" x14ac:dyDescent="0.25">
      <c r="A196" s="96" t="str">
        <f>'Data Vlaue (Cr)'!C187</f>
        <v>SOLARINDS</v>
      </c>
      <c r="B196" s="75">
        <f>VLOOKUP($A196,'Data Vlaue (Cr)'!$C:$FB,2)</f>
        <v>50</v>
      </c>
      <c r="C196" s="75">
        <f>VLOOKUP($A196,'Data Vlaue (Cr)'!$C:$FB,8)</f>
        <v>15747</v>
      </c>
      <c r="D196" s="75">
        <f>VLOOKUP($A196,'Data Vlaue (Cr)'!$C:$FB,4)</f>
        <v>15756</v>
      </c>
      <c r="E196" s="75">
        <f>VLOOKUP($A196,'Data Vlaue (Cr)'!$C:$FB,5)</f>
        <v>15290</v>
      </c>
      <c r="F196" s="75">
        <f t="shared" si="30"/>
        <v>9</v>
      </c>
      <c r="G196" s="75">
        <f t="shared" si="31"/>
        <v>2.9576034526529575</v>
      </c>
      <c r="H196" s="75">
        <f>VLOOKUP($A196,'Data Vlaue (Cr)'!$C:$FB,99)</f>
        <v>2232</v>
      </c>
      <c r="I196" s="75">
        <f>VLOOKUP($A196,'Data Vlaue (Cr)'!$C:$FB,100)</f>
        <v>2256</v>
      </c>
      <c r="J196" s="75">
        <f t="shared" si="32"/>
        <v>-24</v>
      </c>
      <c r="K196" s="75">
        <f t="shared" si="33"/>
        <v>-1.0752688172043012</v>
      </c>
      <c r="L196" s="75">
        <f>VLOOKUP($A196,'Data Vlaue (Cr)'!$C:$FB,67)</f>
        <v>6407</v>
      </c>
      <c r="M196" s="75">
        <f>VLOOKUP($A196,'Data Vlaue (Cr)'!$C:$FB,68)</f>
        <v>3140</v>
      </c>
      <c r="N196" s="75">
        <f t="shared" si="34"/>
        <v>3267</v>
      </c>
      <c r="O196" s="75">
        <f t="shared" si="35"/>
        <v>50.991103480568135</v>
      </c>
      <c r="P196" s="75">
        <f>VLOOKUP($A196,'Data Vlaue (Cr)'!$C:$FB,119)</f>
        <v>0.86</v>
      </c>
      <c r="Q196" s="75">
        <f>VLOOKUP($A196,'Data Vlaue (Cr)'!$C:$FB,122)*100</f>
        <v>48.28</v>
      </c>
      <c r="R196" s="75">
        <f>VLOOKUP($A196,'Data Vlaue (Cr)'!$C:$FB,125)</f>
        <v>0.7</v>
      </c>
      <c r="S196" s="75">
        <f>VLOOKUP($A196,'Data Vlaue (Cr)'!$C:$FB,128)*100</f>
        <v>-43.55</v>
      </c>
    </row>
    <row r="197" spans="1:19" x14ac:dyDescent="0.25">
      <c r="A197" s="96" t="str">
        <f>'Data Vlaue (Cr)'!C188</f>
        <v>SONACOMS</v>
      </c>
      <c r="B197" s="75">
        <f>VLOOKUP($A197,'Data Vlaue (Cr)'!$C:$FB,2)</f>
        <v>1225</v>
      </c>
      <c r="C197" s="75">
        <f>VLOOKUP($A197,'Data Vlaue (Cr)'!$C:$FB,8)</f>
        <v>574.54999999999995</v>
      </c>
      <c r="D197" s="75">
        <f>VLOOKUP($A197,'Data Vlaue (Cr)'!$C:$FB,4)</f>
        <v>574.1</v>
      </c>
      <c r="E197" s="75">
        <f>VLOOKUP($A197,'Data Vlaue (Cr)'!$C:$FB,5)</f>
        <v>588</v>
      </c>
      <c r="F197" s="75">
        <f t="shared" si="30"/>
        <v>-0.44999999999993179</v>
      </c>
      <c r="G197" s="75">
        <f t="shared" si="31"/>
        <v>-2.4211809789235286</v>
      </c>
      <c r="H197" s="75">
        <f>VLOOKUP($A197,'Data Vlaue (Cr)'!$C:$FB,99)</f>
        <v>1254</v>
      </c>
      <c r="I197" s="75">
        <f>VLOOKUP($A197,'Data Vlaue (Cr)'!$C:$FB,100)</f>
        <v>1265</v>
      </c>
      <c r="J197" s="75">
        <f t="shared" si="32"/>
        <v>-11</v>
      </c>
      <c r="K197" s="75">
        <f t="shared" si="33"/>
        <v>-0.8771929824561403</v>
      </c>
      <c r="L197" s="75">
        <f>VLOOKUP($A197,'Data Vlaue (Cr)'!$C:$FB,67)</f>
        <v>857</v>
      </c>
      <c r="M197" s="75">
        <f>VLOOKUP($A197,'Data Vlaue (Cr)'!$C:$FB,68)</f>
        <v>521</v>
      </c>
      <c r="N197" s="75">
        <f t="shared" si="34"/>
        <v>336</v>
      </c>
      <c r="O197" s="75">
        <f t="shared" si="35"/>
        <v>39.206534422403735</v>
      </c>
      <c r="P197" s="75">
        <f>VLOOKUP($A197,'Data Vlaue (Cr)'!$C:$FB,119)</f>
        <v>0.69</v>
      </c>
      <c r="Q197" s="75">
        <f>VLOOKUP($A197,'Data Vlaue (Cr)'!$C:$FB,122)*100</f>
        <v>-4.17</v>
      </c>
      <c r="R197" s="75">
        <f>VLOOKUP($A197,'Data Vlaue (Cr)'!$C:$FB,125)</f>
        <v>0.55000000000000004</v>
      </c>
      <c r="S197" s="75">
        <f>VLOOKUP($A197,'Data Vlaue (Cr)'!$C:$FB,128)*100</f>
        <v>111.53999999999999</v>
      </c>
    </row>
    <row r="198" spans="1:19" x14ac:dyDescent="0.25">
      <c r="A198" s="96" t="str">
        <f>'Data Vlaue (Cr)'!C189</f>
        <v>SRF</v>
      </c>
      <c r="B198" s="75">
        <f>VLOOKUP($A198,'Data Vlaue (Cr)'!$C:$FB,2)</f>
        <v>200</v>
      </c>
      <c r="C198" s="75">
        <f>VLOOKUP($A198,'Data Vlaue (Cr)'!$C:$FB,8)</f>
        <v>2542.4</v>
      </c>
      <c r="D198" s="75">
        <f>VLOOKUP($A198,'Data Vlaue (Cr)'!$C:$FB,4)</f>
        <v>2540.5</v>
      </c>
      <c r="E198" s="75">
        <f>VLOOKUP($A198,'Data Vlaue (Cr)'!$C:$FB,5)</f>
        <v>2496.4</v>
      </c>
      <c r="F198" s="75">
        <f t="shared" si="30"/>
        <v>-1.9000000000000909</v>
      </c>
      <c r="G198" s="75">
        <f t="shared" si="31"/>
        <v>1.7358787640228266</v>
      </c>
      <c r="H198" s="75">
        <f>VLOOKUP($A198,'Data Vlaue (Cr)'!$C:$FB,99)</f>
        <v>1847</v>
      </c>
      <c r="I198" s="75">
        <f>VLOOKUP($A198,'Data Vlaue (Cr)'!$C:$FB,100)</f>
        <v>1957</v>
      </c>
      <c r="J198" s="75">
        <f t="shared" si="32"/>
        <v>-110</v>
      </c>
      <c r="K198" s="75">
        <f t="shared" si="33"/>
        <v>-5.9556036816459121</v>
      </c>
      <c r="L198" s="75">
        <f>VLOOKUP($A198,'Data Vlaue (Cr)'!$C:$FB,67)</f>
        <v>3158</v>
      </c>
      <c r="M198" s="75">
        <f>VLOOKUP($A198,'Data Vlaue (Cr)'!$C:$FB,68)</f>
        <v>1351</v>
      </c>
      <c r="N198" s="75">
        <f t="shared" si="34"/>
        <v>1807</v>
      </c>
      <c r="O198" s="75">
        <f t="shared" si="35"/>
        <v>57.219759341355292</v>
      </c>
      <c r="P198" s="75">
        <f>VLOOKUP($A198,'Data Vlaue (Cr)'!$C:$FB,119)</f>
        <v>0.59</v>
      </c>
      <c r="Q198" s="75">
        <f>VLOOKUP($A198,'Data Vlaue (Cr)'!$C:$FB,122)*100</f>
        <v>11.32</v>
      </c>
      <c r="R198" s="75">
        <f>VLOOKUP($A198,'Data Vlaue (Cr)'!$C:$FB,125)</f>
        <v>0.26</v>
      </c>
      <c r="S198" s="75">
        <f>VLOOKUP($A198,'Data Vlaue (Cr)'!$C:$FB,128)*100</f>
        <v>-33.33</v>
      </c>
    </row>
    <row r="199" spans="1:19" x14ac:dyDescent="0.25">
      <c r="A199" s="96" t="str">
        <f>'Data Vlaue (Cr)'!C190</f>
        <v>SUNPHARMA</v>
      </c>
      <c r="B199" s="75">
        <f>VLOOKUP($A199,'Data Vlaue (Cr)'!$C:$FB,2)</f>
        <v>350</v>
      </c>
      <c r="C199" s="75">
        <f>VLOOKUP($A199,'Data Vlaue (Cr)'!$C:$FB,8)</f>
        <v>1680.1</v>
      </c>
      <c r="D199" s="75">
        <f>VLOOKUP($A199,'Data Vlaue (Cr)'!$C:$FB,4)</f>
        <v>1676.7</v>
      </c>
      <c r="E199" s="75">
        <f>VLOOKUP($A199,'Data Vlaue (Cr)'!$C:$FB,5)</f>
        <v>1667.2</v>
      </c>
      <c r="F199" s="75">
        <f t="shared" si="30"/>
        <v>-3.3999999999998636</v>
      </c>
      <c r="G199" s="75">
        <f t="shared" si="31"/>
        <v>0.5665891334168307</v>
      </c>
      <c r="H199" s="75">
        <f>VLOOKUP($A199,'Data Vlaue (Cr)'!$C:$FB,99)</f>
        <v>5478</v>
      </c>
      <c r="I199" s="75">
        <f>VLOOKUP($A199,'Data Vlaue (Cr)'!$C:$FB,100)</f>
        <v>5315</v>
      </c>
      <c r="J199" s="75">
        <f t="shared" si="32"/>
        <v>163</v>
      </c>
      <c r="K199" s="75">
        <f t="shared" si="33"/>
        <v>2.9755385177071925</v>
      </c>
      <c r="L199" s="75">
        <f>VLOOKUP($A199,'Data Vlaue (Cr)'!$C:$FB,67)</f>
        <v>8691</v>
      </c>
      <c r="M199" s="75">
        <f>VLOOKUP($A199,'Data Vlaue (Cr)'!$C:$FB,68)</f>
        <v>2818</v>
      </c>
      <c r="N199" s="75">
        <f t="shared" si="34"/>
        <v>5873</v>
      </c>
      <c r="O199" s="75">
        <f t="shared" si="35"/>
        <v>67.575652974341267</v>
      </c>
      <c r="P199" s="75">
        <f>VLOOKUP($A199,'Data Vlaue (Cr)'!$C:$FB,119)</f>
        <v>0.73</v>
      </c>
      <c r="Q199" s="75">
        <f>VLOOKUP($A199,'Data Vlaue (Cr)'!$C:$FB,122)*100</f>
        <v>12.31</v>
      </c>
      <c r="R199" s="75">
        <f>VLOOKUP($A199,'Data Vlaue (Cr)'!$C:$FB,125)</f>
        <v>0.4</v>
      </c>
      <c r="S199" s="75">
        <f>VLOOKUP($A199,'Data Vlaue (Cr)'!$C:$FB,128)*100</f>
        <v>-27.27</v>
      </c>
    </row>
    <row r="200" spans="1:19" x14ac:dyDescent="0.25">
      <c r="A200" s="96" t="str">
        <f>'Data Vlaue (Cr)'!C191</f>
        <v>SUPREMEIND</v>
      </c>
      <c r="B200" s="75">
        <f>VLOOKUP($A200,'Data Vlaue (Cr)'!$C:$FB,2)</f>
        <v>175</v>
      </c>
      <c r="C200" s="75">
        <f>VLOOKUP($A200,'Data Vlaue (Cr)'!$C:$FB,8)</f>
        <v>3677.3</v>
      </c>
      <c r="D200" s="75">
        <f>VLOOKUP($A200,'Data Vlaue (Cr)'!$C:$FB,4)</f>
        <v>3688.6</v>
      </c>
      <c r="E200" s="75">
        <f>VLOOKUP($A200,'Data Vlaue (Cr)'!$C:$FB,5)</f>
        <v>3703.4</v>
      </c>
      <c r="F200" s="75">
        <f t="shared" si="30"/>
        <v>11.299999999999727</v>
      </c>
      <c r="G200" s="75">
        <f t="shared" si="31"/>
        <v>-0.40123624139240316</v>
      </c>
      <c r="H200" s="75">
        <f>VLOOKUP($A200,'Data Vlaue (Cr)'!$C:$FB,99)</f>
        <v>1364</v>
      </c>
      <c r="I200" s="75">
        <f>VLOOKUP($A200,'Data Vlaue (Cr)'!$C:$FB,100)</f>
        <v>1320</v>
      </c>
      <c r="J200" s="75">
        <f t="shared" si="32"/>
        <v>44</v>
      </c>
      <c r="K200" s="75">
        <f t="shared" si="33"/>
        <v>3.225806451612903</v>
      </c>
      <c r="L200" s="75">
        <f>VLOOKUP($A200,'Data Vlaue (Cr)'!$C:$FB,67)</f>
        <v>1070</v>
      </c>
      <c r="M200" s="75">
        <f>VLOOKUP($A200,'Data Vlaue (Cr)'!$C:$FB,68)</f>
        <v>527</v>
      </c>
      <c r="N200" s="75">
        <f t="shared" si="34"/>
        <v>543</v>
      </c>
      <c r="O200" s="75">
        <f t="shared" si="35"/>
        <v>50.747663551401864</v>
      </c>
      <c r="P200" s="75">
        <f>VLOOKUP($A200,'Data Vlaue (Cr)'!$C:$FB,119)</f>
        <v>0.48</v>
      </c>
      <c r="Q200" s="75">
        <f>VLOOKUP($A200,'Data Vlaue (Cr)'!$C:$FB,122)*100</f>
        <v>0</v>
      </c>
      <c r="R200" s="75">
        <f>VLOOKUP($A200,'Data Vlaue (Cr)'!$C:$FB,125)</f>
        <v>0.27</v>
      </c>
      <c r="S200" s="75">
        <f>VLOOKUP($A200,'Data Vlaue (Cr)'!$C:$FB,128)*100</f>
        <v>-15.620000000000001</v>
      </c>
    </row>
    <row r="201" spans="1:19" x14ac:dyDescent="0.25">
      <c r="A201" s="96" t="str">
        <f>'Data Vlaue (Cr)'!C192</f>
        <v>SUZLON</v>
      </c>
      <c r="B201" s="75">
        <f>VLOOKUP($A201,'Data Vlaue (Cr)'!$C:$FB,2)</f>
        <v>9025</v>
      </c>
      <c r="C201" s="75">
        <f>VLOOKUP($A201,'Data Vlaue (Cr)'!$C:$FB,8)</f>
        <v>53.73</v>
      </c>
      <c r="D201" s="75">
        <f>VLOOKUP($A201,'Data Vlaue (Cr)'!$C:$FB,4)</f>
        <v>53.73</v>
      </c>
      <c r="E201" s="75">
        <f>VLOOKUP($A201,'Data Vlaue (Cr)'!$C:$FB,5)</f>
        <v>54.55</v>
      </c>
      <c r="F201" s="75">
        <f t="shared" si="30"/>
        <v>0</v>
      </c>
      <c r="G201" s="75">
        <f t="shared" si="31"/>
        <v>-1.5261492648427328</v>
      </c>
      <c r="H201" s="75">
        <f>VLOOKUP($A201,'Data Vlaue (Cr)'!$C:$FB,99)</f>
        <v>3890</v>
      </c>
      <c r="I201" s="75">
        <f>VLOOKUP($A201,'Data Vlaue (Cr)'!$C:$FB,100)</f>
        <v>4107</v>
      </c>
      <c r="J201" s="75">
        <f t="shared" si="32"/>
        <v>-217</v>
      </c>
      <c r="K201" s="75">
        <f t="shared" si="33"/>
        <v>-5.5784061696658096</v>
      </c>
      <c r="L201" s="75">
        <f>VLOOKUP($A201,'Data Vlaue (Cr)'!$C:$FB,67)</f>
        <v>3737</v>
      </c>
      <c r="M201" s="75">
        <f>VLOOKUP($A201,'Data Vlaue (Cr)'!$C:$FB,68)</f>
        <v>3448</v>
      </c>
      <c r="N201" s="75">
        <f t="shared" si="34"/>
        <v>289</v>
      </c>
      <c r="O201" s="75">
        <f t="shared" si="35"/>
        <v>7.7334760503077336</v>
      </c>
      <c r="P201" s="75">
        <f>VLOOKUP($A201,'Data Vlaue (Cr)'!$C:$FB,119)</f>
        <v>0.82</v>
      </c>
      <c r="Q201" s="75">
        <f>VLOOKUP($A201,'Data Vlaue (Cr)'!$C:$FB,122)*100</f>
        <v>-3.53</v>
      </c>
      <c r="R201" s="75">
        <f>VLOOKUP($A201,'Data Vlaue (Cr)'!$C:$FB,125)</f>
        <v>0.48</v>
      </c>
      <c r="S201" s="75">
        <f>VLOOKUP($A201,'Data Vlaue (Cr)'!$C:$FB,128)*100</f>
        <v>-9.43</v>
      </c>
    </row>
    <row r="202" spans="1:19" x14ac:dyDescent="0.25">
      <c r="A202" s="96" t="str">
        <f>'Data Vlaue (Cr)'!C193</f>
        <v>SWIGGY</v>
      </c>
      <c r="B202" s="75">
        <f>VLOOKUP($A202,'Data Vlaue (Cr)'!$C:$FB,2)</f>
        <v>1300</v>
      </c>
      <c r="C202" s="75">
        <f>VLOOKUP($A202,'Data Vlaue (Cr)'!$C:$FB,8)</f>
        <v>293.05</v>
      </c>
      <c r="D202" s="75">
        <f>VLOOKUP($A202,'Data Vlaue (Cr)'!$C:$FB,4)</f>
        <v>292.8</v>
      </c>
      <c r="E202" s="75">
        <f>VLOOKUP($A202,'Data Vlaue (Cr)'!$C:$FB,5)</f>
        <v>294.45</v>
      </c>
      <c r="F202" s="75">
        <f t="shared" si="30"/>
        <v>-0.25</v>
      </c>
      <c r="G202" s="75">
        <f t="shared" si="31"/>
        <v>-0.56352459016392664</v>
      </c>
      <c r="H202" s="75">
        <f>VLOOKUP($A202,'Data Vlaue (Cr)'!$C:$FB,99)</f>
        <v>1961</v>
      </c>
      <c r="I202" s="75">
        <f>VLOOKUP($A202,'Data Vlaue (Cr)'!$C:$FB,100)</f>
        <v>2084</v>
      </c>
      <c r="J202" s="75">
        <f t="shared" si="32"/>
        <v>-123</v>
      </c>
      <c r="K202" s="75">
        <f t="shared" si="33"/>
        <v>-6.2723100458949519</v>
      </c>
      <c r="L202" s="75">
        <f>VLOOKUP($A202,'Data Vlaue (Cr)'!$C:$FB,67)</f>
        <v>2343</v>
      </c>
      <c r="M202" s="75">
        <f>VLOOKUP($A202,'Data Vlaue (Cr)'!$C:$FB,68)</f>
        <v>1647</v>
      </c>
      <c r="N202" s="75">
        <f t="shared" si="34"/>
        <v>696</v>
      </c>
      <c r="O202" s="75">
        <f t="shared" si="35"/>
        <v>29.705505761843792</v>
      </c>
      <c r="P202" s="75">
        <f>VLOOKUP($A202,'Data Vlaue (Cr)'!$C:$FB,119)</f>
        <v>0.71</v>
      </c>
      <c r="Q202" s="75">
        <f>VLOOKUP($A202,'Data Vlaue (Cr)'!$C:$FB,122)*100</f>
        <v>0</v>
      </c>
      <c r="R202" s="75">
        <f>VLOOKUP($A202,'Data Vlaue (Cr)'!$C:$FB,125)</f>
        <v>0.35</v>
      </c>
      <c r="S202" s="75">
        <f>VLOOKUP($A202,'Data Vlaue (Cr)'!$C:$FB,128)*100</f>
        <v>0</v>
      </c>
    </row>
    <row r="203" spans="1:19" x14ac:dyDescent="0.25">
      <c r="A203" s="96" t="str">
        <f>'Data Vlaue (Cr)'!C194</f>
        <v>TATACONSUM</v>
      </c>
      <c r="B203" s="75">
        <f>VLOOKUP($A203,'Data Vlaue (Cr)'!$C:$FB,2)</f>
        <v>550</v>
      </c>
      <c r="C203" s="75">
        <f>VLOOKUP($A203,'Data Vlaue (Cr)'!$C:$FB,8)</f>
        <v>1184.4000000000001</v>
      </c>
      <c r="D203" s="75">
        <f>VLOOKUP($A203,'Data Vlaue (Cr)'!$C:$FB,4)</f>
        <v>1182.8</v>
      </c>
      <c r="E203" s="75">
        <f>VLOOKUP($A203,'Data Vlaue (Cr)'!$C:$FB,5)</f>
        <v>1177.3</v>
      </c>
      <c r="F203" s="75">
        <f t="shared" si="30"/>
        <v>-1.6000000000001364</v>
      </c>
      <c r="G203" s="75">
        <f t="shared" si="31"/>
        <v>0.4649983090970578</v>
      </c>
      <c r="H203" s="75">
        <f>VLOOKUP($A203,'Data Vlaue (Cr)'!$C:$FB,99)</f>
        <v>2167</v>
      </c>
      <c r="I203" s="75">
        <f>VLOOKUP($A203,'Data Vlaue (Cr)'!$C:$FB,100)</f>
        <v>2179</v>
      </c>
      <c r="J203" s="75">
        <f t="shared" si="32"/>
        <v>-12</v>
      </c>
      <c r="K203" s="75">
        <f t="shared" si="33"/>
        <v>-0.55376095985233043</v>
      </c>
      <c r="L203" s="75">
        <f>VLOOKUP($A203,'Data Vlaue (Cr)'!$C:$FB,67)</f>
        <v>1581</v>
      </c>
      <c r="M203" s="75">
        <f>VLOOKUP($A203,'Data Vlaue (Cr)'!$C:$FB,68)</f>
        <v>4284</v>
      </c>
      <c r="N203" s="75">
        <f t="shared" si="34"/>
        <v>-2703</v>
      </c>
      <c r="O203" s="75">
        <f t="shared" si="35"/>
        <v>-170.96774193548387</v>
      </c>
      <c r="P203" s="75">
        <f>VLOOKUP($A203,'Data Vlaue (Cr)'!$C:$FB,119)</f>
        <v>1.33</v>
      </c>
      <c r="Q203" s="75">
        <f>VLOOKUP($A203,'Data Vlaue (Cr)'!$C:$FB,122)*100</f>
        <v>11.76</v>
      </c>
      <c r="R203" s="75">
        <f>VLOOKUP($A203,'Data Vlaue (Cr)'!$C:$FB,125)</f>
        <v>0.73</v>
      </c>
      <c r="S203" s="75">
        <f>VLOOKUP($A203,'Data Vlaue (Cr)'!$C:$FB,128)*100</f>
        <v>78.05</v>
      </c>
    </row>
    <row r="204" spans="1:19" x14ac:dyDescent="0.25">
      <c r="A204" s="96" t="str">
        <f>'Data Vlaue (Cr)'!C195</f>
        <v>TATAELXSI</v>
      </c>
      <c r="B204" s="75">
        <f>VLOOKUP($A204,'Data Vlaue (Cr)'!$C:$FB,2)</f>
        <v>100</v>
      </c>
      <c r="C204" s="75">
        <f>VLOOKUP($A204,'Data Vlaue (Cr)'!$C:$FB,8)</f>
        <v>4233.5</v>
      </c>
      <c r="D204" s="75">
        <f>VLOOKUP($A204,'Data Vlaue (Cr)'!$C:$FB,4)</f>
        <v>4226.3999999999996</v>
      </c>
      <c r="E204" s="75">
        <f>VLOOKUP($A204,'Data Vlaue (Cr)'!$C:$FB,5)</f>
        <v>4311.6000000000004</v>
      </c>
      <c r="F204" s="75">
        <f t="shared" si="30"/>
        <v>-7.1000000000003638</v>
      </c>
      <c r="G204" s="75">
        <f t="shared" si="31"/>
        <v>-2.0159000567859344</v>
      </c>
      <c r="H204" s="75">
        <f>VLOOKUP($A204,'Data Vlaue (Cr)'!$C:$FB,99)</f>
        <v>2786</v>
      </c>
      <c r="I204" s="75">
        <f>VLOOKUP($A204,'Data Vlaue (Cr)'!$C:$FB,100)</f>
        <v>2761</v>
      </c>
      <c r="J204" s="75">
        <f t="shared" si="32"/>
        <v>25</v>
      </c>
      <c r="K204" s="75">
        <f t="shared" si="33"/>
        <v>0.89734386216798279</v>
      </c>
      <c r="L204" s="75">
        <f>VLOOKUP($A204,'Data Vlaue (Cr)'!$C:$FB,67)</f>
        <v>5579</v>
      </c>
      <c r="M204" s="75">
        <f>VLOOKUP($A204,'Data Vlaue (Cr)'!$C:$FB,68)</f>
        <v>8765</v>
      </c>
      <c r="N204" s="75">
        <f t="shared" si="34"/>
        <v>-3186</v>
      </c>
      <c r="O204" s="75">
        <f t="shared" si="35"/>
        <v>-57.107008424448821</v>
      </c>
      <c r="P204" s="75">
        <f>VLOOKUP($A204,'Data Vlaue (Cr)'!$C:$FB,119)</f>
        <v>0.34</v>
      </c>
      <c r="Q204" s="75">
        <f>VLOOKUP($A204,'Data Vlaue (Cr)'!$C:$FB,122)*100</f>
        <v>-2.86</v>
      </c>
      <c r="R204" s="75">
        <f>VLOOKUP($A204,'Data Vlaue (Cr)'!$C:$FB,125)</f>
        <v>0.42</v>
      </c>
      <c r="S204" s="75">
        <f>VLOOKUP($A204,'Data Vlaue (Cr)'!$C:$FB,128)*100</f>
        <v>-27.589999999999996</v>
      </c>
    </row>
    <row r="205" spans="1:19" x14ac:dyDescent="0.25">
      <c r="A205" s="96" t="str">
        <f>'Data Vlaue (Cr)'!C196</f>
        <v>TATAPOWER</v>
      </c>
      <c r="B205" s="75">
        <f>VLOOKUP($A205,'Data Vlaue (Cr)'!$C:$FB,2)</f>
        <v>1450</v>
      </c>
      <c r="C205" s="75">
        <f>VLOOKUP($A205,'Data Vlaue (Cr)'!$C:$FB,8)</f>
        <v>430.3</v>
      </c>
      <c r="D205" s="75">
        <f>VLOOKUP($A205,'Data Vlaue (Cr)'!$C:$FB,4)</f>
        <v>430.75</v>
      </c>
      <c r="E205" s="75">
        <f>VLOOKUP($A205,'Data Vlaue (Cr)'!$C:$FB,5)</f>
        <v>436.6</v>
      </c>
      <c r="F205" s="75">
        <f t="shared" si="30"/>
        <v>0.44999999999998863</v>
      </c>
      <c r="G205" s="75">
        <f t="shared" si="31"/>
        <v>-1.3580963435867726</v>
      </c>
      <c r="H205" s="75">
        <f>VLOOKUP($A205,'Data Vlaue (Cr)'!$C:$FB,99)</f>
        <v>5391</v>
      </c>
      <c r="I205" s="75">
        <f>VLOOKUP($A205,'Data Vlaue (Cr)'!$C:$FB,100)</f>
        <v>5370</v>
      </c>
      <c r="J205" s="75">
        <f t="shared" si="32"/>
        <v>21</v>
      </c>
      <c r="K205" s="75">
        <f t="shared" si="33"/>
        <v>0.38953811908736785</v>
      </c>
      <c r="L205" s="75">
        <f>VLOOKUP($A205,'Data Vlaue (Cr)'!$C:$FB,67)</f>
        <v>4725</v>
      </c>
      <c r="M205" s="75">
        <f>VLOOKUP($A205,'Data Vlaue (Cr)'!$C:$FB,68)</f>
        <v>3999</v>
      </c>
      <c r="N205" s="75">
        <f t="shared" si="34"/>
        <v>726</v>
      </c>
      <c r="O205" s="75">
        <f t="shared" si="35"/>
        <v>15.365079365079366</v>
      </c>
      <c r="P205" s="75">
        <f>VLOOKUP($A205,'Data Vlaue (Cr)'!$C:$FB,119)</f>
        <v>0.76</v>
      </c>
      <c r="Q205" s="75">
        <f>VLOOKUP($A205,'Data Vlaue (Cr)'!$C:$FB,122)*100</f>
        <v>-8.43</v>
      </c>
      <c r="R205" s="75">
        <f>VLOOKUP($A205,'Data Vlaue (Cr)'!$C:$FB,125)</f>
        <v>0.64</v>
      </c>
      <c r="S205" s="75">
        <f>VLOOKUP($A205,'Data Vlaue (Cr)'!$C:$FB,128)*100</f>
        <v>12.280000000000001</v>
      </c>
    </row>
    <row r="206" spans="1:19" x14ac:dyDescent="0.25">
      <c r="A206" s="96" t="str">
        <f>'Data Vlaue (Cr)'!C197</f>
        <v>TATASTEEL</v>
      </c>
      <c r="B206" s="75">
        <f>VLOOKUP($A206,'Data Vlaue (Cr)'!$C:$FB,2)</f>
        <v>5500</v>
      </c>
      <c r="C206" s="75">
        <f>VLOOKUP($A206,'Data Vlaue (Cr)'!$C:$FB,8)</f>
        <v>210.91</v>
      </c>
      <c r="D206" s="75">
        <f>VLOOKUP($A206,'Data Vlaue (Cr)'!$C:$FB,4)</f>
        <v>210.67</v>
      </c>
      <c r="E206" s="75">
        <f>VLOOKUP($A206,'Data Vlaue (Cr)'!$C:$FB,5)</f>
        <v>213.02</v>
      </c>
      <c r="F206" s="75">
        <f t="shared" si="30"/>
        <v>-0.24000000000000909</v>
      </c>
      <c r="G206" s="75">
        <f t="shared" si="31"/>
        <v>-1.1154886789766094</v>
      </c>
      <c r="H206" s="75">
        <f>VLOOKUP($A206,'Data Vlaue (Cr)'!$C:$FB,99)</f>
        <v>8443</v>
      </c>
      <c r="I206" s="75">
        <f>VLOOKUP($A206,'Data Vlaue (Cr)'!$C:$FB,100)</f>
        <v>8540</v>
      </c>
      <c r="J206" s="75">
        <f t="shared" si="32"/>
        <v>-97</v>
      </c>
      <c r="K206" s="75">
        <f t="shared" si="33"/>
        <v>-1.148880729598484</v>
      </c>
      <c r="L206" s="75">
        <f>VLOOKUP($A206,'Data Vlaue (Cr)'!$C:$FB,67)</f>
        <v>4554</v>
      </c>
      <c r="M206" s="75">
        <f>VLOOKUP($A206,'Data Vlaue (Cr)'!$C:$FB,68)</f>
        <v>4800</v>
      </c>
      <c r="N206" s="75">
        <f t="shared" si="34"/>
        <v>-246</v>
      </c>
      <c r="O206" s="75">
        <f t="shared" si="35"/>
        <v>-5.4018445322793154</v>
      </c>
      <c r="P206" s="75">
        <f>VLOOKUP($A206,'Data Vlaue (Cr)'!$C:$FB,119)</f>
        <v>0.79</v>
      </c>
      <c r="Q206" s="75">
        <f>VLOOKUP($A206,'Data Vlaue (Cr)'!$C:$FB,122)*100</f>
        <v>-2.4699999999999998</v>
      </c>
      <c r="R206" s="75">
        <f>VLOOKUP($A206,'Data Vlaue (Cr)'!$C:$FB,125)</f>
        <v>0.62</v>
      </c>
      <c r="S206" s="75">
        <f>VLOOKUP($A206,'Data Vlaue (Cr)'!$C:$FB,128)*100</f>
        <v>1.6400000000000001</v>
      </c>
    </row>
    <row r="207" spans="1:19" x14ac:dyDescent="0.25">
      <c r="A207" s="96" t="str">
        <f>'Data Vlaue (Cr)'!C198</f>
        <v>TATATECH</v>
      </c>
      <c r="B207" s="75">
        <f>VLOOKUP($A207,'Data Vlaue (Cr)'!$C:$FB,2)</f>
        <v>800</v>
      </c>
      <c r="C207" s="75">
        <f>VLOOKUP($A207,'Data Vlaue (Cr)'!$C:$FB,8)</f>
        <v>563.5</v>
      </c>
      <c r="D207" s="75">
        <f>VLOOKUP($A207,'Data Vlaue (Cr)'!$C:$FB,4)</f>
        <v>562.70000000000005</v>
      </c>
      <c r="E207" s="75">
        <f>VLOOKUP($A207,'Data Vlaue (Cr)'!$C:$FB,5)</f>
        <v>575.4</v>
      </c>
      <c r="F207" s="75">
        <f t="shared" si="30"/>
        <v>-0.79999999999995453</v>
      </c>
      <c r="G207" s="75">
        <f t="shared" si="31"/>
        <v>-2.2569752976719268</v>
      </c>
      <c r="H207" s="75">
        <f>VLOOKUP($A207,'Data Vlaue (Cr)'!$C:$FB,99)</f>
        <v>536</v>
      </c>
      <c r="I207" s="75">
        <f>VLOOKUP($A207,'Data Vlaue (Cr)'!$C:$FB,100)</f>
        <v>574</v>
      </c>
      <c r="J207" s="75">
        <f t="shared" si="32"/>
        <v>-38</v>
      </c>
      <c r="K207" s="75">
        <f t="shared" si="33"/>
        <v>-7.08955223880597</v>
      </c>
      <c r="L207" s="75">
        <f>VLOOKUP($A207,'Data Vlaue (Cr)'!$C:$FB,67)</f>
        <v>353</v>
      </c>
      <c r="M207" s="75">
        <f>VLOOKUP($A207,'Data Vlaue (Cr)'!$C:$FB,68)</f>
        <v>213</v>
      </c>
      <c r="N207" s="75">
        <f t="shared" si="34"/>
        <v>140</v>
      </c>
      <c r="O207" s="75">
        <f t="shared" si="35"/>
        <v>39.660056657223798</v>
      </c>
      <c r="P207" s="75">
        <f>VLOOKUP($A207,'Data Vlaue (Cr)'!$C:$FB,119)</f>
        <v>0.78</v>
      </c>
      <c r="Q207" s="75">
        <f>VLOOKUP($A207,'Data Vlaue (Cr)'!$C:$FB,122)*100</f>
        <v>1.3</v>
      </c>
      <c r="R207" s="75">
        <f>VLOOKUP($A207,'Data Vlaue (Cr)'!$C:$FB,125)</f>
        <v>0.74</v>
      </c>
      <c r="S207" s="75">
        <f>VLOOKUP($A207,'Data Vlaue (Cr)'!$C:$FB,128)*100</f>
        <v>39.619999999999997</v>
      </c>
    </row>
    <row r="208" spans="1:19" x14ac:dyDescent="0.25">
      <c r="A208" s="96" t="str">
        <f>'Data Vlaue (Cr)'!C199</f>
        <v>TCS</v>
      </c>
      <c r="B208" s="75">
        <f>VLOOKUP($A208,'Data Vlaue (Cr)'!$C:$FB,2)</f>
        <v>175</v>
      </c>
      <c r="C208" s="75">
        <f>VLOOKUP($A208,'Data Vlaue (Cr)'!$C:$FB,8)</f>
        <v>2521.8000000000002</v>
      </c>
      <c r="D208" s="75">
        <f>VLOOKUP($A208,'Data Vlaue (Cr)'!$C:$FB,4)</f>
        <v>2516.9</v>
      </c>
      <c r="E208" s="75">
        <f>VLOOKUP($A208,'Data Vlaue (Cr)'!$C:$FB,5)</f>
        <v>2529.1999999999998</v>
      </c>
      <c r="F208" s="75">
        <f t="shared" si="30"/>
        <v>-4.9000000000000909</v>
      </c>
      <c r="G208" s="75">
        <f t="shared" si="31"/>
        <v>-0.48869641225315774</v>
      </c>
      <c r="H208" s="75">
        <f>VLOOKUP($A208,'Data Vlaue (Cr)'!$C:$FB,99)</f>
        <v>16750</v>
      </c>
      <c r="I208" s="75">
        <f>VLOOKUP($A208,'Data Vlaue (Cr)'!$C:$FB,100)</f>
        <v>16632</v>
      </c>
      <c r="J208" s="75">
        <f t="shared" si="32"/>
        <v>118</v>
      </c>
      <c r="K208" s="75">
        <f t="shared" si="33"/>
        <v>0.70447761194029845</v>
      </c>
      <c r="L208" s="75">
        <f>VLOOKUP($A208,'Data Vlaue (Cr)'!$C:$FB,67)</f>
        <v>14853</v>
      </c>
      <c r="M208" s="75">
        <f>VLOOKUP($A208,'Data Vlaue (Cr)'!$C:$FB,68)</f>
        <v>18995</v>
      </c>
      <c r="N208" s="75">
        <f t="shared" si="34"/>
        <v>-4142</v>
      </c>
      <c r="O208" s="75">
        <f t="shared" si="35"/>
        <v>-27.88662223119908</v>
      </c>
      <c r="P208" s="75">
        <f>VLOOKUP($A208,'Data Vlaue (Cr)'!$C:$FB,119)</f>
        <v>0.61</v>
      </c>
      <c r="Q208" s="75">
        <f>VLOOKUP($A208,'Data Vlaue (Cr)'!$C:$FB,122)*100</f>
        <v>1.67</v>
      </c>
      <c r="R208" s="75">
        <f>VLOOKUP($A208,'Data Vlaue (Cr)'!$C:$FB,125)</f>
        <v>0.56999999999999995</v>
      </c>
      <c r="S208" s="75">
        <f>VLOOKUP($A208,'Data Vlaue (Cr)'!$C:$FB,128)*100</f>
        <v>-5</v>
      </c>
    </row>
    <row r="209" spans="1:19" x14ac:dyDescent="0.25">
      <c r="A209" s="96" t="str">
        <f>'Data Vlaue (Cr)'!C200</f>
        <v>TECHM</v>
      </c>
      <c r="B209" s="75">
        <f>VLOOKUP($A209,'Data Vlaue (Cr)'!$C:$FB,2)</f>
        <v>600</v>
      </c>
      <c r="C209" s="75">
        <f>VLOOKUP($A209,'Data Vlaue (Cr)'!$C:$FB,8)</f>
        <v>1421.5</v>
      </c>
      <c r="D209" s="75">
        <f>VLOOKUP($A209,'Data Vlaue (Cr)'!$C:$FB,4)</f>
        <v>1424.8</v>
      </c>
      <c r="E209" s="75">
        <f>VLOOKUP($A209,'Data Vlaue (Cr)'!$C:$FB,5)</f>
        <v>1466.7</v>
      </c>
      <c r="F209" s="75">
        <f t="shared" si="30"/>
        <v>3.2999999999999545</v>
      </c>
      <c r="G209" s="75">
        <f t="shared" si="31"/>
        <v>-2.9407636159461044</v>
      </c>
      <c r="H209" s="75">
        <f>VLOOKUP($A209,'Data Vlaue (Cr)'!$C:$FB,99)</f>
        <v>5495</v>
      </c>
      <c r="I209" s="75">
        <f>VLOOKUP($A209,'Data Vlaue (Cr)'!$C:$FB,100)</f>
        <v>5517</v>
      </c>
      <c r="J209" s="75">
        <f t="shared" si="32"/>
        <v>-22</v>
      </c>
      <c r="K209" s="75">
        <f t="shared" si="33"/>
        <v>-0.40036396724294815</v>
      </c>
      <c r="L209" s="75">
        <f>VLOOKUP($A209,'Data Vlaue (Cr)'!$C:$FB,67)</f>
        <v>12908</v>
      </c>
      <c r="M209" s="75">
        <f>VLOOKUP($A209,'Data Vlaue (Cr)'!$C:$FB,68)</f>
        <v>30428</v>
      </c>
      <c r="N209" s="75">
        <f t="shared" si="34"/>
        <v>-17520</v>
      </c>
      <c r="O209" s="75">
        <f t="shared" si="35"/>
        <v>-135.72977998140686</v>
      </c>
      <c r="P209" s="75">
        <f>VLOOKUP($A209,'Data Vlaue (Cr)'!$C:$FB,119)</f>
        <v>0.48</v>
      </c>
      <c r="Q209" s="75">
        <f>VLOOKUP($A209,'Data Vlaue (Cr)'!$C:$FB,122)*100</f>
        <v>-31.430000000000003</v>
      </c>
      <c r="R209" s="75">
        <f>VLOOKUP($A209,'Data Vlaue (Cr)'!$C:$FB,125)</f>
        <v>0.53</v>
      </c>
      <c r="S209" s="75">
        <f>VLOOKUP($A209,'Data Vlaue (Cr)'!$C:$FB,128)*100</f>
        <v>-20.9</v>
      </c>
    </row>
    <row r="210" spans="1:19" x14ac:dyDescent="0.25">
      <c r="A210" s="96" t="str">
        <f>'Data Vlaue (Cr)'!C201</f>
        <v>TIINDIA</v>
      </c>
      <c r="B210" s="75">
        <f>VLOOKUP($A210,'Data Vlaue (Cr)'!$C:$FB,2)</f>
        <v>200</v>
      </c>
      <c r="C210" s="75">
        <f>VLOOKUP($A210,'Data Vlaue (Cr)'!$C:$FB,8)</f>
        <v>3086.8</v>
      </c>
      <c r="D210" s="75">
        <f>VLOOKUP($A210,'Data Vlaue (Cr)'!$C:$FB,4)</f>
        <v>3099</v>
      </c>
      <c r="E210" s="75">
        <f>VLOOKUP($A210,'Data Vlaue (Cr)'!$C:$FB,5)</f>
        <v>3027.7</v>
      </c>
      <c r="F210" s="75">
        <f t="shared" si="30"/>
        <v>12.199999999999818</v>
      </c>
      <c r="G210" s="75">
        <f t="shared" si="31"/>
        <v>2.3007421748951331</v>
      </c>
      <c r="H210" s="75">
        <f>VLOOKUP($A210,'Data Vlaue (Cr)'!$C:$FB,99)</f>
        <v>1266</v>
      </c>
      <c r="I210" s="75">
        <f>VLOOKUP($A210,'Data Vlaue (Cr)'!$C:$FB,100)</f>
        <v>1201</v>
      </c>
      <c r="J210" s="75">
        <f t="shared" si="32"/>
        <v>65</v>
      </c>
      <c r="K210" s="75">
        <f t="shared" si="33"/>
        <v>5.1342812006319116</v>
      </c>
      <c r="L210" s="75">
        <f>VLOOKUP($A210,'Data Vlaue (Cr)'!$C:$FB,67)</f>
        <v>2283</v>
      </c>
      <c r="M210" s="75">
        <f>VLOOKUP($A210,'Data Vlaue (Cr)'!$C:$FB,68)</f>
        <v>1925</v>
      </c>
      <c r="N210" s="75">
        <f t="shared" si="34"/>
        <v>358</v>
      </c>
      <c r="O210" s="75">
        <f t="shared" si="35"/>
        <v>15.681121331581252</v>
      </c>
      <c r="P210" s="75">
        <f>VLOOKUP($A210,'Data Vlaue (Cr)'!$C:$FB,119)</f>
        <v>0.83</v>
      </c>
      <c r="Q210" s="75">
        <f>VLOOKUP($A210,'Data Vlaue (Cr)'!$C:$FB,122)*100</f>
        <v>-2.35</v>
      </c>
      <c r="R210" s="75">
        <f>VLOOKUP($A210,'Data Vlaue (Cr)'!$C:$FB,125)</f>
        <v>0.42</v>
      </c>
      <c r="S210" s="75">
        <f>VLOOKUP($A210,'Data Vlaue (Cr)'!$C:$FB,128)*100</f>
        <v>16.669999999999998</v>
      </c>
    </row>
    <row r="211" spans="1:19" x14ac:dyDescent="0.25">
      <c r="A211" s="96" t="str">
        <f>'Data Vlaue (Cr)'!C202</f>
        <v>TITAN</v>
      </c>
      <c r="B211" s="75">
        <f>VLOOKUP($A211,'Data Vlaue (Cr)'!$C:$FB,2)</f>
        <v>175</v>
      </c>
      <c r="C211" s="75">
        <f>VLOOKUP($A211,'Data Vlaue (Cr)'!$C:$FB,8)</f>
        <v>4456.5</v>
      </c>
      <c r="D211" s="75">
        <f>VLOOKUP($A211,'Data Vlaue (Cr)'!$C:$FB,4)</f>
        <v>4453.5</v>
      </c>
      <c r="E211" s="75">
        <f>VLOOKUP($A211,'Data Vlaue (Cr)'!$C:$FB,5)</f>
        <v>4455.6000000000004</v>
      </c>
      <c r="F211" s="75">
        <f t="shared" si="30"/>
        <v>-3</v>
      </c>
      <c r="G211" s="75">
        <f t="shared" si="31"/>
        <v>-4.7153923880102477E-2</v>
      </c>
      <c r="H211" s="75">
        <f>VLOOKUP($A211,'Data Vlaue (Cr)'!$C:$FB,99)</f>
        <v>6969</v>
      </c>
      <c r="I211" s="75">
        <f>VLOOKUP($A211,'Data Vlaue (Cr)'!$C:$FB,100)</f>
        <v>7073</v>
      </c>
      <c r="J211" s="75">
        <f t="shared" si="32"/>
        <v>-104</v>
      </c>
      <c r="K211" s="75">
        <f t="shared" si="33"/>
        <v>-1.4923231453580141</v>
      </c>
      <c r="L211" s="75">
        <f>VLOOKUP($A211,'Data Vlaue (Cr)'!$C:$FB,67)</f>
        <v>4846</v>
      </c>
      <c r="M211" s="75">
        <f>VLOOKUP($A211,'Data Vlaue (Cr)'!$C:$FB,68)</f>
        <v>3042</v>
      </c>
      <c r="N211" s="75">
        <f t="shared" si="34"/>
        <v>1804</v>
      </c>
      <c r="O211" s="75">
        <f t="shared" si="35"/>
        <v>37.226578621543545</v>
      </c>
      <c r="P211" s="75">
        <f>VLOOKUP($A211,'Data Vlaue (Cr)'!$C:$FB,119)</f>
        <v>0.76</v>
      </c>
      <c r="Q211" s="75">
        <f>VLOOKUP($A211,'Data Vlaue (Cr)'!$C:$FB,122)*100</f>
        <v>-3.8</v>
      </c>
      <c r="R211" s="75">
        <f>VLOOKUP($A211,'Data Vlaue (Cr)'!$C:$FB,125)</f>
        <v>0.82</v>
      </c>
      <c r="S211" s="75">
        <f>VLOOKUP($A211,'Data Vlaue (Cr)'!$C:$FB,128)*100</f>
        <v>7.89</v>
      </c>
    </row>
    <row r="212" spans="1:19" x14ac:dyDescent="0.25">
      <c r="A212" s="96" t="str">
        <f>'Data Vlaue (Cr)'!C203</f>
        <v>TMPV</v>
      </c>
      <c r="B212" s="75">
        <f>VLOOKUP($A212,'Data Vlaue (Cr)'!$C:$FB,2)</f>
        <v>800</v>
      </c>
      <c r="C212" s="75">
        <f>VLOOKUP($A212,'Data Vlaue (Cr)'!$C:$FB,8)</f>
        <v>351.95</v>
      </c>
      <c r="D212" s="75">
        <f>VLOOKUP($A212,'Data Vlaue (Cr)'!$C:$FB,4)</f>
        <v>350.95</v>
      </c>
      <c r="E212" s="75">
        <f>VLOOKUP($A212,'Data Vlaue (Cr)'!$C:$FB,5)</f>
        <v>360.5</v>
      </c>
      <c r="F212" s="75">
        <f t="shared" si="30"/>
        <v>-1</v>
      </c>
      <c r="G212" s="75">
        <f t="shared" si="31"/>
        <v>-2.7211853540390405</v>
      </c>
      <c r="H212" s="75">
        <f>VLOOKUP($A212,'Data Vlaue (Cr)'!$C:$FB,99)</f>
        <v>4536</v>
      </c>
      <c r="I212" s="75">
        <f>VLOOKUP($A212,'Data Vlaue (Cr)'!$C:$FB,100)</f>
        <v>4516</v>
      </c>
      <c r="J212" s="75">
        <f t="shared" si="32"/>
        <v>20</v>
      </c>
      <c r="K212" s="75">
        <f t="shared" si="33"/>
        <v>0.44091710758377423</v>
      </c>
      <c r="L212" s="75">
        <f>VLOOKUP($A212,'Data Vlaue (Cr)'!$C:$FB,67)</f>
        <v>5604</v>
      </c>
      <c r="M212" s="75">
        <f>VLOOKUP($A212,'Data Vlaue (Cr)'!$C:$FB,68)</f>
        <v>5703</v>
      </c>
      <c r="N212" s="75">
        <f t="shared" si="34"/>
        <v>-99</v>
      </c>
      <c r="O212" s="75">
        <f t="shared" si="35"/>
        <v>-1.7665952890792294</v>
      </c>
      <c r="P212" s="75">
        <f>VLOOKUP($A212,'Data Vlaue (Cr)'!$C:$FB,119)</f>
        <v>0.74</v>
      </c>
      <c r="Q212" s="75">
        <f>VLOOKUP($A212,'Data Vlaue (Cr)'!$C:$FB,122)*100</f>
        <v>-7.5</v>
      </c>
      <c r="R212" s="75">
        <f>VLOOKUP($A212,'Data Vlaue (Cr)'!$C:$FB,125)</f>
        <v>0.73</v>
      </c>
      <c r="S212" s="75">
        <f>VLOOKUP($A212,'Data Vlaue (Cr)'!$C:$FB,128)*100</f>
        <v>21.67</v>
      </c>
    </row>
    <row r="213" spans="1:19" x14ac:dyDescent="0.25">
      <c r="A213" s="96" t="str">
        <f>'Data Vlaue (Cr)'!C204</f>
        <v>TORNTPHARM</v>
      </c>
      <c r="B213" s="75">
        <f>VLOOKUP($A213,'Data Vlaue (Cr)'!$C:$FB,2)</f>
        <v>250</v>
      </c>
      <c r="C213" s="75">
        <f>VLOOKUP($A213,'Data Vlaue (Cr)'!$C:$FB,8)</f>
        <v>4147.2</v>
      </c>
      <c r="D213" s="75">
        <f>VLOOKUP($A213,'Data Vlaue (Cr)'!$C:$FB,4)</f>
        <v>4155</v>
      </c>
      <c r="E213" s="75">
        <f>VLOOKUP($A213,'Data Vlaue (Cr)'!$C:$FB,5)</f>
        <v>4068.2</v>
      </c>
      <c r="F213" s="75">
        <f t="shared" si="30"/>
        <v>7.8000000000001819</v>
      </c>
      <c r="G213" s="75">
        <f t="shared" si="31"/>
        <v>2.0890493381468156</v>
      </c>
      <c r="H213" s="75">
        <f>VLOOKUP($A213,'Data Vlaue (Cr)'!$C:$FB,99)</f>
        <v>1768</v>
      </c>
      <c r="I213" s="75">
        <f>VLOOKUP($A213,'Data Vlaue (Cr)'!$C:$FB,100)</f>
        <v>1829</v>
      </c>
      <c r="J213" s="75">
        <f t="shared" si="32"/>
        <v>-61</v>
      </c>
      <c r="K213" s="75">
        <f t="shared" si="33"/>
        <v>-3.4502262443438916</v>
      </c>
      <c r="L213" s="75">
        <f>VLOOKUP($A213,'Data Vlaue (Cr)'!$C:$FB,67)</f>
        <v>2502</v>
      </c>
      <c r="M213" s="75">
        <f>VLOOKUP($A213,'Data Vlaue (Cr)'!$C:$FB,68)</f>
        <v>920</v>
      </c>
      <c r="N213" s="75">
        <f t="shared" si="34"/>
        <v>1582</v>
      </c>
      <c r="O213" s="75">
        <f t="shared" si="35"/>
        <v>63.229416466826535</v>
      </c>
      <c r="P213" s="75">
        <f>VLOOKUP($A213,'Data Vlaue (Cr)'!$C:$FB,119)</f>
        <v>0.72</v>
      </c>
      <c r="Q213" s="75">
        <f>VLOOKUP($A213,'Data Vlaue (Cr)'!$C:$FB,122)*100</f>
        <v>2.86</v>
      </c>
      <c r="R213" s="75">
        <f>VLOOKUP($A213,'Data Vlaue (Cr)'!$C:$FB,125)</f>
        <v>0.33</v>
      </c>
      <c r="S213" s="75">
        <f>VLOOKUP($A213,'Data Vlaue (Cr)'!$C:$FB,128)*100</f>
        <v>-56.000000000000007</v>
      </c>
    </row>
    <row r="214" spans="1:19" x14ac:dyDescent="0.25">
      <c r="A214" s="96" t="str">
        <f>'Data Vlaue (Cr)'!C205</f>
        <v>TORNTPOWER</v>
      </c>
      <c r="B214" s="75">
        <f>VLOOKUP($A214,'Data Vlaue (Cr)'!$C:$FB,2)</f>
        <v>425</v>
      </c>
      <c r="C214" s="75">
        <f>VLOOKUP($A214,'Data Vlaue (Cr)'!$C:$FB,8)</f>
        <v>1737</v>
      </c>
      <c r="D214" s="75">
        <f>VLOOKUP($A214,'Data Vlaue (Cr)'!$C:$FB,4)</f>
        <v>1740.4</v>
      </c>
      <c r="E214" s="75">
        <f>VLOOKUP($A214,'Data Vlaue (Cr)'!$C:$FB,5)</f>
        <v>1657.1</v>
      </c>
      <c r="F214" s="75">
        <f t="shared" si="30"/>
        <v>3.4000000000000909</v>
      </c>
      <c r="G214" s="75">
        <f t="shared" si="31"/>
        <v>4.7862560330958503</v>
      </c>
      <c r="H214" s="75">
        <f>VLOOKUP($A214,'Data Vlaue (Cr)'!$C:$FB,99)</f>
        <v>1036</v>
      </c>
      <c r="I214" s="75">
        <f>VLOOKUP($A214,'Data Vlaue (Cr)'!$C:$FB,100)</f>
        <v>1048</v>
      </c>
      <c r="J214" s="75">
        <f t="shared" si="32"/>
        <v>-12</v>
      </c>
      <c r="K214" s="75">
        <f t="shared" si="33"/>
        <v>-1.1583011583011582</v>
      </c>
      <c r="L214" s="75">
        <f>VLOOKUP($A214,'Data Vlaue (Cr)'!$C:$FB,67)</f>
        <v>2070</v>
      </c>
      <c r="M214" s="75">
        <f>VLOOKUP($A214,'Data Vlaue (Cr)'!$C:$FB,68)</f>
        <v>1493</v>
      </c>
      <c r="N214" s="75">
        <f t="shared" si="34"/>
        <v>577</v>
      </c>
      <c r="O214" s="75">
        <f t="shared" si="35"/>
        <v>27.874396135265698</v>
      </c>
      <c r="P214" s="75">
        <f>VLOOKUP($A214,'Data Vlaue (Cr)'!$C:$FB,119)</f>
        <v>1.2</v>
      </c>
      <c r="Q214" s="75">
        <f>VLOOKUP($A214,'Data Vlaue (Cr)'!$C:$FB,122)*100</f>
        <v>36.36</v>
      </c>
      <c r="R214" s="75">
        <f>VLOOKUP($A214,'Data Vlaue (Cr)'!$C:$FB,125)</f>
        <v>0.5</v>
      </c>
      <c r="S214" s="75">
        <f>VLOOKUP($A214,'Data Vlaue (Cr)'!$C:$FB,128)*100</f>
        <v>85.19</v>
      </c>
    </row>
    <row r="215" spans="1:19" x14ac:dyDescent="0.25">
      <c r="A215" s="96" t="str">
        <f>'Data Vlaue (Cr)'!C206</f>
        <v>TRENT</v>
      </c>
      <c r="B215" s="75">
        <f>VLOOKUP($A215,'Data Vlaue (Cr)'!$C:$FB,2)</f>
        <v>100</v>
      </c>
      <c r="C215" s="75">
        <f>VLOOKUP($A215,'Data Vlaue (Cr)'!$C:$FB,8)</f>
        <v>4251.3999999999996</v>
      </c>
      <c r="D215" s="75">
        <f>VLOOKUP($A215,'Data Vlaue (Cr)'!$C:$FB,4)</f>
        <v>4237.8</v>
      </c>
      <c r="E215" s="75">
        <f>VLOOKUP($A215,'Data Vlaue (Cr)'!$C:$FB,5)</f>
        <v>4438.1000000000004</v>
      </c>
      <c r="F215" s="75">
        <f t="shared" ref="F215:F221" si="36">D215-C215</f>
        <v>-13.599999999999454</v>
      </c>
      <c r="G215" s="75">
        <f t="shared" ref="G215:G221" si="37">(D215-E215)/D215*100</f>
        <v>-4.726509037708249</v>
      </c>
      <c r="H215" s="75">
        <f>VLOOKUP($A215,'Data Vlaue (Cr)'!$C:$FB,99)</f>
        <v>7664</v>
      </c>
      <c r="I215" s="75">
        <f>VLOOKUP($A215,'Data Vlaue (Cr)'!$C:$FB,100)</f>
        <v>7224</v>
      </c>
      <c r="J215" s="75">
        <f t="shared" ref="J215:J221" si="38">H215-I215</f>
        <v>440</v>
      </c>
      <c r="K215" s="75">
        <f t="shared" ref="K215:K221" si="39">J215/H215*100</f>
        <v>5.7411273486430066</v>
      </c>
      <c r="L215" s="75">
        <f>VLOOKUP($A215,'Data Vlaue (Cr)'!$C:$FB,67)</f>
        <v>24516</v>
      </c>
      <c r="M215" s="75">
        <f>VLOOKUP($A215,'Data Vlaue (Cr)'!$C:$FB,68)</f>
        <v>13311</v>
      </c>
      <c r="N215" s="75">
        <f t="shared" ref="N215:N221" si="40">L215-M215</f>
        <v>11205</v>
      </c>
      <c r="O215" s="75">
        <f t="shared" ref="O215:O221" si="41">N215/L215*100</f>
        <v>45.704845814977972</v>
      </c>
      <c r="P215" s="75">
        <f>VLOOKUP($A215,'Data Vlaue (Cr)'!$C:$FB,119)</f>
        <v>0.56999999999999995</v>
      </c>
      <c r="Q215" s="75">
        <f>VLOOKUP($A215,'Data Vlaue (Cr)'!$C:$FB,122)*100</f>
        <v>-26.919999999999998</v>
      </c>
      <c r="R215" s="75">
        <f>VLOOKUP($A215,'Data Vlaue (Cr)'!$C:$FB,125)</f>
        <v>0.56000000000000005</v>
      </c>
      <c r="S215" s="75">
        <f>VLOOKUP($A215,'Data Vlaue (Cr)'!$C:$FB,128)*100</f>
        <v>16.669999999999998</v>
      </c>
    </row>
    <row r="216" spans="1:19" x14ac:dyDescent="0.25">
      <c r="A216" s="96" t="str">
        <f>'Data Vlaue (Cr)'!C207</f>
        <v>TVSMOTOR</v>
      </c>
      <c r="B216" s="75">
        <f>VLOOKUP($A216,'Data Vlaue (Cr)'!$C:$FB,2)</f>
        <v>175</v>
      </c>
      <c r="C216" s="75">
        <f>VLOOKUP($A216,'Data Vlaue (Cr)'!$C:$FB,8)</f>
        <v>3513</v>
      </c>
      <c r="D216" s="75">
        <f>VLOOKUP($A216,'Data Vlaue (Cr)'!$C:$FB,4)</f>
        <v>3513.2</v>
      </c>
      <c r="E216" s="75">
        <f>VLOOKUP($A216,'Data Vlaue (Cr)'!$C:$FB,5)</f>
        <v>3669.2</v>
      </c>
      <c r="F216" s="75">
        <f t="shared" si="36"/>
        <v>0.1999999999998181</v>
      </c>
      <c r="G216" s="75">
        <f t="shared" si="37"/>
        <v>-4.4403962199703972</v>
      </c>
      <c r="H216" s="75">
        <f>VLOOKUP($A216,'Data Vlaue (Cr)'!$C:$FB,99)</f>
        <v>4451</v>
      </c>
      <c r="I216" s="75">
        <f>VLOOKUP($A216,'Data Vlaue (Cr)'!$C:$FB,100)</f>
        <v>4145</v>
      </c>
      <c r="J216" s="75">
        <f t="shared" si="38"/>
        <v>306</v>
      </c>
      <c r="K216" s="75">
        <f t="shared" si="39"/>
        <v>6.8748595821163789</v>
      </c>
      <c r="L216" s="75">
        <f>VLOOKUP($A216,'Data Vlaue (Cr)'!$C:$FB,67)</f>
        <v>5095</v>
      </c>
      <c r="M216" s="75">
        <f>VLOOKUP($A216,'Data Vlaue (Cr)'!$C:$FB,68)</f>
        <v>1723</v>
      </c>
      <c r="N216" s="75">
        <f t="shared" si="40"/>
        <v>3372</v>
      </c>
      <c r="O216" s="75">
        <f t="shared" si="41"/>
        <v>66.182531894013735</v>
      </c>
      <c r="P216" s="75">
        <f>VLOOKUP($A216,'Data Vlaue (Cr)'!$C:$FB,119)</f>
        <v>0.49</v>
      </c>
      <c r="Q216" s="75">
        <f>VLOOKUP($A216,'Data Vlaue (Cr)'!$C:$FB,122)*100</f>
        <v>-12.5</v>
      </c>
      <c r="R216" s="75">
        <f>VLOOKUP($A216,'Data Vlaue (Cr)'!$C:$FB,125)</f>
        <v>0.7</v>
      </c>
      <c r="S216" s="75">
        <f>VLOOKUP($A216,'Data Vlaue (Cr)'!$C:$FB,128)*100</f>
        <v>89.19</v>
      </c>
    </row>
    <row r="217" spans="1:19" x14ac:dyDescent="0.25">
      <c r="A217" s="96" t="str">
        <f>'Data Vlaue (Cr)'!C208</f>
        <v>ULTRACEMCO</v>
      </c>
      <c r="B217" s="75">
        <f>VLOOKUP($A217,'Data Vlaue (Cr)'!$C:$FB,2)</f>
        <v>50</v>
      </c>
      <c r="C217" s="75">
        <f>VLOOKUP($A217,'Data Vlaue (Cr)'!$C:$FB,8)</f>
        <v>12167</v>
      </c>
      <c r="D217" s="75">
        <f>VLOOKUP($A217,'Data Vlaue (Cr)'!$C:$FB,4)</f>
        <v>12176</v>
      </c>
      <c r="E217" s="75">
        <f>VLOOKUP($A217,'Data Vlaue (Cr)'!$C:$FB,5)</f>
        <v>12171</v>
      </c>
      <c r="F217" s="75">
        <f t="shared" si="36"/>
        <v>9</v>
      </c>
      <c r="G217" s="75">
        <f t="shared" si="37"/>
        <v>4.1064388961892247E-2</v>
      </c>
      <c r="H217" s="75">
        <f>VLOOKUP($A217,'Data Vlaue (Cr)'!$C:$FB,99)</f>
        <v>5293</v>
      </c>
      <c r="I217" s="75">
        <f>VLOOKUP($A217,'Data Vlaue (Cr)'!$C:$FB,100)</f>
        <v>4812</v>
      </c>
      <c r="J217" s="75">
        <f t="shared" si="38"/>
        <v>481</v>
      </c>
      <c r="K217" s="75">
        <f t="shared" si="39"/>
        <v>9.0874740222935948</v>
      </c>
      <c r="L217" s="75">
        <f>VLOOKUP($A217,'Data Vlaue (Cr)'!$C:$FB,67)</f>
        <v>5631</v>
      </c>
      <c r="M217" s="75">
        <f>VLOOKUP($A217,'Data Vlaue (Cr)'!$C:$FB,68)</f>
        <v>3405</v>
      </c>
      <c r="N217" s="75">
        <f t="shared" si="40"/>
        <v>2226</v>
      </c>
      <c r="O217" s="75">
        <f t="shared" si="41"/>
        <v>39.531166755460838</v>
      </c>
      <c r="P217" s="75">
        <f>VLOOKUP($A217,'Data Vlaue (Cr)'!$C:$FB,119)</f>
        <v>0.6</v>
      </c>
      <c r="Q217" s="75">
        <f>VLOOKUP($A217,'Data Vlaue (Cr)'!$C:$FB,122)*100</f>
        <v>-17.810000000000002</v>
      </c>
      <c r="R217" s="75">
        <f>VLOOKUP($A217,'Data Vlaue (Cr)'!$C:$FB,125)</f>
        <v>0.9</v>
      </c>
      <c r="S217" s="75">
        <f>VLOOKUP($A217,'Data Vlaue (Cr)'!$C:$FB,128)*100</f>
        <v>66.67</v>
      </c>
    </row>
    <row r="218" spans="1:19" x14ac:dyDescent="0.25">
      <c r="A218" s="96" t="str">
        <f>'Data Vlaue (Cr)'!C209</f>
        <v>UNIONBANK</v>
      </c>
      <c r="B218" s="75">
        <f>VLOOKUP($A218,'Data Vlaue (Cr)'!$C:$FB,2)</f>
        <v>4425</v>
      </c>
      <c r="C218" s="75">
        <f>VLOOKUP($A218,'Data Vlaue (Cr)'!$C:$FB,8)</f>
        <v>179.71</v>
      </c>
      <c r="D218" s="75">
        <f>VLOOKUP($A218,'Data Vlaue (Cr)'!$C:$FB,4)</f>
        <v>179.4</v>
      </c>
      <c r="E218" s="75">
        <f>VLOOKUP($A218,'Data Vlaue (Cr)'!$C:$FB,5)</f>
        <v>193.31</v>
      </c>
      <c r="F218" s="75">
        <f t="shared" si="36"/>
        <v>-0.31000000000000227</v>
      </c>
      <c r="G218" s="75">
        <f t="shared" si="37"/>
        <v>-7.7536231884057951</v>
      </c>
      <c r="H218" s="75">
        <f>VLOOKUP($A218,'Data Vlaue (Cr)'!$C:$FB,99)</f>
        <v>4352</v>
      </c>
      <c r="I218" s="75">
        <f>VLOOKUP($A218,'Data Vlaue (Cr)'!$C:$FB,100)</f>
        <v>3752</v>
      </c>
      <c r="J218" s="75">
        <f t="shared" si="38"/>
        <v>600</v>
      </c>
      <c r="K218" s="75">
        <f t="shared" si="39"/>
        <v>13.786764705882353</v>
      </c>
      <c r="L218" s="75">
        <f>VLOOKUP($A218,'Data Vlaue (Cr)'!$C:$FB,67)</f>
        <v>15312</v>
      </c>
      <c r="M218" s="75">
        <f>VLOOKUP($A218,'Data Vlaue (Cr)'!$C:$FB,68)</f>
        <v>4248</v>
      </c>
      <c r="N218" s="75">
        <f t="shared" si="40"/>
        <v>11064</v>
      </c>
      <c r="O218" s="75">
        <f t="shared" si="41"/>
        <v>72.257053291536053</v>
      </c>
      <c r="P218" s="75">
        <f>VLOOKUP($A218,'Data Vlaue (Cr)'!$C:$FB,119)</f>
        <v>0.57999999999999996</v>
      </c>
      <c r="Q218" s="75">
        <f>VLOOKUP($A218,'Data Vlaue (Cr)'!$C:$FB,122)*100</f>
        <v>-20.549999999999997</v>
      </c>
      <c r="R218" s="75">
        <f>VLOOKUP($A218,'Data Vlaue (Cr)'!$C:$FB,125)</f>
        <v>0.65</v>
      </c>
      <c r="S218" s="75">
        <f>VLOOKUP($A218,'Data Vlaue (Cr)'!$C:$FB,128)*100</f>
        <v>30</v>
      </c>
    </row>
    <row r="219" spans="1:19" x14ac:dyDescent="0.25">
      <c r="A219" s="96" t="str">
        <f>'Data Vlaue (Cr)'!C210</f>
        <v>UNITDSPR</v>
      </c>
      <c r="B219" s="75">
        <f>VLOOKUP($A219,'Data Vlaue (Cr)'!$C:$FB,2)</f>
        <v>400</v>
      </c>
      <c r="C219" s="75">
        <f>VLOOKUP($A219,'Data Vlaue (Cr)'!$C:$FB,8)</f>
        <v>1382.3</v>
      </c>
      <c r="D219" s="75">
        <f>VLOOKUP($A219,'Data Vlaue (Cr)'!$C:$FB,4)</f>
        <v>1380.5</v>
      </c>
      <c r="E219" s="75">
        <f>VLOOKUP($A219,'Data Vlaue (Cr)'!$C:$FB,5)</f>
        <v>1390.4</v>
      </c>
      <c r="F219" s="75">
        <f t="shared" si="36"/>
        <v>-1.7999999999999545</v>
      </c>
      <c r="G219" s="75">
        <f t="shared" si="37"/>
        <v>-0.71713147410359224</v>
      </c>
      <c r="H219" s="75">
        <f>VLOOKUP($A219,'Data Vlaue (Cr)'!$C:$FB,99)</f>
        <v>2590</v>
      </c>
      <c r="I219" s="75">
        <f>VLOOKUP($A219,'Data Vlaue (Cr)'!$C:$FB,100)</f>
        <v>2631</v>
      </c>
      <c r="J219" s="75">
        <f t="shared" si="38"/>
        <v>-41</v>
      </c>
      <c r="K219" s="75">
        <f t="shared" si="39"/>
        <v>-1.583011583011583</v>
      </c>
      <c r="L219" s="75">
        <f>VLOOKUP($A219,'Data Vlaue (Cr)'!$C:$FB,67)</f>
        <v>1541</v>
      </c>
      <c r="M219" s="75">
        <f>VLOOKUP($A219,'Data Vlaue (Cr)'!$C:$FB,68)</f>
        <v>2547</v>
      </c>
      <c r="N219" s="75">
        <f t="shared" si="40"/>
        <v>-1006</v>
      </c>
      <c r="O219" s="75">
        <f t="shared" si="41"/>
        <v>-65.282284231018821</v>
      </c>
      <c r="P219" s="75">
        <f>VLOOKUP($A219,'Data Vlaue (Cr)'!$C:$FB,119)</f>
        <v>0.93</v>
      </c>
      <c r="Q219" s="75">
        <f>VLOOKUP($A219,'Data Vlaue (Cr)'!$C:$FB,122)*100</f>
        <v>3.3300000000000005</v>
      </c>
      <c r="R219" s="75">
        <f>VLOOKUP($A219,'Data Vlaue (Cr)'!$C:$FB,125)</f>
        <v>0.52</v>
      </c>
      <c r="S219" s="75">
        <f>VLOOKUP($A219,'Data Vlaue (Cr)'!$C:$FB,128)*100</f>
        <v>-1.8900000000000001</v>
      </c>
    </row>
    <row r="220" spans="1:19" x14ac:dyDescent="0.25">
      <c r="A220" s="96" t="str">
        <f>'Data Vlaue (Cr)'!C211</f>
        <v>UNOMINDA</v>
      </c>
      <c r="B220" s="75">
        <f>VLOOKUP($A220,'Data Vlaue (Cr)'!$C:$FB,2)</f>
        <v>550</v>
      </c>
      <c r="C220" s="75">
        <f>VLOOKUP($A220,'Data Vlaue (Cr)'!$C:$FB,8)</f>
        <v>1130.0999999999999</v>
      </c>
      <c r="D220" s="75">
        <f>VLOOKUP($A220,'Data Vlaue (Cr)'!$C:$FB,4)</f>
        <v>1131</v>
      </c>
      <c r="E220" s="75">
        <f>VLOOKUP($A220,'Data Vlaue (Cr)'!$C:$FB,5)</f>
        <v>1149.9000000000001</v>
      </c>
      <c r="F220" s="75">
        <f t="shared" si="36"/>
        <v>0.90000000000009095</v>
      </c>
      <c r="G220" s="75">
        <f t="shared" si="37"/>
        <v>-1.6710875331565067</v>
      </c>
      <c r="H220" s="75">
        <f>VLOOKUP($A220,'Data Vlaue (Cr)'!$C:$FB,99)</f>
        <v>781</v>
      </c>
      <c r="I220" s="75">
        <f>VLOOKUP($A220,'Data Vlaue (Cr)'!$C:$FB,100)</f>
        <v>815</v>
      </c>
      <c r="J220" s="75">
        <f t="shared" si="38"/>
        <v>-34</v>
      </c>
      <c r="K220" s="75">
        <f t="shared" si="39"/>
        <v>-4.3533930857874523</v>
      </c>
      <c r="L220" s="75">
        <f>VLOOKUP($A220,'Data Vlaue (Cr)'!$C:$FB,67)</f>
        <v>668</v>
      </c>
      <c r="M220" s="75">
        <f>VLOOKUP($A220,'Data Vlaue (Cr)'!$C:$FB,68)</f>
        <v>308</v>
      </c>
      <c r="N220" s="75">
        <f t="shared" si="40"/>
        <v>360</v>
      </c>
      <c r="O220" s="75">
        <f t="shared" si="41"/>
        <v>53.892215568862277</v>
      </c>
      <c r="P220" s="75">
        <f>VLOOKUP($A220,'Data Vlaue (Cr)'!$C:$FB,119)</f>
        <v>0.5</v>
      </c>
      <c r="Q220" s="75">
        <f>VLOOKUP($A220,'Data Vlaue (Cr)'!$C:$FB,122)*100</f>
        <v>0</v>
      </c>
      <c r="R220" s="75">
        <f>VLOOKUP($A220,'Data Vlaue (Cr)'!$C:$FB,125)</f>
        <v>0.43</v>
      </c>
      <c r="S220" s="75">
        <f>VLOOKUP($A220,'Data Vlaue (Cr)'!$C:$FB,128)*100</f>
        <v>65.38000000000001</v>
      </c>
    </row>
    <row r="221" spans="1:19" x14ac:dyDescent="0.25">
      <c r="A221" s="96" t="str">
        <f>'Data Vlaue (Cr)'!C212</f>
        <v>UPL</v>
      </c>
      <c r="B221" s="75">
        <f>VLOOKUP($A221,'Data Vlaue (Cr)'!$C:$FB,2)</f>
        <v>1355</v>
      </c>
      <c r="C221" s="75">
        <f>VLOOKUP($A221,'Data Vlaue (Cr)'!$C:$FB,8)</f>
        <v>642.04999999999995</v>
      </c>
      <c r="D221" s="75">
        <f>VLOOKUP($A221,'Data Vlaue (Cr)'!$C:$FB,4)</f>
        <v>641.65</v>
      </c>
      <c r="E221" s="75">
        <f>VLOOKUP($A221,'Data Vlaue (Cr)'!$C:$FB,5)</f>
        <v>655.25</v>
      </c>
      <c r="F221" s="75">
        <f t="shared" si="36"/>
        <v>-0.39999999999997726</v>
      </c>
      <c r="G221" s="75">
        <f t="shared" si="37"/>
        <v>-2.1195355723525324</v>
      </c>
      <c r="H221" s="75">
        <f>VLOOKUP($A221,'Data Vlaue (Cr)'!$C:$FB,99)</f>
        <v>3188</v>
      </c>
      <c r="I221" s="75">
        <f>VLOOKUP($A221,'Data Vlaue (Cr)'!$C:$FB,100)</f>
        <v>3144</v>
      </c>
      <c r="J221" s="75">
        <f t="shared" si="38"/>
        <v>44</v>
      </c>
      <c r="K221" s="75">
        <f t="shared" si="39"/>
        <v>1.3801756587202008</v>
      </c>
      <c r="L221" s="75">
        <f>VLOOKUP($A221,'Data Vlaue (Cr)'!$C:$FB,67)</f>
        <v>2114</v>
      </c>
      <c r="M221" s="75">
        <f>VLOOKUP($A221,'Data Vlaue (Cr)'!$C:$FB,68)</f>
        <v>1043</v>
      </c>
      <c r="N221" s="75">
        <f t="shared" si="40"/>
        <v>1071</v>
      </c>
      <c r="O221" s="75">
        <f t="shared" si="41"/>
        <v>50.662251655629142</v>
      </c>
      <c r="P221" s="75">
        <f>VLOOKUP($A221,'Data Vlaue (Cr)'!$C:$FB,119)</f>
        <v>0.77</v>
      </c>
      <c r="Q221" s="75">
        <f>VLOOKUP($A221,'Data Vlaue (Cr)'!$C:$FB,122)*100</f>
        <v>2.67</v>
      </c>
      <c r="R221" s="75">
        <f>VLOOKUP($A221,'Data Vlaue (Cr)'!$C:$FB,125)</f>
        <v>0.6</v>
      </c>
      <c r="S221" s="75">
        <f>VLOOKUP($A221,'Data Vlaue (Cr)'!$C:$FB,128)*100</f>
        <v>-1.6400000000000001</v>
      </c>
    </row>
    <row r="222" spans="1:19" x14ac:dyDescent="0.25">
      <c r="A222" s="96" t="str">
        <f>'Data Vlaue (Cr)'!C213</f>
        <v>VBL</v>
      </c>
      <c r="B222" s="75">
        <f>VLOOKUP($A222,'Data Vlaue (Cr)'!$C:$FB,2)</f>
        <v>1125</v>
      </c>
      <c r="C222" s="75">
        <f>VLOOKUP($A222,'Data Vlaue (Cr)'!$C:$FB,8)</f>
        <v>484.25</v>
      </c>
      <c r="D222" s="75">
        <f>VLOOKUP($A222,'Data Vlaue (Cr)'!$C:$FB,4)</f>
        <v>484.85</v>
      </c>
      <c r="E222" s="75">
        <f>VLOOKUP($A222,'Data Vlaue (Cr)'!$C:$FB,5)</f>
        <v>494.25</v>
      </c>
      <c r="F222" s="75">
        <f t="shared" ref="F222:F229" si="42">D222-C222</f>
        <v>0.60000000000002274</v>
      </c>
      <c r="G222" s="75">
        <f t="shared" ref="G222:G229" si="43">(D222-E222)/D222*100</f>
        <v>-1.9387439414251781</v>
      </c>
      <c r="H222" s="75">
        <f>VLOOKUP($A222,'Data Vlaue (Cr)'!$C:$FB,99)</f>
        <v>4133</v>
      </c>
      <c r="I222" s="75">
        <f>VLOOKUP($A222,'Data Vlaue (Cr)'!$C:$FB,100)</f>
        <v>3997</v>
      </c>
      <c r="J222" s="75">
        <f t="shared" ref="J222:J229" si="44">H222-I222</f>
        <v>136</v>
      </c>
      <c r="K222" s="75">
        <f t="shared" ref="K222:K229" si="45">J222/H222*100</f>
        <v>3.2905879506411808</v>
      </c>
      <c r="L222" s="75">
        <f>VLOOKUP($A222,'Data Vlaue (Cr)'!$C:$FB,67)</f>
        <v>3832</v>
      </c>
      <c r="M222" s="75">
        <f>VLOOKUP($A222,'Data Vlaue (Cr)'!$C:$FB,68)</f>
        <v>3482</v>
      </c>
      <c r="N222" s="75">
        <f t="shared" ref="N222:N229" si="46">L222-M222</f>
        <v>350</v>
      </c>
      <c r="O222" s="75">
        <f t="shared" ref="O222:O229" si="47">N222/L222*100</f>
        <v>9.1336116910229652</v>
      </c>
      <c r="P222" s="75">
        <f>VLOOKUP($A222,'Data Vlaue (Cr)'!$C:$FB,119)</f>
        <v>0.59</v>
      </c>
      <c r="Q222" s="75">
        <f>VLOOKUP($A222,'Data Vlaue (Cr)'!$C:$FB,122)*100</f>
        <v>-7.8100000000000005</v>
      </c>
      <c r="R222" s="75">
        <f>VLOOKUP($A222,'Data Vlaue (Cr)'!$C:$FB,125)</f>
        <v>0.56000000000000005</v>
      </c>
      <c r="S222" s="75">
        <f>VLOOKUP($A222,'Data Vlaue (Cr)'!$C:$FB,128)*100</f>
        <v>19.149999999999999</v>
      </c>
    </row>
    <row r="223" spans="1:19" x14ac:dyDescent="0.25">
      <c r="A223" s="96" t="str">
        <f>'Data Vlaue (Cr)'!C214</f>
        <v>VEDL</v>
      </c>
      <c r="B223" s="75">
        <f>VLOOKUP($A223,'Data Vlaue (Cr)'!$C:$FB,2)</f>
        <v>1150</v>
      </c>
      <c r="C223" s="75">
        <f>VLOOKUP($A223,'Data Vlaue (Cr)'!$C:$FB,8)</f>
        <v>735.6</v>
      </c>
      <c r="D223" s="75">
        <f>VLOOKUP($A223,'Data Vlaue (Cr)'!$C:$FB,4)</f>
        <v>735.5</v>
      </c>
      <c r="E223" s="75">
        <f>VLOOKUP($A223,'Data Vlaue (Cr)'!$C:$FB,5)</f>
        <v>758.65</v>
      </c>
      <c r="F223" s="75">
        <f t="shared" si="42"/>
        <v>-0.10000000000002274</v>
      </c>
      <c r="G223" s="75">
        <f t="shared" si="43"/>
        <v>-3.1475186947654623</v>
      </c>
      <c r="H223" s="75">
        <f>VLOOKUP($A223,'Data Vlaue (Cr)'!$C:$FB,99)</f>
        <v>10013</v>
      </c>
      <c r="I223" s="75">
        <f>VLOOKUP($A223,'Data Vlaue (Cr)'!$C:$FB,100)</f>
        <v>9881</v>
      </c>
      <c r="J223" s="75">
        <f t="shared" si="44"/>
        <v>132</v>
      </c>
      <c r="K223" s="75">
        <f t="shared" si="45"/>
        <v>1.3182862279037251</v>
      </c>
      <c r="L223" s="75">
        <f>VLOOKUP($A223,'Data Vlaue (Cr)'!$C:$FB,67)</f>
        <v>12537</v>
      </c>
      <c r="M223" s="75">
        <f>VLOOKUP($A223,'Data Vlaue (Cr)'!$C:$FB,68)</f>
        <v>10925</v>
      </c>
      <c r="N223" s="75">
        <f t="shared" si="46"/>
        <v>1612</v>
      </c>
      <c r="O223" s="75">
        <f t="shared" si="47"/>
        <v>12.857940496131452</v>
      </c>
      <c r="P223" s="75">
        <f>VLOOKUP($A223,'Data Vlaue (Cr)'!$C:$FB,119)</f>
        <v>0.62</v>
      </c>
      <c r="Q223" s="75">
        <f>VLOOKUP($A223,'Data Vlaue (Cr)'!$C:$FB,122)*100</f>
        <v>-16.220000000000002</v>
      </c>
      <c r="R223" s="75">
        <f>VLOOKUP($A223,'Data Vlaue (Cr)'!$C:$FB,125)</f>
        <v>0.51</v>
      </c>
      <c r="S223" s="75">
        <f>VLOOKUP($A223,'Data Vlaue (Cr)'!$C:$FB,128)*100</f>
        <v>-10.530000000000001</v>
      </c>
    </row>
    <row r="224" spans="1:19" x14ac:dyDescent="0.25">
      <c r="A224" s="96" t="str">
        <f>'Data Vlaue (Cr)'!C215</f>
        <v>VMM</v>
      </c>
      <c r="B224" s="75">
        <f>VLOOKUP($A224,'Data Vlaue (Cr)'!$C:$FB,2)</f>
        <v>4850</v>
      </c>
      <c r="C224" s="75">
        <f>VLOOKUP($A224,'Data Vlaue (Cr)'!$C:$FB,8)</f>
        <v>126.16</v>
      </c>
      <c r="D224" s="75">
        <f>VLOOKUP($A224,'Data Vlaue (Cr)'!$C:$FB,4)</f>
        <v>126.22</v>
      </c>
      <c r="E224" s="75">
        <f>VLOOKUP($A224,'Data Vlaue (Cr)'!$C:$FB,5)</f>
        <v>124.35</v>
      </c>
      <c r="F224" s="75">
        <f t="shared" si="42"/>
        <v>6.0000000000002274E-2</v>
      </c>
      <c r="G224" s="75">
        <f t="shared" si="43"/>
        <v>1.481540167960707</v>
      </c>
      <c r="H224" s="75">
        <f>VLOOKUP($A224,'Data Vlaue (Cr)'!$C:$FB,99)</f>
        <v>546</v>
      </c>
      <c r="I224" s="75">
        <f>VLOOKUP($A224,'Data Vlaue (Cr)'!$C:$FB,100)</f>
        <v>547</v>
      </c>
      <c r="J224" s="75">
        <f t="shared" si="44"/>
        <v>-1</v>
      </c>
      <c r="K224" s="75">
        <f t="shared" si="45"/>
        <v>-0.18315018315018314</v>
      </c>
      <c r="L224" s="75">
        <f>VLOOKUP($A224,'Data Vlaue (Cr)'!$C:$FB,67)</f>
        <v>470</v>
      </c>
      <c r="M224" s="75">
        <f>VLOOKUP($A224,'Data Vlaue (Cr)'!$C:$FB,68)</f>
        <v>157</v>
      </c>
      <c r="N224" s="75">
        <f t="shared" si="46"/>
        <v>313</v>
      </c>
      <c r="O224" s="75">
        <f t="shared" si="47"/>
        <v>66.59574468085107</v>
      </c>
      <c r="P224" s="75">
        <f>VLOOKUP($A224,'Data Vlaue (Cr)'!$C:$FB,119)</f>
        <v>0.51</v>
      </c>
      <c r="Q224" s="75">
        <f>VLOOKUP($A224,'Data Vlaue (Cr)'!$C:$FB,122)*100</f>
        <v>6.25</v>
      </c>
      <c r="R224" s="75">
        <f>VLOOKUP($A224,'Data Vlaue (Cr)'!$C:$FB,125)</f>
        <v>0.19</v>
      </c>
      <c r="S224" s="75">
        <f>VLOOKUP($A224,'Data Vlaue (Cr)'!$C:$FB,128)*100</f>
        <v>-55.81</v>
      </c>
    </row>
    <row r="225" spans="1:19" x14ac:dyDescent="0.25">
      <c r="A225" s="96" t="str">
        <f>'Data Vlaue (Cr)'!C216</f>
        <v>VOLTAS</v>
      </c>
      <c r="B225" s="75">
        <f>VLOOKUP($A225,'Data Vlaue (Cr)'!$C:$FB,2)</f>
        <v>375</v>
      </c>
      <c r="C225" s="75">
        <f>VLOOKUP($A225,'Data Vlaue (Cr)'!$C:$FB,8)</f>
        <v>1445.5</v>
      </c>
      <c r="D225" s="75">
        <f>VLOOKUP($A225,'Data Vlaue (Cr)'!$C:$FB,4)</f>
        <v>1443.4</v>
      </c>
      <c r="E225" s="75">
        <f>VLOOKUP($A225,'Data Vlaue (Cr)'!$C:$FB,5)</f>
        <v>1477</v>
      </c>
      <c r="F225" s="75">
        <f t="shared" si="42"/>
        <v>-2.0999999999999091</v>
      </c>
      <c r="G225" s="75">
        <f t="shared" si="43"/>
        <v>-2.3278370514063953</v>
      </c>
      <c r="H225" s="75">
        <f>VLOOKUP($A225,'Data Vlaue (Cr)'!$C:$FB,99)</f>
        <v>2821</v>
      </c>
      <c r="I225" s="75">
        <f>VLOOKUP($A225,'Data Vlaue (Cr)'!$C:$FB,100)</f>
        <v>3071</v>
      </c>
      <c r="J225" s="75">
        <f t="shared" si="44"/>
        <v>-250</v>
      </c>
      <c r="K225" s="75">
        <f t="shared" si="45"/>
        <v>-8.8621056362991855</v>
      </c>
      <c r="L225" s="75">
        <f>VLOOKUP($A225,'Data Vlaue (Cr)'!$C:$FB,67)</f>
        <v>3223</v>
      </c>
      <c r="M225" s="75">
        <f>VLOOKUP($A225,'Data Vlaue (Cr)'!$C:$FB,68)</f>
        <v>3012</v>
      </c>
      <c r="N225" s="75">
        <f t="shared" si="46"/>
        <v>211</v>
      </c>
      <c r="O225" s="75">
        <f t="shared" si="47"/>
        <v>6.5466956251939186</v>
      </c>
      <c r="P225" s="75">
        <f>VLOOKUP($A225,'Data Vlaue (Cr)'!$C:$FB,119)</f>
        <v>0.88</v>
      </c>
      <c r="Q225" s="75">
        <f>VLOOKUP($A225,'Data Vlaue (Cr)'!$C:$FB,122)*100</f>
        <v>-3.3000000000000003</v>
      </c>
      <c r="R225" s="75">
        <f>VLOOKUP($A225,'Data Vlaue (Cr)'!$C:$FB,125)</f>
        <v>0.84</v>
      </c>
      <c r="S225" s="75">
        <f>VLOOKUP($A225,'Data Vlaue (Cr)'!$C:$FB,128)*100</f>
        <v>40</v>
      </c>
    </row>
    <row r="226" spans="1:19" x14ac:dyDescent="0.25">
      <c r="A226" s="96" t="str">
        <f>'Data Vlaue (Cr)'!C217</f>
        <v>WAAREEENER</v>
      </c>
      <c r="B226" s="75">
        <f>VLOOKUP($A226,'Data Vlaue (Cr)'!$C:$FB,2)</f>
        <v>175</v>
      </c>
      <c r="C226" s="75">
        <f>VLOOKUP($A226,'Data Vlaue (Cr)'!$C:$FB,8)</f>
        <v>3413</v>
      </c>
      <c r="D226" s="75">
        <f>VLOOKUP($A226,'Data Vlaue (Cr)'!$C:$FB,4)</f>
        <v>3416.1</v>
      </c>
      <c r="E226" s="75">
        <f>VLOOKUP($A226,'Data Vlaue (Cr)'!$C:$FB,5)</f>
        <v>3435.8</v>
      </c>
      <c r="F226" s="75">
        <f t="shared" si="42"/>
        <v>3.0999999999999091</v>
      </c>
      <c r="G226" s="75">
        <f t="shared" si="43"/>
        <v>-0.57668101050906806</v>
      </c>
      <c r="H226" s="75">
        <f>VLOOKUP($A226,'Data Vlaue (Cr)'!$C:$FB,99)</f>
        <v>3048</v>
      </c>
      <c r="I226" s="75">
        <f>VLOOKUP($A226,'Data Vlaue (Cr)'!$C:$FB,100)</f>
        <v>2991</v>
      </c>
      <c r="J226" s="75">
        <f t="shared" si="44"/>
        <v>57</v>
      </c>
      <c r="K226" s="75">
        <f t="shared" si="45"/>
        <v>1.8700787401574805</v>
      </c>
      <c r="L226" s="75">
        <f>VLOOKUP($A226,'Data Vlaue (Cr)'!$C:$FB,67)</f>
        <v>3384</v>
      </c>
      <c r="M226" s="75">
        <f>VLOOKUP($A226,'Data Vlaue (Cr)'!$C:$FB,68)</f>
        <v>3058</v>
      </c>
      <c r="N226" s="75">
        <f t="shared" si="46"/>
        <v>326</v>
      </c>
      <c r="O226" s="75">
        <f t="shared" si="47"/>
        <v>9.6335697399527191</v>
      </c>
      <c r="P226" s="75">
        <f>VLOOKUP($A226,'Data Vlaue (Cr)'!$C:$FB,119)</f>
        <v>0.78</v>
      </c>
      <c r="Q226" s="75">
        <f>VLOOKUP($A226,'Data Vlaue (Cr)'!$C:$FB,122)*100</f>
        <v>13.04</v>
      </c>
      <c r="R226" s="75">
        <f>VLOOKUP($A226,'Data Vlaue (Cr)'!$C:$FB,125)</f>
        <v>0.61</v>
      </c>
      <c r="S226" s="75">
        <f>VLOOKUP($A226,'Data Vlaue (Cr)'!$C:$FB,128)*100</f>
        <v>5.17</v>
      </c>
    </row>
    <row r="227" spans="1:19" x14ac:dyDescent="0.25">
      <c r="A227" s="96" t="str">
        <f>'Data Vlaue (Cr)'!C218</f>
        <v>WIPRO</v>
      </c>
      <c r="B227" s="75">
        <f>VLOOKUP($A227,'Data Vlaue (Cr)'!$C:$FB,2)</f>
        <v>3000</v>
      </c>
      <c r="C227" s="75">
        <f>VLOOKUP($A227,'Data Vlaue (Cr)'!$C:$FB,8)</f>
        <v>202.76</v>
      </c>
      <c r="D227" s="75">
        <f>VLOOKUP($A227,'Data Vlaue (Cr)'!$C:$FB,4)</f>
        <v>202.85</v>
      </c>
      <c r="E227" s="75">
        <f>VLOOKUP($A227,'Data Vlaue (Cr)'!$C:$FB,5)</f>
        <v>203.81</v>
      </c>
      <c r="F227" s="75">
        <f t="shared" si="42"/>
        <v>9.0000000000003411E-2</v>
      </c>
      <c r="G227" s="75">
        <f t="shared" si="43"/>
        <v>-0.4732561005669253</v>
      </c>
      <c r="H227" s="75">
        <f>VLOOKUP($A227,'Data Vlaue (Cr)'!$C:$FB,99)</f>
        <v>11215</v>
      </c>
      <c r="I227" s="75">
        <f>VLOOKUP($A227,'Data Vlaue (Cr)'!$C:$FB,100)</f>
        <v>11902</v>
      </c>
      <c r="J227" s="75">
        <f t="shared" si="44"/>
        <v>-687</v>
      </c>
      <c r="K227" s="75">
        <f t="shared" si="45"/>
        <v>-6.1257244761480161</v>
      </c>
      <c r="L227" s="75">
        <f>VLOOKUP($A227,'Data Vlaue (Cr)'!$C:$FB,67)</f>
        <v>8145</v>
      </c>
      <c r="M227" s="75">
        <f>VLOOKUP($A227,'Data Vlaue (Cr)'!$C:$FB,68)</f>
        <v>7635</v>
      </c>
      <c r="N227" s="75">
        <f t="shared" si="46"/>
        <v>510</v>
      </c>
      <c r="O227" s="75">
        <f t="shared" si="47"/>
        <v>6.2615101289134447</v>
      </c>
      <c r="P227" s="75">
        <f>VLOOKUP($A227,'Data Vlaue (Cr)'!$C:$FB,119)</f>
        <v>0.51</v>
      </c>
      <c r="Q227" s="75">
        <f>VLOOKUP($A227,'Data Vlaue (Cr)'!$C:$FB,122)*100</f>
        <v>-5.56</v>
      </c>
      <c r="R227" s="75">
        <f>VLOOKUP($A227,'Data Vlaue (Cr)'!$C:$FB,125)</f>
        <v>0.59</v>
      </c>
      <c r="S227" s="75">
        <f>VLOOKUP($A227,'Data Vlaue (Cr)'!$C:$FB,128)*100</f>
        <v>1.72</v>
      </c>
    </row>
    <row r="228" spans="1:19" x14ac:dyDescent="0.25">
      <c r="A228" s="96" t="str">
        <f>'Data Vlaue (Cr)'!C219</f>
        <v>YESBANK</v>
      </c>
      <c r="B228" s="75">
        <f>VLOOKUP($A228,'Data Vlaue (Cr)'!$C:$FB,2)</f>
        <v>31100</v>
      </c>
      <c r="C228" s="75">
        <f>VLOOKUP($A228,'Data Vlaue (Cr)'!$C:$FB,8)</f>
        <v>20.03</v>
      </c>
      <c r="D228" s="75">
        <f>VLOOKUP($A228,'Data Vlaue (Cr)'!$C:$FB,4)</f>
        <v>20</v>
      </c>
      <c r="E228" s="75">
        <f>VLOOKUP($A228,'Data Vlaue (Cr)'!$C:$FB,5)</f>
        <v>20</v>
      </c>
      <c r="F228" s="75">
        <f t="shared" si="42"/>
        <v>-3.0000000000001137E-2</v>
      </c>
      <c r="G228" s="75">
        <f t="shared" si="43"/>
        <v>0</v>
      </c>
      <c r="H228" s="75">
        <f>VLOOKUP($A228,'Data Vlaue (Cr)'!$C:$FB,99)</f>
        <v>4599</v>
      </c>
      <c r="I228" s="75">
        <f>VLOOKUP($A228,'Data Vlaue (Cr)'!$C:$FB,100)</f>
        <v>4669</v>
      </c>
      <c r="J228" s="75">
        <f t="shared" si="44"/>
        <v>-70</v>
      </c>
      <c r="K228" s="75">
        <f t="shared" si="45"/>
        <v>-1.5220700152207001</v>
      </c>
      <c r="L228" s="75">
        <f>VLOOKUP($A228,'Data Vlaue (Cr)'!$C:$FB,67)</f>
        <v>2442</v>
      </c>
      <c r="M228" s="75">
        <f>VLOOKUP($A228,'Data Vlaue (Cr)'!$C:$FB,68)</f>
        <v>2157</v>
      </c>
      <c r="N228" s="75">
        <f t="shared" si="46"/>
        <v>285</v>
      </c>
      <c r="O228" s="75">
        <f t="shared" si="47"/>
        <v>11.670761670761671</v>
      </c>
      <c r="P228" s="75">
        <f>VLOOKUP($A228,'Data Vlaue (Cr)'!$C:$FB,119)</f>
        <v>0.53</v>
      </c>
      <c r="Q228" s="75">
        <f>VLOOKUP($A228,'Data Vlaue (Cr)'!$C:$FB,122)*100</f>
        <v>1.92</v>
      </c>
      <c r="R228" s="75">
        <f>VLOOKUP($A228,'Data Vlaue (Cr)'!$C:$FB,125)</f>
        <v>0.45</v>
      </c>
      <c r="S228" s="75">
        <f>VLOOKUP($A228,'Data Vlaue (Cr)'!$C:$FB,128)*100</f>
        <v>45.16</v>
      </c>
    </row>
    <row r="229" spans="1:19" x14ac:dyDescent="0.25">
      <c r="A229" s="96" t="str">
        <f>'Data Vlaue (Cr)'!C220</f>
        <v>ZYDUSLIFE</v>
      </c>
      <c r="B229" s="75">
        <f>VLOOKUP($A229,'Data Vlaue (Cr)'!$C:$FB,2)</f>
        <v>900</v>
      </c>
      <c r="C229" s="75">
        <f>VLOOKUP($A229,'Data Vlaue (Cr)'!$C:$FB,8)</f>
        <v>946.35</v>
      </c>
      <c r="D229" s="75">
        <f>VLOOKUP($A229,'Data Vlaue (Cr)'!$C:$FB,4)</f>
        <v>946.55</v>
      </c>
      <c r="E229" s="75">
        <f>VLOOKUP($A229,'Data Vlaue (Cr)'!$C:$FB,5)</f>
        <v>930.55</v>
      </c>
      <c r="F229" s="75">
        <f t="shared" si="42"/>
        <v>0.19999999999993179</v>
      </c>
      <c r="G229" s="75">
        <f t="shared" si="43"/>
        <v>1.6903491627489302</v>
      </c>
      <c r="H229" s="75">
        <f>VLOOKUP($A229,'Data Vlaue (Cr)'!$C:$FB,99)</f>
        <v>1529</v>
      </c>
      <c r="I229" s="75">
        <f>VLOOKUP($A229,'Data Vlaue (Cr)'!$C:$FB,100)</f>
        <v>1421</v>
      </c>
      <c r="J229" s="75">
        <f t="shared" si="44"/>
        <v>108</v>
      </c>
      <c r="K229" s="75">
        <f t="shared" si="45"/>
        <v>7.0634401569653367</v>
      </c>
      <c r="L229" s="75">
        <f>VLOOKUP($A229,'Data Vlaue (Cr)'!$C:$FB,67)</f>
        <v>2996</v>
      </c>
      <c r="M229" s="75">
        <f>VLOOKUP($A229,'Data Vlaue (Cr)'!$C:$FB,68)</f>
        <v>476</v>
      </c>
      <c r="N229" s="75">
        <f t="shared" si="46"/>
        <v>2520</v>
      </c>
      <c r="O229" s="75">
        <f t="shared" si="47"/>
        <v>84.112149532710276</v>
      </c>
      <c r="P229" s="75">
        <f>VLOOKUP($A229,'Data Vlaue (Cr)'!$C:$FB,119)</f>
        <v>0.79</v>
      </c>
      <c r="Q229" s="75">
        <f>VLOOKUP($A229,'Data Vlaue (Cr)'!$C:$FB,122)*100</f>
        <v>6.76</v>
      </c>
      <c r="R229" s="75">
        <f>VLOOKUP($A229,'Data Vlaue (Cr)'!$C:$FB,125)</f>
        <v>0.25</v>
      </c>
      <c r="S229" s="75">
        <f>VLOOKUP($A229,'Data Vlaue (Cr)'!$C:$FB,128)*100</f>
        <v>-3.85</v>
      </c>
    </row>
    <row r="230" spans="1:19" x14ac:dyDescent="0.25">
      <c r="A230" s="96"/>
      <c r="B230" s="75"/>
      <c r="C230" s="75"/>
      <c r="D230" s="75"/>
      <c r="E230" s="75"/>
      <c r="F230" s="75"/>
      <c r="G230" s="75"/>
      <c r="H230" s="75"/>
      <c r="I230" s="75"/>
      <c r="J230" s="75"/>
      <c r="K230" s="75"/>
      <c r="L230" s="75"/>
      <c r="M230" s="75"/>
      <c r="N230" s="75"/>
      <c r="O230" s="75"/>
      <c r="P230" s="75"/>
      <c r="Q230" s="75"/>
      <c r="R230" s="75"/>
      <c r="S230" s="75"/>
    </row>
    <row r="231" spans="1:19" x14ac:dyDescent="0.25">
      <c r="A231" s="96"/>
      <c r="B231" s="75"/>
      <c r="C231" s="75"/>
      <c r="D231" s="75"/>
      <c r="E231" s="75"/>
      <c r="F231" s="75"/>
      <c r="G231" s="75"/>
      <c r="H231" s="75"/>
      <c r="I231" s="75"/>
      <c r="J231" s="75"/>
      <c r="K231" s="75"/>
      <c r="L231" s="75"/>
      <c r="M231" s="75"/>
      <c r="N231" s="75"/>
      <c r="O231" s="75"/>
      <c r="P231" s="75"/>
      <c r="Q231" s="75"/>
      <c r="R231" s="75"/>
      <c r="S231" s="75"/>
    </row>
    <row r="232" spans="1:19" x14ac:dyDescent="0.25">
      <c r="A232" s="96"/>
      <c r="B232" s="75"/>
      <c r="C232" s="75"/>
      <c r="D232" s="75"/>
      <c r="E232" s="75"/>
      <c r="F232" s="75"/>
      <c r="G232" s="75"/>
      <c r="H232" s="75"/>
      <c r="I232" s="75"/>
      <c r="J232" s="75"/>
      <c r="K232" s="75"/>
      <c r="L232" s="75"/>
      <c r="M232" s="75"/>
      <c r="N232" s="75"/>
      <c r="O232" s="75"/>
      <c r="P232" s="75"/>
      <c r="Q232" s="75"/>
      <c r="R232" s="75"/>
      <c r="S232" s="75"/>
    </row>
    <row r="233" spans="1:19" x14ac:dyDescent="0.25">
      <c r="A233" s="96"/>
      <c r="B233" s="75"/>
      <c r="C233" s="75"/>
      <c r="D233" s="75"/>
      <c r="E233" s="75"/>
      <c r="F233" s="75"/>
      <c r="G233" s="75"/>
      <c r="H233" s="75"/>
      <c r="I233" s="75"/>
      <c r="J233" s="75"/>
      <c r="K233" s="75"/>
      <c r="L233" s="75"/>
      <c r="M233" s="75"/>
      <c r="N233" s="75"/>
      <c r="O233" s="75"/>
      <c r="P233" s="75"/>
      <c r="Q233" s="75"/>
      <c r="R233" s="75"/>
      <c r="S233" s="75"/>
    </row>
    <row r="234" spans="1:19" x14ac:dyDescent="0.25">
      <c r="A234" s="96"/>
      <c r="B234" s="75"/>
      <c r="C234" s="75"/>
      <c r="D234" s="75"/>
      <c r="E234" s="75"/>
      <c r="F234" s="75"/>
      <c r="G234" s="75"/>
      <c r="H234" s="75"/>
      <c r="I234" s="75"/>
      <c r="J234" s="75"/>
      <c r="K234" s="75"/>
      <c r="L234" s="75"/>
      <c r="M234" s="75"/>
      <c r="N234" s="75"/>
      <c r="O234" s="75"/>
      <c r="P234" s="75"/>
      <c r="Q234" s="75"/>
      <c r="R234" s="75"/>
      <c r="S234" s="75"/>
    </row>
    <row r="235" spans="1:19" x14ac:dyDescent="0.25">
      <c r="A235" s="96"/>
      <c r="B235" s="75"/>
      <c r="C235" s="75"/>
      <c r="D235" s="75"/>
      <c r="E235" s="75"/>
      <c r="F235" s="75"/>
      <c r="G235" s="75"/>
      <c r="H235" s="75"/>
      <c r="I235" s="75"/>
      <c r="J235" s="75"/>
      <c r="K235" s="75"/>
      <c r="L235" s="75"/>
      <c r="M235" s="75"/>
      <c r="N235" s="75"/>
      <c r="O235" s="75"/>
      <c r="P235" s="75"/>
      <c r="Q235" s="75"/>
      <c r="R235" s="75"/>
      <c r="S235" s="75"/>
    </row>
    <row r="236" spans="1:19" x14ac:dyDescent="0.25">
      <c r="A236" s="96"/>
      <c r="B236" s="75"/>
      <c r="C236" s="75"/>
      <c r="D236" s="75"/>
      <c r="E236" s="75"/>
      <c r="F236" s="75"/>
      <c r="G236" s="75"/>
      <c r="H236" s="75"/>
      <c r="I236" s="75"/>
      <c r="J236" s="75"/>
      <c r="K236" s="75"/>
      <c r="L236" s="75"/>
      <c r="M236" s="75"/>
      <c r="N236" s="75"/>
      <c r="O236" s="75"/>
      <c r="P236" s="75"/>
      <c r="Q236" s="75"/>
      <c r="R236" s="75"/>
      <c r="S236" s="75"/>
    </row>
    <row r="237" spans="1:19" x14ac:dyDescent="0.25">
      <c r="A237" s="98"/>
      <c r="B237" s="75"/>
      <c r="C237" s="75"/>
      <c r="D237" s="75"/>
      <c r="E237" s="75"/>
      <c r="F237" s="75"/>
      <c r="G237" s="75"/>
      <c r="H237" s="75"/>
      <c r="I237" s="75"/>
      <c r="J237" s="75"/>
      <c r="K237" s="75"/>
      <c r="L237" s="75"/>
      <c r="M237" s="75"/>
      <c r="N237" s="75"/>
      <c r="O237" s="75"/>
      <c r="P237" s="75"/>
      <c r="Q237" s="75"/>
      <c r="R237" s="75"/>
      <c r="S237" s="75"/>
    </row>
    <row r="238" spans="1:19" x14ac:dyDescent="0.25">
      <c r="A238" s="98"/>
      <c r="B238" s="75"/>
      <c r="C238" s="75"/>
      <c r="D238" s="75"/>
      <c r="E238" s="75"/>
      <c r="F238" s="75"/>
      <c r="G238" s="75"/>
      <c r="H238" s="75"/>
      <c r="I238" s="75"/>
      <c r="J238" s="75"/>
      <c r="K238" s="75"/>
      <c r="L238" s="75"/>
      <c r="M238" s="75"/>
      <c r="N238" s="75"/>
      <c r="O238" s="75"/>
      <c r="P238" s="75"/>
      <c r="Q238" s="75"/>
      <c r="R238" s="75"/>
      <c r="S238" s="75"/>
    </row>
    <row r="239" spans="1:19" x14ac:dyDescent="0.25">
      <c r="A239" s="98"/>
      <c r="B239" s="75"/>
      <c r="C239" s="75"/>
      <c r="D239" s="75"/>
      <c r="E239" s="75"/>
      <c r="F239" s="75"/>
      <c r="G239" s="75"/>
      <c r="H239" s="75"/>
      <c r="I239" s="75"/>
      <c r="J239" s="75"/>
      <c r="K239" s="75"/>
      <c r="L239" s="75"/>
      <c r="M239" s="75"/>
      <c r="N239" s="75"/>
      <c r="O239" s="75"/>
      <c r="P239" s="75"/>
      <c r="Q239" s="75"/>
      <c r="R239" s="75"/>
      <c r="S239" s="75"/>
    </row>
    <row r="240" spans="1:19" x14ac:dyDescent="0.25">
      <c r="A240" s="257"/>
      <c r="B240" s="257"/>
      <c r="C240" s="257"/>
      <c r="D240" s="257"/>
      <c r="E240" s="257"/>
      <c r="F240" s="257"/>
      <c r="G240" s="15"/>
      <c r="H240" s="16"/>
      <c r="I240" s="257"/>
      <c r="J240" s="257"/>
      <c r="K240" s="257"/>
      <c r="L240" s="257"/>
      <c r="M240" s="257"/>
      <c r="N240" s="16"/>
      <c r="O240" s="16"/>
      <c r="P240" s="16"/>
      <c r="Q240" s="257"/>
      <c r="R240" s="257"/>
      <c r="S240" s="257"/>
    </row>
    <row r="241" spans="1:19" x14ac:dyDescent="0.25">
      <c r="A241" s="254" t="s">
        <v>391</v>
      </c>
      <c r="B241" s="255"/>
      <c r="C241" s="255"/>
      <c r="D241" s="255"/>
      <c r="E241" s="255"/>
      <c r="F241" s="256"/>
      <c r="G241" s="18"/>
      <c r="H241" s="18">
        <f>SUM(H11:H236)</f>
        <v>2317965</v>
      </c>
      <c r="I241" s="18">
        <f>SUM(I11:I236)</f>
        <v>2156027</v>
      </c>
      <c r="J241" s="18">
        <f>H241-I241</f>
        <v>161938</v>
      </c>
      <c r="K241" s="19">
        <f>J241/I241</f>
        <v>7.5109449000406767E-2</v>
      </c>
      <c r="L241" s="18">
        <f>SUM(L11:L236)</f>
        <v>7795748</v>
      </c>
      <c r="M241" s="18">
        <f>SUM(M11:M236)</f>
        <v>7000582</v>
      </c>
      <c r="N241" s="18">
        <f>L241-M241</f>
        <v>795166</v>
      </c>
      <c r="O241" s="19">
        <f>N241/M241</f>
        <v>0.11358569901759596</v>
      </c>
      <c r="P241" s="254"/>
      <c r="Q241" s="255"/>
      <c r="R241" s="255"/>
      <c r="S241" s="256"/>
    </row>
    <row r="245" spans="1:19" x14ac:dyDescent="0.25">
      <c r="A245" s="250" t="s">
        <v>334</v>
      </c>
      <c r="B245" s="250"/>
      <c r="C245" s="250"/>
      <c r="D245" s="6"/>
      <c r="E245" s="6"/>
      <c r="F245" s="6"/>
      <c r="G245" s="6"/>
      <c r="H245" s="8" t="s">
        <v>385</v>
      </c>
      <c r="J245" s="7"/>
      <c r="K245" s="7"/>
      <c r="L245" s="7"/>
      <c r="M245" s="7"/>
    </row>
    <row r="246" spans="1:19" x14ac:dyDescent="0.25">
      <c r="A246" s="22"/>
      <c r="B246" s="23" t="s">
        <v>182</v>
      </c>
      <c r="C246" s="24" t="s">
        <v>386</v>
      </c>
      <c r="D246" s="25" t="s">
        <v>266</v>
      </c>
      <c r="E246" s="24" t="s">
        <v>386</v>
      </c>
      <c r="F246" s="23" t="s">
        <v>461</v>
      </c>
      <c r="G246" s="23" t="s">
        <v>387</v>
      </c>
      <c r="H246" s="24" t="s">
        <v>386</v>
      </c>
    </row>
    <row r="247" spans="1:19" x14ac:dyDescent="0.25">
      <c r="A247" s="26" t="s">
        <v>388</v>
      </c>
      <c r="B247" s="9">
        <f>VLOOKUP(B246,'OI(Value)'!A7:E232,5,0)</f>
        <v>13785</v>
      </c>
      <c r="C247" s="146">
        <f>VLOOKUP(B246,'OI(Value)'!A7:G232,7,0)</f>
        <v>3.0300000000000001E-2</v>
      </c>
      <c r="D247" s="9">
        <f>VLOOKUP(D246,'OI(Value)'!A7:E232,5,0)</f>
        <v>49101</v>
      </c>
      <c r="E247" s="147">
        <f>VLOOKUP(D246,'OI(Value)'!A7:G232,7,0)</f>
        <v>-2E-3</v>
      </c>
      <c r="F247" s="9">
        <f>G247-D247-B247</f>
        <v>530822</v>
      </c>
      <c r="G247" s="10">
        <f>'OI(Value)'!E233</f>
        <v>593708</v>
      </c>
      <c r="H247" s="147">
        <f>'OI(Value)'!D240</f>
        <v>-2.1273083738133896E-3</v>
      </c>
    </row>
    <row r="248" spans="1:19" x14ac:dyDescent="0.25">
      <c r="A248" s="26" t="s">
        <v>389</v>
      </c>
      <c r="B248" s="9">
        <f>VLOOKUP(B246,'OI(Value)'!A7:H232,8,0)</f>
        <v>125798</v>
      </c>
      <c r="C248" s="146">
        <f>VLOOKUP(B246,'OI(Value)'!A7:J232,10,0)</f>
        <v>6.9800000000000001E-2</v>
      </c>
      <c r="D248" s="9">
        <f>VLOOKUP(D246,'OI(Value)'!A1:O233,8,0)</f>
        <v>549533</v>
      </c>
      <c r="E248" s="147">
        <f>VLOOKUP(D246,'OI(Value)'!A1:J232,10,0)</f>
        <v>0.21740000000000001</v>
      </c>
      <c r="F248" s="9">
        <f>G248-D248-B248</f>
        <v>247427</v>
      </c>
      <c r="G248" s="9">
        <f>'OI(Value)'!H233</f>
        <v>922758</v>
      </c>
      <c r="H248" s="147">
        <f>'OI(Value)'!D241</f>
        <v>0.12480195240789026</v>
      </c>
    </row>
    <row r="249" spans="1:19" x14ac:dyDescent="0.25">
      <c r="A249" s="26" t="s">
        <v>390</v>
      </c>
      <c r="B249" s="9">
        <f>VLOOKUP(B246,'OI(Value)'!A7:K232,11,0)</f>
        <v>114783</v>
      </c>
      <c r="C249" s="146">
        <f>VLOOKUP(B246,'OI(Value)'!A7:M232,13,0)</f>
        <v>-1.8599999999999998E-2</v>
      </c>
      <c r="D249" s="9">
        <f>VLOOKUP(D246,'OI(Value)'!A2:O234,11,0)</f>
        <v>507333</v>
      </c>
      <c r="E249" s="147">
        <f>VLOOKUP(D246,'OI(Value)'!A7:M232,13,0)</f>
        <v>0.10489999999999999</v>
      </c>
      <c r="F249" s="9">
        <f>G249-D249-B249</f>
        <v>179383</v>
      </c>
      <c r="G249" s="9">
        <f>'OI(Value)'!K233</f>
        <v>801499</v>
      </c>
      <c r="H249" s="147">
        <f>'OI(Volume)'!D247</f>
        <v>-1.0227241546327209E-3</v>
      </c>
    </row>
    <row r="250" spans="1:19" x14ac:dyDescent="0.25">
      <c r="A250" s="22" t="s">
        <v>391</v>
      </c>
      <c r="B250" s="62">
        <f>SUM(B247:B249)</f>
        <v>254366</v>
      </c>
      <c r="C250" s="148">
        <f>VLOOKUP(B246,'OI(Value)'!A7:D148,4,0)</f>
        <v>2.5999999999999999E-2</v>
      </c>
      <c r="D250" s="62">
        <f>SUM(D247:D249)</f>
        <v>1105967</v>
      </c>
      <c r="E250" s="148">
        <f>VLOOKUP(D246,'OI(Value)'!A1:D233,4,0)</f>
        <v>0.15229999999999999</v>
      </c>
      <c r="F250" s="62">
        <f>SUM(F247:F249)</f>
        <v>957632</v>
      </c>
      <c r="G250" s="62">
        <f>SUM(G247:G249)</f>
        <v>2317965</v>
      </c>
      <c r="H250" s="151">
        <f>'OI(Value)'!D243</f>
        <v>6.9853082337308803E-2</v>
      </c>
    </row>
    <row r="254" spans="1:19" x14ac:dyDescent="0.25">
      <c r="A254" s="20" t="s">
        <v>392</v>
      </c>
      <c r="B254" s="11"/>
      <c r="C254" s="11"/>
      <c r="D254" s="11"/>
      <c r="E254" s="11"/>
      <c r="F254" s="11"/>
      <c r="G254" s="11"/>
      <c r="H254" s="12"/>
    </row>
    <row r="255" spans="1:19" x14ac:dyDescent="0.25">
      <c r="A255" s="27"/>
      <c r="B255" s="27"/>
      <c r="C255" s="251" t="s">
        <v>459</v>
      </c>
      <c r="D255" s="252"/>
      <c r="E255" s="253"/>
      <c r="F255" s="251" t="s">
        <v>460</v>
      </c>
      <c r="G255" s="252"/>
      <c r="H255" s="253"/>
    </row>
    <row r="256" spans="1:19" x14ac:dyDescent="0.25">
      <c r="A256" s="28"/>
      <c r="B256" s="27"/>
      <c r="C256" s="31">
        <f>D10</f>
        <v>46135</v>
      </c>
      <c r="D256" s="31" t="s">
        <v>397</v>
      </c>
      <c r="E256" s="32" t="s">
        <v>321</v>
      </c>
      <c r="F256" s="31">
        <f>C256</f>
        <v>46135</v>
      </c>
      <c r="G256" s="31" t="str">
        <f>D256</f>
        <v>Preious</v>
      </c>
      <c r="H256" s="32" t="s">
        <v>386</v>
      </c>
    </row>
    <row r="257" spans="1:8" x14ac:dyDescent="0.25">
      <c r="A257" s="29" t="s">
        <v>393</v>
      </c>
      <c r="B257" s="30"/>
      <c r="C257" s="13">
        <f>FII!N3</f>
        <v>10287</v>
      </c>
      <c r="D257" s="13">
        <f>FII!J3</f>
        <v>10566</v>
      </c>
      <c r="E257" s="14">
        <f>(C257-D257)/C257</f>
        <v>-2.7121609798775152E-2</v>
      </c>
      <c r="F257" s="13">
        <f>FII!M3</f>
        <v>60782</v>
      </c>
      <c r="G257" s="13">
        <f>FII!I3</f>
        <v>61573</v>
      </c>
      <c r="H257" s="14">
        <f>(F257-G257)/F257</f>
        <v>-1.3013721167450891E-2</v>
      </c>
    </row>
    <row r="258" spans="1:8" x14ac:dyDescent="0.25">
      <c r="A258" s="248" t="s">
        <v>394</v>
      </c>
      <c r="B258" s="249"/>
      <c r="C258" s="13">
        <f>FII!N4</f>
        <v>93801</v>
      </c>
      <c r="D258" s="13">
        <f>FII!J4</f>
        <v>90775</v>
      </c>
      <c r="E258" s="14">
        <f>(C258-D258)/C258</f>
        <v>3.225978401083144E-2</v>
      </c>
      <c r="F258" s="13">
        <f>FII!M4</f>
        <v>555316</v>
      </c>
      <c r="G258" s="13">
        <f>FII!I4</f>
        <v>529692</v>
      </c>
      <c r="H258" s="14">
        <f>(F258-G258)/F258</f>
        <v>4.6143096903384737E-2</v>
      </c>
    </row>
    <row r="259" spans="1:8" x14ac:dyDescent="0.25">
      <c r="A259" s="248" t="s">
        <v>395</v>
      </c>
      <c r="B259" s="249"/>
      <c r="C259" s="13">
        <f>FII!N15</f>
        <v>465499</v>
      </c>
      <c r="D259" s="13">
        <f>FII!J15</f>
        <v>470345</v>
      </c>
      <c r="E259" s="14">
        <f>(C259-D259)/C259</f>
        <v>-1.0410333856785943E-2</v>
      </c>
      <c r="F259" s="13">
        <f>FII!M15</f>
        <v>7293636</v>
      </c>
      <c r="G259" s="13">
        <f>FII!I15</f>
        <v>7307995</v>
      </c>
      <c r="H259" s="14">
        <f>(F259-G259)/F259</f>
        <v>-1.9687025785218785E-3</v>
      </c>
    </row>
    <row r="260" spans="1:8" x14ac:dyDescent="0.25">
      <c r="A260" s="248" t="s">
        <v>396</v>
      </c>
      <c r="B260" s="249"/>
      <c r="C260" s="13">
        <f>FII!N16</f>
        <v>80157</v>
      </c>
      <c r="D260" s="13">
        <f>FII!J16</f>
        <v>81920</v>
      </c>
      <c r="E260" s="14">
        <f>(C260-D260)/C260</f>
        <v>-2.1994336115373578E-2</v>
      </c>
      <c r="F260" s="13">
        <f>FII!M16</f>
        <v>1206676</v>
      </c>
      <c r="G260" s="13">
        <f>FII!I16</f>
        <v>1221984</v>
      </c>
      <c r="H260" s="14">
        <f>(F260-G260)/F260</f>
        <v>-1.2686089720852988E-2</v>
      </c>
    </row>
    <row r="261" spans="1:8" x14ac:dyDescent="0.25">
      <c r="A261" s="248" t="s">
        <v>391</v>
      </c>
      <c r="B261" s="249"/>
      <c r="C261" s="155">
        <f>SUM(C257:C260)</f>
        <v>649744</v>
      </c>
      <c r="D261" s="155">
        <f>SUM(D257:D260)</f>
        <v>653606</v>
      </c>
      <c r="E261" s="156">
        <f>(C261-D261)/C261</f>
        <v>-5.9438794355930955E-3</v>
      </c>
      <c r="F261" s="157">
        <f>SUM(F257:F260)</f>
        <v>9116410</v>
      </c>
      <c r="G261" s="158">
        <f>SUM(G257:G260)</f>
        <v>9121244</v>
      </c>
      <c r="H261" s="156">
        <f>(F261-G261)/F261</f>
        <v>-5.3025258846409933E-4</v>
      </c>
    </row>
  </sheetData>
  <mergeCells count="24">
    <mergeCell ref="P241:S241"/>
    <mergeCell ref="A241:F241"/>
    <mergeCell ref="Q240:S240"/>
    <mergeCell ref="I240:M240"/>
    <mergeCell ref="A240:F240"/>
    <mergeCell ref="A260:B260"/>
    <mergeCell ref="A261:B261"/>
    <mergeCell ref="A245:C245"/>
    <mergeCell ref="C255:E255"/>
    <mergeCell ref="F255:H255"/>
    <mergeCell ref="A258:B258"/>
    <mergeCell ref="A259:B259"/>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6"/>
  <sheetViews>
    <sheetView workbookViewId="0">
      <pane ySplit="5" topLeftCell="A210" activePane="bottomLeft" state="frozen"/>
      <selection pane="bottomLeft" activeCell="K229" sqref="K229"/>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10" t="s">
        <v>456</v>
      </c>
      <c r="B3" s="311"/>
      <c r="C3" s="311"/>
      <c r="D3" s="311"/>
      <c r="E3" s="311"/>
      <c r="F3" s="311"/>
      <c r="G3" s="312"/>
      <c r="H3" s="46"/>
    </row>
    <row r="4" spans="1:8" x14ac:dyDescent="0.25">
      <c r="A4" s="286" t="s">
        <v>366</v>
      </c>
      <c r="B4" s="106" t="s">
        <v>312</v>
      </c>
      <c r="C4" s="106" t="s">
        <v>313</v>
      </c>
      <c r="D4" s="286" t="s">
        <v>367</v>
      </c>
      <c r="E4" s="286"/>
      <c r="F4" s="286"/>
      <c r="G4" s="286"/>
      <c r="H4" s="47"/>
    </row>
    <row r="5" spans="1:8" x14ac:dyDescent="0.25">
      <c r="A5" s="305"/>
      <c r="B5" s="3">
        <f>PCR!B6</f>
        <v>46135</v>
      </c>
      <c r="C5" s="3">
        <f>B5</f>
        <v>46135</v>
      </c>
      <c r="D5" s="76" t="s">
        <v>367</v>
      </c>
      <c r="E5" s="76" t="s">
        <v>321</v>
      </c>
      <c r="F5" s="76" t="s">
        <v>368</v>
      </c>
      <c r="G5" s="76" t="s">
        <v>369</v>
      </c>
      <c r="H5" s="48"/>
    </row>
    <row r="6" spans="1:8" x14ac:dyDescent="0.25">
      <c r="A6" s="101" t="str">
        <f>'Data shares'!C2</f>
        <v>360ONE</v>
      </c>
      <c r="B6" s="144">
        <f>VLOOKUP($A6,'Data shares'!$C:$FA,7)</f>
        <v>1052.25</v>
      </c>
      <c r="C6" s="144">
        <f>VLOOKUP($A6,'Data shares'!$C:$FA,3)</f>
        <v>1044.6500000000001</v>
      </c>
      <c r="D6" s="144">
        <f>VLOOKUP($A6,'Data shares'!$C:$FA,23)</f>
        <v>-7.6</v>
      </c>
      <c r="E6" s="145">
        <f>VLOOKUP($A6,'Data shares'!$C:$FA,26)*100</f>
        <v>-0.72</v>
      </c>
      <c r="F6" s="144">
        <f>VLOOKUP($A6,'Data shares'!$C:$FA,24)</f>
        <v>-7.45</v>
      </c>
      <c r="G6" s="144">
        <f>VLOOKUP($A6,'Data shares'!$C:$FA,25)</f>
        <v>-0.15</v>
      </c>
    </row>
    <row r="7" spans="1:8" x14ac:dyDescent="0.25">
      <c r="A7" s="101" t="str">
        <f>'Data shares'!C3</f>
        <v>ABB</v>
      </c>
      <c r="B7" s="144">
        <f>VLOOKUP($A7,'Data shares'!$C:$FA,7)</f>
        <v>7575.5</v>
      </c>
      <c r="C7" s="144">
        <f>VLOOKUP($A7,'Data shares'!$C:$FA,3)</f>
        <v>7592</v>
      </c>
      <c r="D7" s="144">
        <f>VLOOKUP($A7,'Data shares'!$C:$FA,23)</f>
        <v>16.5</v>
      </c>
      <c r="E7" s="145">
        <f>VLOOKUP($A7,'Data shares'!$C:$FA,26)*100</f>
        <v>0.22</v>
      </c>
      <c r="F7" s="144">
        <f>VLOOKUP($A7,'Data shares'!$C:$FA,24)</f>
        <v>28</v>
      </c>
      <c r="G7" s="144">
        <f>VLOOKUP($A7,'Data shares'!$C:$FA,25)</f>
        <v>-11.5</v>
      </c>
    </row>
    <row r="8" spans="1:8" x14ac:dyDescent="0.25">
      <c r="A8" s="101" t="str">
        <f>'Data shares'!C4</f>
        <v>ABCAPITAL</v>
      </c>
      <c r="B8" s="144">
        <f>VLOOKUP($A8,'Data shares'!$C:$FA,7)</f>
        <v>349.75</v>
      </c>
      <c r="C8" s="144">
        <f>VLOOKUP($A8,'Data shares'!$C:$FA,3)</f>
        <v>349.65</v>
      </c>
      <c r="D8" s="144">
        <f>VLOOKUP($A8,'Data shares'!$C:$FA,23)</f>
        <v>-0.1</v>
      </c>
      <c r="E8" s="145">
        <f>VLOOKUP($A8,'Data shares'!$C:$FA,26)*100</f>
        <v>-0.03</v>
      </c>
      <c r="F8" s="144">
        <f>VLOOKUP($A8,'Data shares'!$C:$FA,24)</f>
        <v>0.15</v>
      </c>
      <c r="G8" s="144">
        <f>VLOOKUP($A8,'Data shares'!$C:$FA,25)</f>
        <v>-0.25</v>
      </c>
    </row>
    <row r="9" spans="1:8" x14ac:dyDescent="0.25">
      <c r="A9" s="101" t="str">
        <f>'Data shares'!C5</f>
        <v>ADANIENSOL</v>
      </c>
      <c r="B9" s="144">
        <f>VLOOKUP($A9,'Data shares'!$C:$FA,7)</f>
        <v>1361.25</v>
      </c>
      <c r="C9" s="144">
        <f>VLOOKUP($A9,'Data shares'!$C:$FA,3)</f>
        <v>1364.45</v>
      </c>
      <c r="D9" s="144">
        <f>VLOOKUP($A9,'Data shares'!$C:$FA,23)</f>
        <v>3.2</v>
      </c>
      <c r="E9" s="145">
        <f>VLOOKUP($A9,'Data shares'!$C:$FA,26)*100</f>
        <v>0.24</v>
      </c>
      <c r="F9" s="144">
        <f>VLOOKUP($A9,'Data shares'!$C:$FA,24)</f>
        <v>-2.85</v>
      </c>
      <c r="G9" s="144">
        <f>VLOOKUP($A9,'Data shares'!$C:$FA,25)</f>
        <v>6.05</v>
      </c>
    </row>
    <row r="10" spans="1:8" x14ac:dyDescent="0.25">
      <c r="A10" s="101" t="str">
        <f>'Data shares'!C6</f>
        <v>ADANIENT</v>
      </c>
      <c r="B10" s="144">
        <f>VLOOKUP($A10,'Data shares'!$C:$FA,7)</f>
        <v>2300</v>
      </c>
      <c r="C10" s="144">
        <f>VLOOKUP($A10,'Data shares'!$C:$FA,3)</f>
        <v>2307.1999999999998</v>
      </c>
      <c r="D10" s="144">
        <f>VLOOKUP($A10,'Data shares'!$C:$FA,23)</f>
        <v>7.2</v>
      </c>
      <c r="E10" s="145">
        <f>VLOOKUP($A10,'Data shares'!$C:$FA,26)*100</f>
        <v>0.31</v>
      </c>
      <c r="F10" s="144">
        <f>VLOOKUP($A10,'Data shares'!$C:$FA,24)</f>
        <v>8.4</v>
      </c>
      <c r="G10" s="144">
        <f>VLOOKUP($A10,'Data shares'!$C:$FA,25)</f>
        <v>-1.2</v>
      </c>
    </row>
    <row r="11" spans="1:8" x14ac:dyDescent="0.25">
      <c r="A11" s="101" t="str">
        <f>'Data shares'!C7</f>
        <v>ADANIGREEN</v>
      </c>
      <c r="B11" s="144">
        <f>VLOOKUP($A11,'Data shares'!$C:$FA,7)</f>
        <v>1214.1500000000001</v>
      </c>
      <c r="C11" s="144">
        <f>VLOOKUP($A11,'Data shares'!$C:$FA,3)</f>
        <v>1213.2</v>
      </c>
      <c r="D11" s="144">
        <f>VLOOKUP($A11,'Data shares'!$C:$FA,23)</f>
        <v>-0.95</v>
      </c>
      <c r="E11" s="145">
        <f>VLOOKUP($A11,'Data shares'!$C:$FA,26)*100</f>
        <v>-0.08</v>
      </c>
      <c r="F11" s="144">
        <f>VLOOKUP($A11,'Data shares'!$C:$FA,24)</f>
        <v>-0.7</v>
      </c>
      <c r="G11" s="144">
        <f>VLOOKUP($A11,'Data shares'!$C:$FA,25)</f>
        <v>-0.25</v>
      </c>
    </row>
    <row r="12" spans="1:8" x14ac:dyDescent="0.25">
      <c r="A12" s="101" t="str">
        <f>'Data shares'!C8</f>
        <v>ADANIPORTS</v>
      </c>
      <c r="B12" s="144">
        <f>VLOOKUP($A12,'Data shares'!$C:$FA,7)</f>
        <v>1602.9</v>
      </c>
      <c r="C12" s="144">
        <f>VLOOKUP($A12,'Data shares'!$C:$FA,3)</f>
        <v>1599.8</v>
      </c>
      <c r="D12" s="144">
        <f>VLOOKUP($A12,'Data shares'!$C:$FA,23)</f>
        <v>-3.1</v>
      </c>
      <c r="E12" s="145">
        <f>VLOOKUP($A12,'Data shares'!$C:$FA,26)*100</f>
        <v>-0.19</v>
      </c>
      <c r="F12" s="144">
        <f>VLOOKUP($A12,'Data shares'!$C:$FA,24)</f>
        <v>2.4</v>
      </c>
      <c r="G12" s="144">
        <f>VLOOKUP($A12,'Data shares'!$C:$FA,25)</f>
        <v>-5.5</v>
      </c>
    </row>
    <row r="13" spans="1:8" x14ac:dyDescent="0.25">
      <c r="A13" s="101" t="str">
        <f>'Data shares'!C9</f>
        <v>ADANIPOWER</v>
      </c>
      <c r="B13" s="144">
        <f>VLOOKUP($A13,'Data shares'!$C:$FA,7)</f>
        <v>214.18</v>
      </c>
      <c r="C13" s="144">
        <f>VLOOKUP($A13,'Data shares'!$C:$FA,3)</f>
        <v>214.22</v>
      </c>
      <c r="D13" s="144">
        <f>VLOOKUP($A13,'Data shares'!$C:$FA,23)</f>
        <v>0.04</v>
      </c>
      <c r="E13" s="145">
        <f>VLOOKUP($A13,'Data shares'!$C:$FA,26)*100</f>
        <v>0.02</v>
      </c>
      <c r="F13" s="144">
        <f>VLOOKUP($A13,'Data shares'!$C:$FA,24)</f>
        <v>-0.26</v>
      </c>
      <c r="G13" s="144">
        <f>VLOOKUP($A13,'Data shares'!$C:$FA,25)</f>
        <v>0.3</v>
      </c>
    </row>
    <row r="14" spans="1:8" x14ac:dyDescent="0.25">
      <c r="A14" s="101" t="str">
        <f>'Data shares'!C10</f>
        <v>ALKEM</v>
      </c>
      <c r="B14" s="144">
        <f>VLOOKUP($A14,'Data shares'!$C:$FA,7)</f>
        <v>5520.5</v>
      </c>
      <c r="C14" s="144">
        <f>VLOOKUP($A14,'Data shares'!$C:$FA,3)</f>
        <v>5511</v>
      </c>
      <c r="D14" s="144">
        <f>VLOOKUP($A14,'Data shares'!$C:$FA,23)</f>
        <v>-9.5</v>
      </c>
      <c r="E14" s="145">
        <f>VLOOKUP($A14,'Data shares'!$C:$FA,26)*100</f>
        <v>-0.16999999999999998</v>
      </c>
      <c r="F14" s="144">
        <f>VLOOKUP($A14,'Data shares'!$C:$FA,24)</f>
        <v>-27.5</v>
      </c>
      <c r="G14" s="144">
        <f>VLOOKUP($A14,'Data shares'!$C:$FA,25)</f>
        <v>18</v>
      </c>
    </row>
    <row r="15" spans="1:8" x14ac:dyDescent="0.25">
      <c r="A15" s="101" t="str">
        <f>'Data shares'!C11</f>
        <v>AMBER</v>
      </c>
      <c r="B15" s="144">
        <f>VLOOKUP($A15,'Data shares'!$C:$FA,7)</f>
        <v>7795</v>
      </c>
      <c r="C15" s="144">
        <f>VLOOKUP($A15,'Data shares'!$C:$FA,3)</f>
        <v>7817</v>
      </c>
      <c r="D15" s="144">
        <f>VLOOKUP($A15,'Data shares'!$C:$FA,23)</f>
        <v>22</v>
      </c>
      <c r="E15" s="145">
        <f>VLOOKUP($A15,'Data shares'!$C:$FA,26)*100</f>
        <v>0.27999999999999997</v>
      </c>
      <c r="F15" s="144">
        <f>VLOOKUP($A15,'Data shares'!$C:$FA,24)</f>
        <v>3.5</v>
      </c>
      <c r="G15" s="144">
        <f>VLOOKUP($A15,'Data shares'!$C:$FA,25)</f>
        <v>18.5</v>
      </c>
    </row>
    <row r="16" spans="1:8" x14ac:dyDescent="0.25">
      <c r="A16" s="101" t="str">
        <f>'Data shares'!C12</f>
        <v>AMBUJACEM</v>
      </c>
      <c r="B16" s="144">
        <f>VLOOKUP($A16,'Data shares'!$C:$FA,7)</f>
        <v>450.4</v>
      </c>
      <c r="C16" s="144">
        <f>VLOOKUP($A16,'Data shares'!$C:$FA,3)</f>
        <v>449.75</v>
      </c>
      <c r="D16" s="144">
        <f>VLOOKUP($A16,'Data shares'!$C:$FA,23)</f>
        <v>-0.65</v>
      </c>
      <c r="E16" s="145">
        <f>VLOOKUP($A16,'Data shares'!$C:$FA,26)*100</f>
        <v>-0.13999999999999999</v>
      </c>
      <c r="F16" s="144">
        <f>VLOOKUP($A16,'Data shares'!$C:$FA,24)</f>
        <v>0.55000000000000004</v>
      </c>
      <c r="G16" s="144">
        <f>VLOOKUP($A16,'Data shares'!$C:$FA,25)</f>
        <v>-1.2</v>
      </c>
    </row>
    <row r="17" spans="1:7" x14ac:dyDescent="0.25">
      <c r="A17" s="101" t="str">
        <f>'Data shares'!C13</f>
        <v>ANGELONE</v>
      </c>
      <c r="B17" s="144">
        <f>VLOOKUP($A17,'Data shares'!$C:$FA,7)</f>
        <v>321.20999999999998</v>
      </c>
      <c r="C17" s="144">
        <f>VLOOKUP($A17,'Data shares'!$C:$FA,3)</f>
        <v>321.87</v>
      </c>
      <c r="D17" s="144">
        <f>VLOOKUP($A17,'Data shares'!$C:$FA,23)</f>
        <v>0.66</v>
      </c>
      <c r="E17" s="145">
        <f>VLOOKUP($A17,'Data shares'!$C:$FA,26)*100</f>
        <v>0.21</v>
      </c>
      <c r="F17" s="144">
        <f>VLOOKUP($A17,'Data shares'!$C:$FA,24)</f>
        <v>0.6</v>
      </c>
      <c r="G17" s="144">
        <f>VLOOKUP($A17,'Data shares'!$C:$FA,25)</f>
        <v>0.06</v>
      </c>
    </row>
    <row r="18" spans="1:7" x14ac:dyDescent="0.25">
      <c r="A18" s="101" t="str">
        <f>'Data shares'!C14</f>
        <v>APLAPOLLO</v>
      </c>
      <c r="B18" s="144">
        <f>VLOOKUP($A18,'Data shares'!$C:$FA,7)</f>
        <v>2022.9</v>
      </c>
      <c r="C18" s="144">
        <f>VLOOKUP($A18,'Data shares'!$C:$FA,3)</f>
        <v>2025.7</v>
      </c>
      <c r="D18" s="144">
        <f>VLOOKUP($A18,'Data shares'!$C:$FA,23)</f>
        <v>2.8</v>
      </c>
      <c r="E18" s="145">
        <f>VLOOKUP($A18,'Data shares'!$C:$FA,26)*100</f>
        <v>0.13999999999999999</v>
      </c>
      <c r="F18" s="144">
        <f>VLOOKUP($A18,'Data shares'!$C:$FA,24)</f>
        <v>-3.5</v>
      </c>
      <c r="G18" s="144">
        <f>VLOOKUP($A18,'Data shares'!$C:$FA,25)</f>
        <v>6.3</v>
      </c>
    </row>
    <row r="19" spans="1:7" x14ac:dyDescent="0.25">
      <c r="A19" s="101" t="str">
        <f>'Data shares'!C15</f>
        <v>APOLLOHOSP</v>
      </c>
      <c r="B19" s="144">
        <f>VLOOKUP($A19,'Data shares'!$C:$FA,7)</f>
        <v>7781</v>
      </c>
      <c r="C19" s="144">
        <f>VLOOKUP($A19,'Data shares'!$C:$FA,3)</f>
        <v>7766.5</v>
      </c>
      <c r="D19" s="144">
        <f>VLOOKUP($A19,'Data shares'!$C:$FA,23)</f>
        <v>-14.5</v>
      </c>
      <c r="E19" s="145">
        <f>VLOOKUP($A19,'Data shares'!$C:$FA,26)*100</f>
        <v>-0.19</v>
      </c>
      <c r="F19" s="144">
        <f>VLOOKUP($A19,'Data shares'!$C:$FA,24)</f>
        <v>-16</v>
      </c>
      <c r="G19" s="144">
        <f>VLOOKUP($A19,'Data shares'!$C:$FA,25)</f>
        <v>1.5</v>
      </c>
    </row>
    <row r="20" spans="1:7" x14ac:dyDescent="0.25">
      <c r="A20" s="101" t="str">
        <f>'Data shares'!C16</f>
        <v>ASHOKLEY</v>
      </c>
      <c r="B20" s="144">
        <f>VLOOKUP($A20,'Data shares'!$C:$FA,7)</f>
        <v>170.63</v>
      </c>
      <c r="C20" s="144">
        <f>VLOOKUP($A20,'Data shares'!$C:$FA,3)</f>
        <v>170.92</v>
      </c>
      <c r="D20" s="144">
        <f>VLOOKUP($A20,'Data shares'!$C:$FA,23)</f>
        <v>0.28999999999999998</v>
      </c>
      <c r="E20" s="145">
        <f>VLOOKUP($A20,'Data shares'!$C:$FA,26)*100</f>
        <v>0.16999999999999998</v>
      </c>
      <c r="F20" s="144">
        <f>VLOOKUP($A20,'Data shares'!$C:$FA,24)</f>
        <v>-0.03</v>
      </c>
      <c r="G20" s="144">
        <f>VLOOKUP($A20,'Data shares'!$C:$FA,25)</f>
        <v>0.32</v>
      </c>
    </row>
    <row r="21" spans="1:7" x14ac:dyDescent="0.25">
      <c r="A21" s="101" t="str">
        <f>'Data shares'!C17</f>
        <v>ASIANPAINT</v>
      </c>
      <c r="B21" s="144">
        <f>VLOOKUP($A21,'Data shares'!$C:$FA,7)</f>
        <v>2521.4</v>
      </c>
      <c r="C21" s="144">
        <f>VLOOKUP($A21,'Data shares'!$C:$FA,3)</f>
        <v>2516.8000000000002</v>
      </c>
      <c r="D21" s="144">
        <f>VLOOKUP($A21,'Data shares'!$C:$FA,23)</f>
        <v>-4.5999999999999996</v>
      </c>
      <c r="E21" s="145">
        <f>VLOOKUP($A21,'Data shares'!$C:$FA,26)*100</f>
        <v>-0.18</v>
      </c>
      <c r="F21" s="144">
        <f>VLOOKUP($A21,'Data shares'!$C:$FA,24)</f>
        <v>-3</v>
      </c>
      <c r="G21" s="144">
        <f>VLOOKUP($A21,'Data shares'!$C:$FA,25)</f>
        <v>-1.6</v>
      </c>
    </row>
    <row r="22" spans="1:7" x14ac:dyDescent="0.25">
      <c r="A22" s="101" t="str">
        <f>'Data shares'!C18</f>
        <v>ASTRAL</v>
      </c>
      <c r="B22" s="144">
        <f>VLOOKUP($A22,'Data shares'!$C:$FA,7)</f>
        <v>1574.9</v>
      </c>
      <c r="C22" s="144">
        <f>VLOOKUP($A22,'Data shares'!$C:$FA,3)</f>
        <v>1575.3</v>
      </c>
      <c r="D22" s="144">
        <f>VLOOKUP($A22,'Data shares'!$C:$FA,23)</f>
        <v>0.4</v>
      </c>
      <c r="E22" s="145">
        <f>VLOOKUP($A22,'Data shares'!$C:$FA,26)*100</f>
        <v>0.03</v>
      </c>
      <c r="F22" s="144">
        <f>VLOOKUP($A22,'Data shares'!$C:$FA,24)</f>
        <v>-8.1999999999999993</v>
      </c>
      <c r="G22" s="144">
        <f>VLOOKUP($A22,'Data shares'!$C:$FA,25)</f>
        <v>8.6</v>
      </c>
    </row>
    <row r="23" spans="1:7" x14ac:dyDescent="0.25">
      <c r="A23" s="101" t="str">
        <f>'Data shares'!C19</f>
        <v>AUBANK</v>
      </c>
      <c r="B23" s="144">
        <f>VLOOKUP($A23,'Data shares'!$C:$FA,7)</f>
        <v>1056.25</v>
      </c>
      <c r="C23" s="144">
        <f>VLOOKUP($A23,'Data shares'!$C:$FA,3)</f>
        <v>1057.5999999999999</v>
      </c>
      <c r="D23" s="144">
        <f>VLOOKUP($A23,'Data shares'!$C:$FA,23)</f>
        <v>1.35</v>
      </c>
      <c r="E23" s="145">
        <f>VLOOKUP($A23,'Data shares'!$C:$FA,26)*100</f>
        <v>0.13</v>
      </c>
      <c r="F23" s="144">
        <f>VLOOKUP($A23,'Data shares'!$C:$FA,24)</f>
        <v>-0.75</v>
      </c>
      <c r="G23" s="144">
        <f>VLOOKUP($A23,'Data shares'!$C:$FA,25)</f>
        <v>2.1</v>
      </c>
    </row>
    <row r="24" spans="1:7" x14ac:dyDescent="0.25">
      <c r="A24" s="101" t="str">
        <f>'Data shares'!C20</f>
        <v>AUROPHARMA</v>
      </c>
      <c r="B24" s="144">
        <f>VLOOKUP($A24,'Data shares'!$C:$FA,7)</f>
        <v>1435.4</v>
      </c>
      <c r="C24" s="144">
        <f>VLOOKUP($A24,'Data shares'!$C:$FA,3)</f>
        <v>1437.7</v>
      </c>
      <c r="D24" s="144">
        <f>VLOOKUP($A24,'Data shares'!$C:$FA,23)</f>
        <v>2.2999999999999998</v>
      </c>
      <c r="E24" s="145">
        <f>VLOOKUP($A24,'Data shares'!$C:$FA,26)*100</f>
        <v>0.16</v>
      </c>
      <c r="F24" s="144">
        <f>VLOOKUP($A24,'Data shares'!$C:$FA,24)</f>
        <v>-3.9</v>
      </c>
      <c r="G24" s="144">
        <f>VLOOKUP($A24,'Data shares'!$C:$FA,25)</f>
        <v>6.2</v>
      </c>
    </row>
    <row r="25" spans="1:7" x14ac:dyDescent="0.25">
      <c r="A25" s="101" t="str">
        <f>'Data shares'!C21</f>
        <v>AXISBANK</v>
      </c>
      <c r="B25" s="144">
        <f>VLOOKUP($A25,'Data shares'!$C:$FA,7)</f>
        <v>1369.6</v>
      </c>
      <c r="C25" s="144">
        <f>VLOOKUP($A25,'Data shares'!$C:$FA,3)</f>
        <v>1367.3</v>
      </c>
      <c r="D25" s="144">
        <f>VLOOKUP($A25,'Data shares'!$C:$FA,23)</f>
        <v>-2.2999999999999998</v>
      </c>
      <c r="E25" s="145">
        <f>VLOOKUP($A25,'Data shares'!$C:$FA,26)*100</f>
        <v>-0.16999999999999998</v>
      </c>
      <c r="F25" s="144">
        <f>VLOOKUP($A25,'Data shares'!$C:$FA,24)</f>
        <v>-1.9</v>
      </c>
      <c r="G25" s="144">
        <f>VLOOKUP($A25,'Data shares'!$C:$FA,25)</f>
        <v>-0.4</v>
      </c>
    </row>
    <row r="26" spans="1:7" x14ac:dyDescent="0.25">
      <c r="A26" s="101" t="str">
        <f>'Data shares'!C22</f>
        <v>BAJAJ-AUTO</v>
      </c>
      <c r="B26" s="144">
        <f>VLOOKUP($A26,'Data shares'!$C:$FA,7)</f>
        <v>9550.5</v>
      </c>
      <c r="C26" s="144">
        <f>VLOOKUP($A26,'Data shares'!$C:$FA,3)</f>
        <v>9574</v>
      </c>
      <c r="D26" s="144">
        <f>VLOOKUP($A26,'Data shares'!$C:$FA,23)</f>
        <v>23.5</v>
      </c>
      <c r="E26" s="145">
        <f>VLOOKUP($A26,'Data shares'!$C:$FA,26)*100</f>
        <v>0.25</v>
      </c>
      <c r="F26" s="144">
        <f>VLOOKUP($A26,'Data shares'!$C:$FA,24)</f>
        <v>33</v>
      </c>
      <c r="G26" s="144">
        <f>VLOOKUP($A26,'Data shares'!$C:$FA,25)</f>
        <v>-9.5</v>
      </c>
    </row>
    <row r="27" spans="1:7" x14ac:dyDescent="0.25">
      <c r="A27" s="101" t="str">
        <f>'Data shares'!C23</f>
        <v>BAJAJFINSV</v>
      </c>
      <c r="B27" s="144">
        <f>VLOOKUP($A27,'Data shares'!$C:$FA,7)</f>
        <v>1792.6</v>
      </c>
      <c r="C27" s="144">
        <f>VLOOKUP($A27,'Data shares'!$C:$FA,3)</f>
        <v>1789.4</v>
      </c>
      <c r="D27" s="144">
        <f>VLOOKUP($A27,'Data shares'!$C:$FA,23)</f>
        <v>-3.2</v>
      </c>
      <c r="E27" s="145">
        <f>VLOOKUP($A27,'Data shares'!$C:$FA,26)*100</f>
        <v>-0.18</v>
      </c>
      <c r="F27" s="144">
        <f>VLOOKUP($A27,'Data shares'!$C:$FA,24)</f>
        <v>2.9</v>
      </c>
      <c r="G27" s="144">
        <f>VLOOKUP($A27,'Data shares'!$C:$FA,25)</f>
        <v>-6.1</v>
      </c>
    </row>
    <row r="28" spans="1:7" x14ac:dyDescent="0.25">
      <c r="A28" s="101" t="str">
        <f>'Data shares'!C24</f>
        <v>BAJAJHLDNG</v>
      </c>
      <c r="B28" s="144">
        <f>VLOOKUP($A28,'Data shares'!$C:$FA,7)</f>
        <v>10376.5</v>
      </c>
      <c r="C28" s="144">
        <f>VLOOKUP($A28,'Data shares'!$C:$FA,3)</f>
        <v>10375.5</v>
      </c>
      <c r="D28" s="144">
        <f>VLOOKUP($A28,'Data shares'!$C:$FA,23)</f>
        <v>-1</v>
      </c>
      <c r="E28" s="145">
        <f>VLOOKUP($A28,'Data shares'!$C:$FA,26)*100</f>
        <v>-0.01</v>
      </c>
      <c r="F28" s="144">
        <f>VLOOKUP($A28,'Data shares'!$C:$FA,24)</f>
        <v>25.5</v>
      </c>
      <c r="G28" s="144">
        <f>VLOOKUP($A28,'Data shares'!$C:$FA,25)</f>
        <v>-26.5</v>
      </c>
    </row>
    <row r="29" spans="1:7" x14ac:dyDescent="0.25">
      <c r="A29" s="101" t="str">
        <f>'Data shares'!C25</f>
        <v>BAJFINANCE</v>
      </c>
      <c r="B29" s="144">
        <f>VLOOKUP($A29,'Data shares'!$C:$FA,7)</f>
        <v>918.35</v>
      </c>
      <c r="C29" s="144">
        <f>VLOOKUP($A29,'Data shares'!$C:$FA,3)</f>
        <v>916.75</v>
      </c>
      <c r="D29" s="144">
        <f>VLOOKUP($A29,'Data shares'!$C:$FA,23)</f>
        <v>-1.6</v>
      </c>
      <c r="E29" s="145">
        <f>VLOOKUP($A29,'Data shares'!$C:$FA,26)*100</f>
        <v>-0.16999999999999998</v>
      </c>
      <c r="F29" s="144">
        <f>VLOOKUP($A29,'Data shares'!$C:$FA,24)</f>
        <v>-0.95</v>
      </c>
      <c r="G29" s="144">
        <f>VLOOKUP($A29,'Data shares'!$C:$FA,25)</f>
        <v>-0.65</v>
      </c>
    </row>
    <row r="30" spans="1:7" x14ac:dyDescent="0.25">
      <c r="A30" s="101" t="str">
        <f>'Data shares'!C26</f>
        <v>BANDHANBNK</v>
      </c>
      <c r="B30" s="144">
        <f>VLOOKUP($A30,'Data shares'!$C:$FA,7)</f>
        <v>173.9</v>
      </c>
      <c r="C30" s="144">
        <f>VLOOKUP($A30,'Data shares'!$C:$FA,3)</f>
        <v>173.67</v>
      </c>
      <c r="D30" s="144">
        <f>VLOOKUP($A30,'Data shares'!$C:$FA,23)</f>
        <v>-0.23</v>
      </c>
      <c r="E30" s="145">
        <f>VLOOKUP($A30,'Data shares'!$C:$FA,26)*100</f>
        <v>-0.13</v>
      </c>
      <c r="F30" s="144">
        <f>VLOOKUP($A30,'Data shares'!$C:$FA,24)</f>
        <v>-0.37</v>
      </c>
      <c r="G30" s="144">
        <f>VLOOKUP($A30,'Data shares'!$C:$FA,25)</f>
        <v>0.14000000000000001</v>
      </c>
    </row>
    <row r="31" spans="1:7" x14ac:dyDescent="0.25">
      <c r="A31" s="101" t="str">
        <f>'Data shares'!C27</f>
        <v>BANKBARODA</v>
      </c>
      <c r="B31" s="144">
        <f>VLOOKUP($A31,'Data shares'!$C:$FA,7)</f>
        <v>276.33999999999997</v>
      </c>
      <c r="C31" s="144">
        <f>VLOOKUP($A31,'Data shares'!$C:$FA,3)</f>
        <v>276.51</v>
      </c>
      <c r="D31" s="144">
        <f>VLOOKUP($A31,'Data shares'!$C:$FA,23)</f>
        <v>0.17</v>
      </c>
      <c r="E31" s="145">
        <f>VLOOKUP($A31,'Data shares'!$C:$FA,26)*100</f>
        <v>0.06</v>
      </c>
      <c r="F31" s="144">
        <f>VLOOKUP($A31,'Data shares'!$C:$FA,24)</f>
        <v>-0.36</v>
      </c>
      <c r="G31" s="144">
        <f>VLOOKUP($A31,'Data shares'!$C:$FA,25)</f>
        <v>0.53</v>
      </c>
    </row>
    <row r="32" spans="1:7" x14ac:dyDescent="0.25">
      <c r="A32" s="101" t="str">
        <f>'Data shares'!C28</f>
        <v>BANKINDIA</v>
      </c>
      <c r="B32" s="144">
        <f>VLOOKUP($A32,'Data shares'!$C:$FA,7)</f>
        <v>150.86000000000001</v>
      </c>
      <c r="C32" s="144">
        <f>VLOOKUP($A32,'Data shares'!$C:$FA,3)</f>
        <v>150.6</v>
      </c>
      <c r="D32" s="144">
        <f>VLOOKUP($A32,'Data shares'!$C:$FA,23)</f>
        <v>-0.26</v>
      </c>
      <c r="E32" s="145">
        <f>VLOOKUP($A32,'Data shares'!$C:$FA,26)*100</f>
        <v>-0.16999999999999998</v>
      </c>
      <c r="F32" s="144">
        <f>VLOOKUP($A32,'Data shares'!$C:$FA,24)</f>
        <v>-0.3</v>
      </c>
      <c r="G32" s="144">
        <f>VLOOKUP($A32,'Data shares'!$C:$FA,25)</f>
        <v>0.04</v>
      </c>
    </row>
    <row r="33" spans="1:7" x14ac:dyDescent="0.25">
      <c r="A33" s="101" t="str">
        <f>'Data shares'!C29</f>
        <v>BANKNIFTY</v>
      </c>
      <c r="B33" s="144">
        <f>VLOOKUP($A33,'Data shares'!$C:$FA,7)</f>
        <v>56305</v>
      </c>
      <c r="C33" s="144">
        <f>VLOOKUP($A33,'Data shares'!$C:$FA,3)</f>
        <v>56344.2</v>
      </c>
      <c r="D33" s="144">
        <f>VLOOKUP($A33,'Data shares'!$C:$FA,23)</f>
        <v>39.200000000000003</v>
      </c>
      <c r="E33" s="145">
        <f>VLOOKUP($A33,'Data shares'!$C:$FA,26)*100</f>
        <v>6.9999999999999993E-2</v>
      </c>
      <c r="F33" s="144">
        <f>VLOOKUP($A33,'Data shares'!$C:$FA,24)</f>
        <v>22.55</v>
      </c>
      <c r="G33" s="144">
        <f>VLOOKUP($A33,'Data shares'!$C:$FA,25)</f>
        <v>16.649999999999999</v>
      </c>
    </row>
    <row r="34" spans="1:7" x14ac:dyDescent="0.25">
      <c r="A34" s="101" t="str">
        <f>'Data shares'!C30</f>
        <v>BDL</v>
      </c>
      <c r="B34" s="144">
        <f>VLOOKUP($A34,'Data shares'!$C:$FA,7)</f>
        <v>1423.3</v>
      </c>
      <c r="C34" s="144">
        <f>VLOOKUP($A34,'Data shares'!$C:$FA,3)</f>
        <v>1424.5</v>
      </c>
      <c r="D34" s="144">
        <f>VLOOKUP($A34,'Data shares'!$C:$FA,23)</f>
        <v>1.2</v>
      </c>
      <c r="E34" s="145">
        <f>VLOOKUP($A34,'Data shares'!$C:$FA,26)*100</f>
        <v>0.08</v>
      </c>
      <c r="F34" s="144">
        <f>VLOOKUP($A34,'Data shares'!$C:$FA,24)</f>
        <v>3.9</v>
      </c>
      <c r="G34" s="144">
        <f>VLOOKUP($A34,'Data shares'!$C:$FA,25)</f>
        <v>-2.7</v>
      </c>
    </row>
    <row r="35" spans="1:7" x14ac:dyDescent="0.25">
      <c r="A35" s="101" t="str">
        <f>'Data shares'!C31</f>
        <v>BEL</v>
      </c>
      <c r="B35" s="144">
        <f>VLOOKUP($A35,'Data shares'!$C:$FA,7)</f>
        <v>449.95</v>
      </c>
      <c r="C35" s="144">
        <f>VLOOKUP($A35,'Data shares'!$C:$FA,3)</f>
        <v>450.3</v>
      </c>
      <c r="D35" s="144">
        <f>VLOOKUP($A35,'Data shares'!$C:$FA,23)</f>
        <v>0.35</v>
      </c>
      <c r="E35" s="145">
        <f>VLOOKUP($A35,'Data shares'!$C:$FA,26)*100</f>
        <v>0.08</v>
      </c>
      <c r="F35" s="144">
        <f>VLOOKUP($A35,'Data shares'!$C:$FA,24)</f>
        <v>0.75</v>
      </c>
      <c r="G35" s="144">
        <f>VLOOKUP($A35,'Data shares'!$C:$FA,25)</f>
        <v>-0.4</v>
      </c>
    </row>
    <row r="36" spans="1:7" x14ac:dyDescent="0.25">
      <c r="A36" s="101" t="str">
        <f>'Data shares'!C32</f>
        <v>BHARATFORG</v>
      </c>
      <c r="B36" s="144">
        <f>VLOOKUP($A36,'Data shares'!$C:$FA,7)</f>
        <v>1874.1</v>
      </c>
      <c r="C36" s="144">
        <f>VLOOKUP($A36,'Data shares'!$C:$FA,3)</f>
        <v>1860.7</v>
      </c>
      <c r="D36" s="144">
        <f>VLOOKUP($A36,'Data shares'!$C:$FA,23)</f>
        <v>-13.4</v>
      </c>
      <c r="E36" s="145">
        <f>VLOOKUP($A36,'Data shares'!$C:$FA,26)*100</f>
        <v>-0.72</v>
      </c>
      <c r="F36" s="144">
        <f>VLOOKUP($A36,'Data shares'!$C:$FA,24)</f>
        <v>-6.6</v>
      </c>
      <c r="G36" s="144">
        <f>VLOOKUP($A36,'Data shares'!$C:$FA,25)</f>
        <v>-6.8</v>
      </c>
    </row>
    <row r="37" spans="1:7" x14ac:dyDescent="0.25">
      <c r="A37" s="101" t="str">
        <f>'Data shares'!C33</f>
        <v>BHARTIARTL</v>
      </c>
      <c r="B37" s="144">
        <f>VLOOKUP($A37,'Data shares'!$C:$FA,7)</f>
        <v>1841.2</v>
      </c>
      <c r="C37" s="144">
        <f>VLOOKUP($A37,'Data shares'!$C:$FA,3)</f>
        <v>1838.5</v>
      </c>
      <c r="D37" s="144">
        <f>VLOOKUP($A37,'Data shares'!$C:$FA,23)</f>
        <v>-2.7</v>
      </c>
      <c r="E37" s="145">
        <f>VLOOKUP($A37,'Data shares'!$C:$FA,26)*100</f>
        <v>-0.15</v>
      </c>
      <c r="F37" s="144">
        <f>VLOOKUP($A37,'Data shares'!$C:$FA,24)</f>
        <v>2.5</v>
      </c>
      <c r="G37" s="144">
        <f>VLOOKUP($A37,'Data shares'!$C:$FA,25)</f>
        <v>-5.2</v>
      </c>
    </row>
    <row r="38" spans="1:7" x14ac:dyDescent="0.25">
      <c r="A38" s="101" t="str">
        <f>'Data shares'!C34</f>
        <v>BHEL</v>
      </c>
      <c r="B38" s="144">
        <f>VLOOKUP($A38,'Data shares'!$C:$FA,7)</f>
        <v>337.6</v>
      </c>
      <c r="C38" s="144">
        <f>VLOOKUP($A38,'Data shares'!$C:$FA,3)</f>
        <v>338.22</v>
      </c>
      <c r="D38" s="144">
        <f>VLOOKUP($A38,'Data shares'!$C:$FA,23)</f>
        <v>0.62</v>
      </c>
      <c r="E38" s="145">
        <f>VLOOKUP($A38,'Data shares'!$C:$FA,26)*100</f>
        <v>0.18</v>
      </c>
      <c r="F38" s="144">
        <f>VLOOKUP($A38,'Data shares'!$C:$FA,24)</f>
        <v>0.5</v>
      </c>
      <c r="G38" s="144">
        <f>VLOOKUP($A38,'Data shares'!$C:$FA,25)</f>
        <v>0.12</v>
      </c>
    </row>
    <row r="39" spans="1:7" x14ac:dyDescent="0.25">
      <c r="A39" s="101" t="str">
        <f>'Data shares'!C35</f>
        <v>BIOCON</v>
      </c>
      <c r="B39" s="144">
        <f>VLOOKUP($A39,'Data shares'!$C:$FA,7)</f>
        <v>358</v>
      </c>
      <c r="C39" s="144">
        <f>VLOOKUP($A39,'Data shares'!$C:$FA,3)</f>
        <v>358.6</v>
      </c>
      <c r="D39" s="144">
        <f>VLOOKUP($A39,'Data shares'!$C:$FA,23)</f>
        <v>0.6</v>
      </c>
      <c r="E39" s="145">
        <f>VLOOKUP($A39,'Data shares'!$C:$FA,26)*100</f>
        <v>0.16999999999999998</v>
      </c>
      <c r="F39" s="144">
        <f>VLOOKUP($A39,'Data shares'!$C:$FA,24)</f>
        <v>0.35</v>
      </c>
      <c r="G39" s="144">
        <f>VLOOKUP($A39,'Data shares'!$C:$FA,25)</f>
        <v>0.25</v>
      </c>
    </row>
    <row r="40" spans="1:7" x14ac:dyDescent="0.25">
      <c r="A40" s="101" t="str">
        <f>'Data shares'!C36</f>
        <v>BLUESTARCO</v>
      </c>
      <c r="B40" s="144">
        <f>VLOOKUP($A40,'Data shares'!$C:$FA,7)</f>
        <v>1829.8</v>
      </c>
      <c r="C40" s="144">
        <f>VLOOKUP($A40,'Data shares'!$C:$FA,3)</f>
        <v>1834.8</v>
      </c>
      <c r="D40" s="144">
        <f>VLOOKUP($A40,'Data shares'!$C:$FA,23)</f>
        <v>5</v>
      </c>
      <c r="E40" s="145">
        <f>VLOOKUP($A40,'Data shares'!$C:$FA,26)*100</f>
        <v>0.27</v>
      </c>
      <c r="F40" s="144">
        <f>VLOOKUP($A40,'Data shares'!$C:$FA,24)</f>
        <v>3.1</v>
      </c>
      <c r="G40" s="144">
        <f>VLOOKUP($A40,'Data shares'!$C:$FA,25)</f>
        <v>1.9</v>
      </c>
    </row>
    <row r="41" spans="1:7" x14ac:dyDescent="0.25">
      <c r="A41" s="101" t="str">
        <f>'Data shares'!C37</f>
        <v>BOSCHLTD</v>
      </c>
      <c r="B41" s="144">
        <f>VLOOKUP($A41,'Data shares'!$C:$FA,7)</f>
        <v>37380</v>
      </c>
      <c r="C41" s="144">
        <f>VLOOKUP($A41,'Data shares'!$C:$FA,3)</f>
        <v>37350</v>
      </c>
      <c r="D41" s="144">
        <f>VLOOKUP($A41,'Data shares'!$C:$FA,23)</f>
        <v>-30</v>
      </c>
      <c r="E41" s="145">
        <f>VLOOKUP($A41,'Data shares'!$C:$FA,26)*100</f>
        <v>-0.08</v>
      </c>
      <c r="F41" s="144">
        <f>VLOOKUP($A41,'Data shares'!$C:$FA,24)</f>
        <v>80</v>
      </c>
      <c r="G41" s="144">
        <f>VLOOKUP($A41,'Data shares'!$C:$FA,25)</f>
        <v>-110</v>
      </c>
    </row>
    <row r="42" spans="1:7" x14ac:dyDescent="0.25">
      <c r="A42" s="101" t="str">
        <f>'Data shares'!C38</f>
        <v>BPCL</v>
      </c>
      <c r="B42" s="144">
        <f>VLOOKUP($A42,'Data shares'!$C:$FA,7)</f>
        <v>309.8</v>
      </c>
      <c r="C42" s="144">
        <f>VLOOKUP($A42,'Data shares'!$C:$FA,3)</f>
        <v>310.5</v>
      </c>
      <c r="D42" s="144">
        <f>VLOOKUP($A42,'Data shares'!$C:$FA,23)</f>
        <v>0.7</v>
      </c>
      <c r="E42" s="145">
        <f>VLOOKUP($A42,'Data shares'!$C:$FA,26)*100</f>
        <v>0.22999999999999998</v>
      </c>
      <c r="F42" s="144">
        <f>VLOOKUP($A42,'Data shares'!$C:$FA,24)</f>
        <v>0.1</v>
      </c>
      <c r="G42" s="144">
        <f>VLOOKUP($A42,'Data shares'!$C:$FA,25)</f>
        <v>0.6</v>
      </c>
    </row>
    <row r="43" spans="1:7" x14ac:dyDescent="0.25">
      <c r="A43" s="101" t="str">
        <f>'Data shares'!C39</f>
        <v>BRITANNIA</v>
      </c>
      <c r="B43" s="144">
        <f>VLOOKUP($A43,'Data shares'!$C:$FA,7)</f>
        <v>5671.5</v>
      </c>
      <c r="C43" s="144">
        <f>VLOOKUP($A43,'Data shares'!$C:$FA,3)</f>
        <v>5676</v>
      </c>
      <c r="D43" s="144">
        <f>VLOOKUP($A43,'Data shares'!$C:$FA,23)</f>
        <v>4.5</v>
      </c>
      <c r="E43" s="145">
        <f>VLOOKUP($A43,'Data shares'!$C:$FA,26)*100</f>
        <v>0.08</v>
      </c>
      <c r="F43" s="144">
        <f>VLOOKUP($A43,'Data shares'!$C:$FA,24)</f>
        <v>7.5</v>
      </c>
      <c r="G43" s="144">
        <f>VLOOKUP($A43,'Data shares'!$C:$FA,25)</f>
        <v>-3</v>
      </c>
    </row>
    <row r="44" spans="1:7" x14ac:dyDescent="0.25">
      <c r="A44" s="101" t="str">
        <f>'Data shares'!C40</f>
        <v>BSE</v>
      </c>
      <c r="B44" s="144">
        <f>VLOOKUP($A44,'Data shares'!$C:$FA,7)</f>
        <v>3463</v>
      </c>
      <c r="C44" s="144">
        <f>VLOOKUP($A44,'Data shares'!$C:$FA,3)</f>
        <v>3471.5</v>
      </c>
      <c r="D44" s="144">
        <f>VLOOKUP($A44,'Data shares'!$C:$FA,23)</f>
        <v>8.5</v>
      </c>
      <c r="E44" s="145">
        <f>VLOOKUP($A44,'Data shares'!$C:$FA,26)*100</f>
        <v>0.25</v>
      </c>
      <c r="F44" s="144">
        <f>VLOOKUP($A44,'Data shares'!$C:$FA,24)</f>
        <v>6.4</v>
      </c>
      <c r="G44" s="144">
        <f>VLOOKUP($A44,'Data shares'!$C:$FA,25)</f>
        <v>2.1</v>
      </c>
    </row>
    <row r="45" spans="1:7" x14ac:dyDescent="0.25">
      <c r="A45" s="101" t="str">
        <f>'Data shares'!C41</f>
        <v>CAMS</v>
      </c>
      <c r="B45" s="144">
        <f>VLOOKUP($A45,'Data shares'!$C:$FA,7)</f>
        <v>770.4</v>
      </c>
      <c r="C45" s="144">
        <f>VLOOKUP($A45,'Data shares'!$C:$FA,3)</f>
        <v>762.55</v>
      </c>
      <c r="D45" s="144">
        <f>VLOOKUP($A45,'Data shares'!$C:$FA,23)</f>
        <v>-7.85</v>
      </c>
      <c r="E45" s="145">
        <f>VLOOKUP($A45,'Data shares'!$C:$FA,26)*100</f>
        <v>-1.02</v>
      </c>
      <c r="F45" s="144">
        <f>VLOOKUP($A45,'Data shares'!$C:$FA,24)</f>
        <v>2.0499999999999998</v>
      </c>
      <c r="G45" s="144">
        <f>VLOOKUP($A45,'Data shares'!$C:$FA,25)</f>
        <v>-9.9</v>
      </c>
    </row>
    <row r="46" spans="1:7" x14ac:dyDescent="0.25">
      <c r="A46" s="101" t="str">
        <f>'Data shares'!C42</f>
        <v>CANBK</v>
      </c>
      <c r="B46" s="144">
        <f>VLOOKUP($A46,'Data shares'!$C:$FA,7)</f>
        <v>140.87</v>
      </c>
      <c r="C46" s="144">
        <f>VLOOKUP($A46,'Data shares'!$C:$FA,3)</f>
        <v>140.93</v>
      </c>
      <c r="D46" s="144">
        <f>VLOOKUP($A46,'Data shares'!$C:$FA,23)</f>
        <v>0.06</v>
      </c>
      <c r="E46" s="145">
        <f>VLOOKUP($A46,'Data shares'!$C:$FA,26)*100</f>
        <v>0.04</v>
      </c>
      <c r="F46" s="144">
        <f>VLOOKUP($A46,'Data shares'!$C:$FA,24)</f>
        <v>0.16</v>
      </c>
      <c r="G46" s="144">
        <f>VLOOKUP($A46,'Data shares'!$C:$FA,25)</f>
        <v>-0.1</v>
      </c>
    </row>
    <row r="47" spans="1:7" x14ac:dyDescent="0.25">
      <c r="A47" s="101" t="str">
        <f>'Data shares'!C43</f>
        <v>CDSL</v>
      </c>
      <c r="B47" s="144">
        <f>VLOOKUP($A47,'Data shares'!$C:$FA,7)</f>
        <v>1323.6</v>
      </c>
      <c r="C47" s="144">
        <f>VLOOKUP($A47,'Data shares'!$C:$FA,3)</f>
        <v>1321.6</v>
      </c>
      <c r="D47" s="144">
        <f>VLOOKUP($A47,'Data shares'!$C:$FA,23)</f>
        <v>-2</v>
      </c>
      <c r="E47" s="145">
        <f>VLOOKUP($A47,'Data shares'!$C:$FA,26)*100</f>
        <v>-0.15</v>
      </c>
      <c r="F47" s="144">
        <f>VLOOKUP($A47,'Data shares'!$C:$FA,24)</f>
        <v>-2</v>
      </c>
      <c r="G47" s="144">
        <f>VLOOKUP($A47,'Data shares'!$C:$FA,25)</f>
        <v>0</v>
      </c>
    </row>
    <row r="48" spans="1:7" x14ac:dyDescent="0.25">
      <c r="A48" s="101" t="str">
        <f>'Data shares'!C44</f>
        <v>CGPOWER</v>
      </c>
      <c r="B48" s="144">
        <f>VLOOKUP($A48,'Data shares'!$C:$FA,7)</f>
        <v>837.8</v>
      </c>
      <c r="C48" s="144">
        <f>VLOOKUP($A48,'Data shares'!$C:$FA,3)</f>
        <v>837</v>
      </c>
      <c r="D48" s="144">
        <f>VLOOKUP($A48,'Data shares'!$C:$FA,23)</f>
        <v>-0.8</v>
      </c>
      <c r="E48" s="145">
        <f>VLOOKUP($A48,'Data shares'!$C:$FA,26)*100</f>
        <v>-0.1</v>
      </c>
      <c r="F48" s="144">
        <f>VLOOKUP($A48,'Data shares'!$C:$FA,24)</f>
        <v>2.2999999999999998</v>
      </c>
      <c r="G48" s="144">
        <f>VLOOKUP($A48,'Data shares'!$C:$FA,25)</f>
        <v>-3.1</v>
      </c>
    </row>
    <row r="49" spans="1:7" x14ac:dyDescent="0.25">
      <c r="A49" s="101" t="str">
        <f>'Data shares'!C45</f>
        <v>CHOLAFIN</v>
      </c>
      <c r="B49" s="144">
        <f>VLOOKUP($A49,'Data shares'!$C:$FA,7)</f>
        <v>1543.4</v>
      </c>
      <c r="C49" s="144">
        <f>VLOOKUP($A49,'Data shares'!$C:$FA,3)</f>
        <v>1541.3</v>
      </c>
      <c r="D49" s="144">
        <f>VLOOKUP($A49,'Data shares'!$C:$FA,23)</f>
        <v>-2.1</v>
      </c>
      <c r="E49" s="145">
        <f>VLOOKUP($A49,'Data shares'!$C:$FA,26)*100</f>
        <v>-0.13999999999999999</v>
      </c>
      <c r="F49" s="144">
        <f>VLOOKUP($A49,'Data shares'!$C:$FA,24)</f>
        <v>0.3</v>
      </c>
      <c r="G49" s="144">
        <f>VLOOKUP($A49,'Data shares'!$C:$FA,25)</f>
        <v>-2.4</v>
      </c>
    </row>
    <row r="50" spans="1:7" x14ac:dyDescent="0.25">
      <c r="A50" s="101" t="str">
        <f>'Data shares'!C46</f>
        <v>CIPLA</v>
      </c>
      <c r="B50" s="144">
        <f>VLOOKUP($A50,'Data shares'!$C:$FA,7)</f>
        <v>1305.9000000000001</v>
      </c>
      <c r="C50" s="144">
        <f>VLOOKUP($A50,'Data shares'!$C:$FA,3)</f>
        <v>1304.7</v>
      </c>
      <c r="D50" s="144">
        <f>VLOOKUP($A50,'Data shares'!$C:$FA,23)</f>
        <v>-1.2</v>
      </c>
      <c r="E50" s="145">
        <f>VLOOKUP($A50,'Data shares'!$C:$FA,26)*100</f>
        <v>-0.09</v>
      </c>
      <c r="F50" s="144">
        <f>VLOOKUP($A50,'Data shares'!$C:$FA,24)</f>
        <v>2.1</v>
      </c>
      <c r="G50" s="144">
        <f>VLOOKUP($A50,'Data shares'!$C:$FA,25)</f>
        <v>-3.3</v>
      </c>
    </row>
    <row r="51" spans="1:7" x14ac:dyDescent="0.25">
      <c r="A51" s="101" t="str">
        <f>'Data shares'!C47</f>
        <v>COALINDIA</v>
      </c>
      <c r="B51" s="144">
        <f>VLOOKUP($A51,'Data shares'!$C:$FA,7)</f>
        <v>450.65</v>
      </c>
      <c r="C51" s="144">
        <f>VLOOKUP($A51,'Data shares'!$C:$FA,3)</f>
        <v>452.2</v>
      </c>
      <c r="D51" s="144">
        <f>VLOOKUP($A51,'Data shares'!$C:$FA,23)</f>
        <v>1.55</v>
      </c>
      <c r="E51" s="145">
        <f>VLOOKUP($A51,'Data shares'!$C:$FA,26)*100</f>
        <v>0.33999999999999997</v>
      </c>
      <c r="F51" s="144">
        <f>VLOOKUP($A51,'Data shares'!$C:$FA,24)</f>
        <v>1.1000000000000001</v>
      </c>
      <c r="G51" s="144">
        <f>VLOOKUP($A51,'Data shares'!$C:$FA,25)</f>
        <v>0.45</v>
      </c>
    </row>
    <row r="52" spans="1:7" x14ac:dyDescent="0.25">
      <c r="A52" s="101" t="str">
        <f>'Data shares'!C48</f>
        <v>COCHINSHIP</v>
      </c>
      <c r="B52" s="144">
        <f>VLOOKUP($A52,'Data shares'!$C:$FA,7)</f>
        <v>1592.8</v>
      </c>
      <c r="C52" s="144">
        <f>VLOOKUP($A52,'Data shares'!$C:$FA,3)</f>
        <v>1593.5</v>
      </c>
      <c r="D52" s="144">
        <f>VLOOKUP($A52,'Data shares'!$C:$FA,23)</f>
        <v>0.7</v>
      </c>
      <c r="E52" s="145">
        <f>VLOOKUP($A52,'Data shares'!$C:$FA,26)*100</f>
        <v>0.04</v>
      </c>
      <c r="F52" s="144">
        <f>VLOOKUP($A52,'Data shares'!$C:$FA,24)</f>
        <v>1.4</v>
      </c>
      <c r="G52" s="144">
        <f>VLOOKUP($A52,'Data shares'!$C:$FA,25)</f>
        <v>-0.7</v>
      </c>
    </row>
    <row r="53" spans="1:7" x14ac:dyDescent="0.25">
      <c r="A53" s="101" t="str">
        <f>'Data shares'!C49</f>
        <v>COFORGE</v>
      </c>
      <c r="B53" s="144">
        <f>VLOOKUP($A53,'Data shares'!$C:$FA,7)</f>
        <v>1220.5999999999999</v>
      </c>
      <c r="C53" s="144">
        <f>VLOOKUP($A53,'Data shares'!$C:$FA,3)</f>
        <v>1219.5</v>
      </c>
      <c r="D53" s="144">
        <f>VLOOKUP($A53,'Data shares'!$C:$FA,23)</f>
        <v>-1.1000000000000001</v>
      </c>
      <c r="E53" s="145">
        <f>VLOOKUP($A53,'Data shares'!$C:$FA,26)*100</f>
        <v>-0.09</v>
      </c>
      <c r="F53" s="144">
        <f>VLOOKUP($A53,'Data shares'!$C:$FA,24)</f>
        <v>5.0999999999999996</v>
      </c>
      <c r="G53" s="144">
        <f>VLOOKUP($A53,'Data shares'!$C:$FA,25)</f>
        <v>-6.2</v>
      </c>
    </row>
    <row r="54" spans="1:7" x14ac:dyDescent="0.25">
      <c r="A54" s="101" t="str">
        <f>'Data shares'!C50</f>
        <v>COLPAL</v>
      </c>
      <c r="B54" s="144">
        <f>VLOOKUP($A54,'Data shares'!$C:$FA,7)</f>
        <v>2150.1999999999998</v>
      </c>
      <c r="C54" s="144">
        <f>VLOOKUP($A54,'Data shares'!$C:$FA,3)</f>
        <v>2148.4</v>
      </c>
      <c r="D54" s="144">
        <f>VLOOKUP($A54,'Data shares'!$C:$FA,23)</f>
        <v>-1.8</v>
      </c>
      <c r="E54" s="145">
        <f>VLOOKUP($A54,'Data shares'!$C:$FA,26)*100</f>
        <v>-0.08</v>
      </c>
      <c r="F54" s="144">
        <f>VLOOKUP($A54,'Data shares'!$C:$FA,24)</f>
        <v>-12.7</v>
      </c>
      <c r="G54" s="144">
        <f>VLOOKUP($A54,'Data shares'!$C:$FA,25)</f>
        <v>10.9</v>
      </c>
    </row>
    <row r="55" spans="1:7" x14ac:dyDescent="0.25">
      <c r="A55" s="101" t="str">
        <f>'Data shares'!C51</f>
        <v>CONCOR</v>
      </c>
      <c r="B55" s="144">
        <f>VLOOKUP($A55,'Data shares'!$C:$FA,7)</f>
        <v>505.05</v>
      </c>
      <c r="C55" s="144">
        <f>VLOOKUP($A55,'Data shares'!$C:$FA,3)</f>
        <v>504.3</v>
      </c>
      <c r="D55" s="144">
        <f>VLOOKUP($A55,'Data shares'!$C:$FA,23)</f>
        <v>-0.75</v>
      </c>
      <c r="E55" s="145">
        <f>VLOOKUP($A55,'Data shares'!$C:$FA,26)*100</f>
        <v>-0.15</v>
      </c>
      <c r="F55" s="144">
        <f>VLOOKUP($A55,'Data shares'!$C:$FA,24)</f>
        <v>-0.6</v>
      </c>
      <c r="G55" s="144">
        <f>VLOOKUP($A55,'Data shares'!$C:$FA,25)</f>
        <v>-0.15</v>
      </c>
    </row>
    <row r="56" spans="1:7" x14ac:dyDescent="0.25">
      <c r="A56" s="101" t="str">
        <f>'Data shares'!C52</f>
        <v>CROMPTON</v>
      </c>
      <c r="B56" s="144">
        <f>VLOOKUP($A56,'Data shares'!$C:$FA,7)</f>
        <v>253.39</v>
      </c>
      <c r="C56" s="144">
        <f>VLOOKUP($A56,'Data shares'!$C:$FA,3)</f>
        <v>253.05</v>
      </c>
      <c r="D56" s="144">
        <f>VLOOKUP($A56,'Data shares'!$C:$FA,23)</f>
        <v>-0.34</v>
      </c>
      <c r="E56" s="145">
        <f>VLOOKUP($A56,'Data shares'!$C:$FA,26)*100</f>
        <v>-0.13</v>
      </c>
      <c r="F56" s="144">
        <f>VLOOKUP($A56,'Data shares'!$C:$FA,24)</f>
        <v>-0.52</v>
      </c>
      <c r="G56" s="144">
        <f>VLOOKUP($A56,'Data shares'!$C:$FA,25)</f>
        <v>0.18</v>
      </c>
    </row>
    <row r="57" spans="1:7" x14ac:dyDescent="0.25">
      <c r="A57" s="101" t="str">
        <f>'Data shares'!C53</f>
        <v>CUMMINSIND</v>
      </c>
      <c r="B57" s="144">
        <f>VLOOKUP($A57,'Data shares'!$C:$FA,7)</f>
        <v>5176.8999999999996</v>
      </c>
      <c r="C57" s="144">
        <f>VLOOKUP($A57,'Data shares'!$C:$FA,3)</f>
        <v>5170.2</v>
      </c>
      <c r="D57" s="144">
        <f>VLOOKUP($A57,'Data shares'!$C:$FA,23)</f>
        <v>-6.7</v>
      </c>
      <c r="E57" s="145">
        <f>VLOOKUP($A57,'Data shares'!$C:$FA,26)*100</f>
        <v>-0.13</v>
      </c>
      <c r="F57" s="144">
        <f>VLOOKUP($A57,'Data shares'!$C:$FA,24)</f>
        <v>7.8</v>
      </c>
      <c r="G57" s="144">
        <f>VLOOKUP($A57,'Data shares'!$C:$FA,25)</f>
        <v>-14.5</v>
      </c>
    </row>
    <row r="58" spans="1:7" x14ac:dyDescent="0.25">
      <c r="A58" s="101" t="str">
        <f>'Data shares'!C54</f>
        <v>DABUR</v>
      </c>
      <c r="B58" s="144">
        <f>VLOOKUP($A58,'Data shares'!$C:$FA,7)</f>
        <v>460</v>
      </c>
      <c r="C58" s="144">
        <f>VLOOKUP($A58,'Data shares'!$C:$FA,3)</f>
        <v>459.5</v>
      </c>
      <c r="D58" s="144">
        <f>VLOOKUP($A58,'Data shares'!$C:$FA,23)</f>
        <v>-0.5</v>
      </c>
      <c r="E58" s="145">
        <f>VLOOKUP($A58,'Data shares'!$C:$FA,26)*100</f>
        <v>-0.11</v>
      </c>
      <c r="F58" s="144">
        <f>VLOOKUP($A58,'Data shares'!$C:$FA,24)</f>
        <v>-0.3</v>
      </c>
      <c r="G58" s="144">
        <f>VLOOKUP($A58,'Data shares'!$C:$FA,25)</f>
        <v>-0.2</v>
      </c>
    </row>
    <row r="59" spans="1:7" x14ac:dyDescent="0.25">
      <c r="A59" s="101" t="str">
        <f>'Data shares'!C55</f>
        <v>DALBHARAT</v>
      </c>
      <c r="B59" s="144">
        <f>VLOOKUP($A59,'Data shares'!$C:$FA,7)</f>
        <v>1958.8</v>
      </c>
      <c r="C59" s="144">
        <f>VLOOKUP($A59,'Data shares'!$C:$FA,3)</f>
        <v>1955.6</v>
      </c>
      <c r="D59" s="144">
        <f>VLOOKUP($A59,'Data shares'!$C:$FA,23)</f>
        <v>-3.2</v>
      </c>
      <c r="E59" s="145">
        <f>VLOOKUP($A59,'Data shares'!$C:$FA,26)*100</f>
        <v>-0.16</v>
      </c>
      <c r="F59" s="144">
        <f>VLOOKUP($A59,'Data shares'!$C:$FA,24)</f>
        <v>-2.2000000000000002</v>
      </c>
      <c r="G59" s="144">
        <f>VLOOKUP($A59,'Data shares'!$C:$FA,25)</f>
        <v>-1</v>
      </c>
    </row>
    <row r="60" spans="1:7" x14ac:dyDescent="0.25">
      <c r="A60" s="101" t="str">
        <f>'Data shares'!C56</f>
        <v>DELHIVERY</v>
      </c>
      <c r="B60" s="144">
        <f>VLOOKUP($A60,'Data shares'!$C:$FA,7)</f>
        <v>449.4</v>
      </c>
      <c r="C60" s="144">
        <f>VLOOKUP($A60,'Data shares'!$C:$FA,3)</f>
        <v>450.35</v>
      </c>
      <c r="D60" s="144">
        <f>VLOOKUP($A60,'Data shares'!$C:$FA,23)</f>
        <v>0.95</v>
      </c>
      <c r="E60" s="145">
        <f>VLOOKUP($A60,'Data shares'!$C:$FA,26)*100</f>
        <v>0.21</v>
      </c>
      <c r="F60" s="144">
        <f>VLOOKUP($A60,'Data shares'!$C:$FA,24)</f>
        <v>-0.15</v>
      </c>
      <c r="G60" s="144">
        <f>VLOOKUP($A60,'Data shares'!$C:$FA,25)</f>
        <v>1.1000000000000001</v>
      </c>
    </row>
    <row r="61" spans="1:7" x14ac:dyDescent="0.25">
      <c r="A61" s="101" t="str">
        <f>'Data shares'!C57</f>
        <v>DIVISLAB</v>
      </c>
      <c r="B61" s="144">
        <f>VLOOKUP($A61,'Data shares'!$C:$FA,7)</f>
        <v>6378.5</v>
      </c>
      <c r="C61" s="144">
        <f>VLOOKUP($A61,'Data shares'!$C:$FA,3)</f>
        <v>6369.5</v>
      </c>
      <c r="D61" s="144">
        <f>VLOOKUP($A61,'Data shares'!$C:$FA,23)</f>
        <v>-9</v>
      </c>
      <c r="E61" s="145">
        <f>VLOOKUP($A61,'Data shares'!$C:$FA,26)*100</f>
        <v>-0.13999999999999999</v>
      </c>
      <c r="F61" s="144">
        <f>VLOOKUP($A61,'Data shares'!$C:$FA,24)</f>
        <v>1</v>
      </c>
      <c r="G61" s="144">
        <f>VLOOKUP($A61,'Data shares'!$C:$FA,25)</f>
        <v>-10</v>
      </c>
    </row>
    <row r="62" spans="1:7" x14ac:dyDescent="0.25">
      <c r="A62" s="101" t="str">
        <f>'Data shares'!C58</f>
        <v>DIXON</v>
      </c>
      <c r="B62" s="144">
        <f>VLOOKUP($A62,'Data shares'!$C:$FA,7)</f>
        <v>10866.5</v>
      </c>
      <c r="C62" s="144">
        <f>VLOOKUP($A62,'Data shares'!$C:$FA,3)</f>
        <v>10827.5</v>
      </c>
      <c r="D62" s="144">
        <f>VLOOKUP($A62,'Data shares'!$C:$FA,23)</f>
        <v>-39</v>
      </c>
      <c r="E62" s="145">
        <f>VLOOKUP($A62,'Data shares'!$C:$FA,26)*100</f>
        <v>-0.36</v>
      </c>
      <c r="F62" s="144">
        <f>VLOOKUP($A62,'Data shares'!$C:$FA,24)</f>
        <v>12</v>
      </c>
      <c r="G62" s="144">
        <f>VLOOKUP($A62,'Data shares'!$C:$FA,25)</f>
        <v>-51</v>
      </c>
    </row>
    <row r="63" spans="1:7" x14ac:dyDescent="0.25">
      <c r="A63" s="101" t="str">
        <f>'Data shares'!C59</f>
        <v>DLF</v>
      </c>
      <c r="B63" s="144">
        <f>VLOOKUP($A63,'Data shares'!$C:$FA,7)</f>
        <v>592.79999999999995</v>
      </c>
      <c r="C63" s="144">
        <f>VLOOKUP($A63,'Data shares'!$C:$FA,3)</f>
        <v>591.9</v>
      </c>
      <c r="D63" s="144">
        <f>VLOOKUP($A63,'Data shares'!$C:$FA,23)</f>
        <v>-0.9</v>
      </c>
      <c r="E63" s="145">
        <f>VLOOKUP($A63,'Data shares'!$C:$FA,26)*100</f>
        <v>-0.15</v>
      </c>
      <c r="F63" s="144">
        <f>VLOOKUP($A63,'Data shares'!$C:$FA,24)</f>
        <v>-0.55000000000000004</v>
      </c>
      <c r="G63" s="144">
        <f>VLOOKUP($A63,'Data shares'!$C:$FA,25)</f>
        <v>-0.35</v>
      </c>
    </row>
    <row r="64" spans="1:7" x14ac:dyDescent="0.25">
      <c r="A64" s="101" t="str">
        <f>'Data shares'!C60</f>
        <v>DMART</v>
      </c>
      <c r="B64" s="144">
        <f>VLOOKUP($A64,'Data shares'!$C:$FA,7)</f>
        <v>4521.2</v>
      </c>
      <c r="C64" s="144">
        <f>VLOOKUP($A64,'Data shares'!$C:$FA,3)</f>
        <v>4529.3</v>
      </c>
      <c r="D64" s="144">
        <f>VLOOKUP($A64,'Data shares'!$C:$FA,23)</f>
        <v>8.1</v>
      </c>
      <c r="E64" s="145">
        <f>VLOOKUP($A64,'Data shares'!$C:$FA,26)*100</f>
        <v>0.18</v>
      </c>
      <c r="F64" s="144">
        <f>VLOOKUP($A64,'Data shares'!$C:$FA,24)</f>
        <v>-2.2000000000000002</v>
      </c>
      <c r="G64" s="144">
        <f>VLOOKUP($A64,'Data shares'!$C:$FA,25)</f>
        <v>10.3</v>
      </c>
    </row>
    <row r="65" spans="1:7" x14ac:dyDescent="0.25">
      <c r="A65" s="101" t="str">
        <f>'Data shares'!C61</f>
        <v>DRREDDY</v>
      </c>
      <c r="B65" s="144">
        <f>VLOOKUP($A65,'Data shares'!$C:$FA,7)</f>
        <v>1331</v>
      </c>
      <c r="C65" s="144">
        <f>VLOOKUP($A65,'Data shares'!$C:$FA,3)</f>
        <v>1323.8</v>
      </c>
      <c r="D65" s="144">
        <f>VLOOKUP($A65,'Data shares'!$C:$FA,23)</f>
        <v>-7.2</v>
      </c>
      <c r="E65" s="145">
        <f>VLOOKUP($A65,'Data shares'!$C:$FA,26)*100</f>
        <v>-0.54</v>
      </c>
      <c r="F65" s="144">
        <f>VLOOKUP($A65,'Data shares'!$C:$FA,24)</f>
        <v>-6.1</v>
      </c>
      <c r="G65" s="144">
        <f>VLOOKUP($A65,'Data shares'!$C:$FA,25)</f>
        <v>-1.1000000000000001</v>
      </c>
    </row>
    <row r="66" spans="1:7" x14ac:dyDescent="0.25">
      <c r="A66" s="101" t="str">
        <f>'Data shares'!C62</f>
        <v>EICHERMOT</v>
      </c>
      <c r="B66" s="144">
        <f>VLOOKUP($A66,'Data shares'!$C:$FA,7)</f>
        <v>7092.5</v>
      </c>
      <c r="C66" s="144">
        <f>VLOOKUP($A66,'Data shares'!$C:$FA,3)</f>
        <v>7086</v>
      </c>
      <c r="D66" s="144">
        <f>VLOOKUP($A66,'Data shares'!$C:$FA,23)</f>
        <v>-6.5</v>
      </c>
      <c r="E66" s="145">
        <f>VLOOKUP($A66,'Data shares'!$C:$FA,26)*100</f>
        <v>-0.09</v>
      </c>
      <c r="F66" s="144">
        <f>VLOOKUP($A66,'Data shares'!$C:$FA,24)</f>
        <v>-9.5</v>
      </c>
      <c r="G66" s="144">
        <f>VLOOKUP($A66,'Data shares'!$C:$FA,25)</f>
        <v>3</v>
      </c>
    </row>
    <row r="67" spans="1:7" x14ac:dyDescent="0.25">
      <c r="A67" s="101" t="str">
        <f>'Data shares'!C63</f>
        <v>ETERNAL</v>
      </c>
      <c r="B67" s="144">
        <f>VLOOKUP($A67,'Data shares'!$C:$FA,7)</f>
        <v>259.92</v>
      </c>
      <c r="C67" s="144">
        <f>VLOOKUP($A67,'Data shares'!$C:$FA,3)</f>
        <v>259.55</v>
      </c>
      <c r="D67" s="144">
        <f>VLOOKUP($A67,'Data shares'!$C:$FA,23)</f>
        <v>-0.37</v>
      </c>
      <c r="E67" s="145">
        <f>VLOOKUP($A67,'Data shares'!$C:$FA,26)*100</f>
        <v>-0.13999999999999999</v>
      </c>
      <c r="F67" s="144">
        <f>VLOOKUP($A67,'Data shares'!$C:$FA,24)</f>
        <v>-0.37</v>
      </c>
      <c r="G67" s="144">
        <f>VLOOKUP($A67,'Data shares'!$C:$FA,25)</f>
        <v>0</v>
      </c>
    </row>
    <row r="68" spans="1:7" x14ac:dyDescent="0.25">
      <c r="A68" s="101" t="str">
        <f>'Data shares'!C64</f>
        <v>EXIDEIND</v>
      </c>
      <c r="B68" s="144">
        <f>VLOOKUP($A68,'Data shares'!$C:$FA,7)</f>
        <v>347.25</v>
      </c>
      <c r="C68" s="144">
        <f>VLOOKUP($A68,'Data shares'!$C:$FA,3)</f>
        <v>346.85</v>
      </c>
      <c r="D68" s="144">
        <f>VLOOKUP($A68,'Data shares'!$C:$FA,23)</f>
        <v>-0.4</v>
      </c>
      <c r="E68" s="145">
        <f>VLOOKUP($A68,'Data shares'!$C:$FA,26)*100</f>
        <v>-0.12</v>
      </c>
      <c r="F68" s="144">
        <f>VLOOKUP($A68,'Data shares'!$C:$FA,24)</f>
        <v>-0.15</v>
      </c>
      <c r="G68" s="144">
        <f>VLOOKUP($A68,'Data shares'!$C:$FA,25)</f>
        <v>-0.25</v>
      </c>
    </row>
    <row r="69" spans="1:7" x14ac:dyDescent="0.25">
      <c r="A69" s="101" t="str">
        <f>'Data shares'!C65</f>
        <v>FEDERALBNK</v>
      </c>
      <c r="B69" s="144">
        <f>VLOOKUP($A69,'Data shares'!$C:$FA,7)</f>
        <v>295.39999999999998</v>
      </c>
      <c r="C69" s="144">
        <f>VLOOKUP($A69,'Data shares'!$C:$FA,3)</f>
        <v>295.60000000000002</v>
      </c>
      <c r="D69" s="144">
        <f>VLOOKUP($A69,'Data shares'!$C:$FA,23)</f>
        <v>0.2</v>
      </c>
      <c r="E69" s="145">
        <f>VLOOKUP($A69,'Data shares'!$C:$FA,26)*100</f>
        <v>6.9999999999999993E-2</v>
      </c>
      <c r="F69" s="144">
        <f>VLOOKUP($A69,'Data shares'!$C:$FA,24)</f>
        <v>0.5</v>
      </c>
      <c r="G69" s="144">
        <f>VLOOKUP($A69,'Data shares'!$C:$FA,25)</f>
        <v>-0.3</v>
      </c>
    </row>
    <row r="70" spans="1:7" x14ac:dyDescent="0.25">
      <c r="A70" s="101" t="str">
        <f>'Data shares'!C66</f>
        <v>FINNIFTY</v>
      </c>
      <c r="B70" s="144">
        <f>VLOOKUP($A70,'Data shares'!$C:$FA,7)</f>
        <v>26247.200000000001</v>
      </c>
      <c r="C70" s="144">
        <f>VLOOKUP($A70,'Data shares'!$C:$FA,3)</f>
        <v>26273.9</v>
      </c>
      <c r="D70" s="144">
        <f>VLOOKUP($A70,'Data shares'!$C:$FA,23)</f>
        <v>26.7</v>
      </c>
      <c r="E70" s="145">
        <f>VLOOKUP($A70,'Data shares'!$C:$FA,26)*100</f>
        <v>0.1</v>
      </c>
      <c r="F70" s="144">
        <f>VLOOKUP($A70,'Data shares'!$C:$FA,24)</f>
        <v>19.649999999999999</v>
      </c>
      <c r="G70" s="144">
        <f>VLOOKUP($A70,'Data shares'!$C:$FA,25)</f>
        <v>7.05</v>
      </c>
    </row>
    <row r="71" spans="1:7" x14ac:dyDescent="0.25">
      <c r="A71" s="101" t="str">
        <f>'Data shares'!C67</f>
        <v>FORCEMOT</v>
      </c>
      <c r="B71" s="144">
        <f>VLOOKUP($A71,'Data shares'!$C:$FA,7)</f>
        <v>20750</v>
      </c>
      <c r="C71" s="144">
        <f>VLOOKUP($A71,'Data shares'!$C:$FA,3)</f>
        <v>20663</v>
      </c>
      <c r="D71" s="144">
        <f>VLOOKUP($A71,'Data shares'!$C:$FA,23)</f>
        <v>-87</v>
      </c>
      <c r="E71" s="145">
        <f>VLOOKUP($A71,'Data shares'!$C:$FA,26)*100</f>
        <v>-0.42</v>
      </c>
      <c r="F71" s="144">
        <f>VLOOKUP($A71,'Data shares'!$C:$FA,24)</f>
        <v>-50</v>
      </c>
      <c r="G71" s="144">
        <f>VLOOKUP($A71,'Data shares'!$C:$FA,25)</f>
        <v>-37</v>
      </c>
    </row>
    <row r="72" spans="1:7" x14ac:dyDescent="0.25">
      <c r="A72" s="101" t="str">
        <f>'Data shares'!C68</f>
        <v>FORTIS</v>
      </c>
      <c r="B72" s="144">
        <f>VLOOKUP($A72,'Data shares'!$C:$FA,7)</f>
        <v>926.75</v>
      </c>
      <c r="C72" s="144">
        <f>VLOOKUP($A72,'Data shares'!$C:$FA,3)</f>
        <v>925.45</v>
      </c>
      <c r="D72" s="144">
        <f>VLOOKUP($A72,'Data shares'!$C:$FA,23)</f>
        <v>-1.3</v>
      </c>
      <c r="E72" s="145">
        <f>VLOOKUP($A72,'Data shares'!$C:$FA,26)*100</f>
        <v>-0.13999999999999999</v>
      </c>
      <c r="F72" s="144">
        <f>VLOOKUP($A72,'Data shares'!$C:$FA,24)</f>
        <v>0.6</v>
      </c>
      <c r="G72" s="144">
        <f>VLOOKUP($A72,'Data shares'!$C:$FA,25)</f>
        <v>-1.9</v>
      </c>
    </row>
    <row r="73" spans="1:7" x14ac:dyDescent="0.25">
      <c r="A73" s="101" t="str">
        <f>'Data shares'!C69</f>
        <v>GAIL</v>
      </c>
      <c r="B73" s="144">
        <f>VLOOKUP($A73,'Data shares'!$C:$FA,7)</f>
        <v>164.96</v>
      </c>
      <c r="C73" s="144">
        <f>VLOOKUP($A73,'Data shares'!$C:$FA,3)</f>
        <v>164.63</v>
      </c>
      <c r="D73" s="144">
        <f>VLOOKUP($A73,'Data shares'!$C:$FA,23)</f>
        <v>-0.33</v>
      </c>
      <c r="E73" s="145">
        <f>VLOOKUP($A73,'Data shares'!$C:$FA,26)*100</f>
        <v>-0.2</v>
      </c>
      <c r="F73" s="144">
        <f>VLOOKUP($A73,'Data shares'!$C:$FA,24)</f>
        <v>-0.18</v>
      </c>
      <c r="G73" s="144">
        <f>VLOOKUP($A73,'Data shares'!$C:$FA,25)</f>
        <v>-0.15</v>
      </c>
    </row>
    <row r="74" spans="1:7" x14ac:dyDescent="0.25">
      <c r="A74" s="101" t="str">
        <f>'Data shares'!C70</f>
        <v>GLENMARK</v>
      </c>
      <c r="B74" s="144">
        <f>VLOOKUP($A74,'Data shares'!$C:$FA,7)</f>
        <v>2335</v>
      </c>
      <c r="C74" s="144">
        <f>VLOOKUP($A74,'Data shares'!$C:$FA,3)</f>
        <v>2336.6</v>
      </c>
      <c r="D74" s="144">
        <f>VLOOKUP($A74,'Data shares'!$C:$FA,23)</f>
        <v>1.6</v>
      </c>
      <c r="E74" s="145">
        <f>VLOOKUP($A74,'Data shares'!$C:$FA,26)*100</f>
        <v>6.9999999999999993E-2</v>
      </c>
      <c r="F74" s="144">
        <f>VLOOKUP($A74,'Data shares'!$C:$FA,24)</f>
        <v>-1</v>
      </c>
      <c r="G74" s="144">
        <f>VLOOKUP($A74,'Data shares'!$C:$FA,25)</f>
        <v>2.6</v>
      </c>
    </row>
    <row r="75" spans="1:7" x14ac:dyDescent="0.25">
      <c r="A75" s="101" t="str">
        <f>'Data shares'!C71</f>
        <v>GMRAIRPORT</v>
      </c>
      <c r="B75" s="144">
        <f>VLOOKUP($A75,'Data shares'!$C:$FA,7)</f>
        <v>96.44</v>
      </c>
      <c r="C75" s="144">
        <f>VLOOKUP($A75,'Data shares'!$C:$FA,3)</f>
        <v>96.51</v>
      </c>
      <c r="D75" s="144">
        <f>VLOOKUP($A75,'Data shares'!$C:$FA,23)</f>
        <v>7.0000000000000007E-2</v>
      </c>
      <c r="E75" s="145">
        <f>VLOOKUP($A75,'Data shares'!$C:$FA,26)*100</f>
        <v>6.9999999999999993E-2</v>
      </c>
      <c r="F75" s="144">
        <f>VLOOKUP($A75,'Data shares'!$C:$FA,24)</f>
        <v>0.11</v>
      </c>
      <c r="G75" s="144">
        <f>VLOOKUP($A75,'Data shares'!$C:$FA,25)</f>
        <v>-0.04</v>
      </c>
    </row>
    <row r="76" spans="1:7" x14ac:dyDescent="0.25">
      <c r="A76" s="101" t="str">
        <f>'Data shares'!C72</f>
        <v>GODFRYPHLP</v>
      </c>
      <c r="B76" s="144">
        <f>VLOOKUP($A76,'Data shares'!$C:$FA,7)</f>
        <v>2153.3000000000002</v>
      </c>
      <c r="C76" s="144">
        <f>VLOOKUP($A76,'Data shares'!$C:$FA,3)</f>
        <v>2160.5</v>
      </c>
      <c r="D76" s="144">
        <f>VLOOKUP($A76,'Data shares'!$C:$FA,23)</f>
        <v>7.2</v>
      </c>
      <c r="E76" s="145">
        <f>VLOOKUP($A76,'Data shares'!$C:$FA,26)*100</f>
        <v>0.33</v>
      </c>
      <c r="F76" s="144">
        <f>VLOOKUP($A76,'Data shares'!$C:$FA,24)</f>
        <v>6.6</v>
      </c>
      <c r="G76" s="144">
        <f>VLOOKUP($A76,'Data shares'!$C:$FA,25)</f>
        <v>0.6</v>
      </c>
    </row>
    <row r="77" spans="1:7" x14ac:dyDescent="0.25">
      <c r="A77" s="101" t="str">
        <f>'Data shares'!C73</f>
        <v>GODREJCP</v>
      </c>
      <c r="B77" s="144">
        <f>VLOOKUP($A77,'Data shares'!$C:$FA,7)</f>
        <v>1142.95</v>
      </c>
      <c r="C77" s="144">
        <f>VLOOKUP($A77,'Data shares'!$C:$FA,3)</f>
        <v>1140.8</v>
      </c>
      <c r="D77" s="144">
        <f>VLOOKUP($A77,'Data shares'!$C:$FA,23)</f>
        <v>-2.15</v>
      </c>
      <c r="E77" s="145">
        <f>VLOOKUP($A77,'Data shares'!$C:$FA,26)*100</f>
        <v>-0.19</v>
      </c>
      <c r="F77" s="144">
        <f>VLOOKUP($A77,'Data shares'!$C:$FA,24)</f>
        <v>-1.65</v>
      </c>
      <c r="G77" s="144">
        <f>VLOOKUP($A77,'Data shares'!$C:$FA,25)</f>
        <v>-0.5</v>
      </c>
    </row>
    <row r="78" spans="1:7" x14ac:dyDescent="0.25">
      <c r="A78" s="101" t="str">
        <f>'Data shares'!C74</f>
        <v>GODREJPROP</v>
      </c>
      <c r="B78" s="144">
        <f>VLOOKUP($A78,'Data shares'!$C:$FA,7)</f>
        <v>1791</v>
      </c>
      <c r="C78" s="144">
        <f>VLOOKUP($A78,'Data shares'!$C:$FA,3)</f>
        <v>1789.3</v>
      </c>
      <c r="D78" s="144">
        <f>VLOOKUP($A78,'Data shares'!$C:$FA,23)</f>
        <v>-1.7</v>
      </c>
      <c r="E78" s="145">
        <f>VLOOKUP($A78,'Data shares'!$C:$FA,26)*100</f>
        <v>-0.09</v>
      </c>
      <c r="F78" s="144">
        <f>VLOOKUP($A78,'Data shares'!$C:$FA,24)</f>
        <v>-3.8</v>
      </c>
      <c r="G78" s="144">
        <f>VLOOKUP($A78,'Data shares'!$C:$FA,25)</f>
        <v>2.1</v>
      </c>
    </row>
    <row r="79" spans="1:7" x14ac:dyDescent="0.25">
      <c r="A79" s="101" t="str">
        <f>'Data shares'!C75</f>
        <v>GRASIM</v>
      </c>
      <c r="B79" s="144">
        <f>VLOOKUP($A79,'Data shares'!$C:$FA,7)</f>
        <v>2735</v>
      </c>
      <c r="C79" s="144">
        <f>VLOOKUP($A79,'Data shares'!$C:$FA,3)</f>
        <v>2738.9</v>
      </c>
      <c r="D79" s="144">
        <f>VLOOKUP($A79,'Data shares'!$C:$FA,23)</f>
        <v>3.9</v>
      </c>
      <c r="E79" s="145">
        <f>VLOOKUP($A79,'Data shares'!$C:$FA,26)*100</f>
        <v>0.13999999999999999</v>
      </c>
      <c r="F79" s="144">
        <f>VLOOKUP($A79,'Data shares'!$C:$FA,24)</f>
        <v>7.5</v>
      </c>
      <c r="G79" s="144">
        <f>VLOOKUP($A79,'Data shares'!$C:$FA,25)</f>
        <v>-3.6</v>
      </c>
    </row>
    <row r="80" spans="1:7" x14ac:dyDescent="0.25">
      <c r="A80" s="101" t="str">
        <f>'Data shares'!C76</f>
        <v>HAL</v>
      </c>
      <c r="B80" s="144">
        <f>VLOOKUP($A80,'Data shares'!$C:$FA,7)</f>
        <v>4352.5</v>
      </c>
      <c r="C80" s="144">
        <f>VLOOKUP($A80,'Data shares'!$C:$FA,3)</f>
        <v>4357.7</v>
      </c>
      <c r="D80" s="144">
        <f>VLOOKUP($A80,'Data shares'!$C:$FA,23)</f>
        <v>5.2</v>
      </c>
      <c r="E80" s="145">
        <f>VLOOKUP($A80,'Data shares'!$C:$FA,26)*100</f>
        <v>0.12</v>
      </c>
      <c r="F80" s="144">
        <f>VLOOKUP($A80,'Data shares'!$C:$FA,24)</f>
        <v>-0.8</v>
      </c>
      <c r="G80" s="144">
        <f>VLOOKUP($A80,'Data shares'!$C:$FA,25)</f>
        <v>6</v>
      </c>
    </row>
    <row r="81" spans="1:7" x14ac:dyDescent="0.25">
      <c r="A81" s="101" t="str">
        <f>'Data shares'!C77</f>
        <v>HAVELLS</v>
      </c>
      <c r="B81" s="144">
        <f>VLOOKUP($A81,'Data shares'!$C:$FA,7)</f>
        <v>1260.3</v>
      </c>
      <c r="C81" s="144">
        <f>VLOOKUP($A81,'Data shares'!$C:$FA,3)</f>
        <v>1243</v>
      </c>
      <c r="D81" s="144">
        <f>VLOOKUP($A81,'Data shares'!$C:$FA,23)</f>
        <v>-17.3</v>
      </c>
      <c r="E81" s="145">
        <f>VLOOKUP($A81,'Data shares'!$C:$FA,26)*100</f>
        <v>-1.37</v>
      </c>
      <c r="F81" s="144">
        <f>VLOOKUP($A81,'Data shares'!$C:$FA,24)</f>
        <v>-5</v>
      </c>
      <c r="G81" s="144">
        <f>VLOOKUP($A81,'Data shares'!$C:$FA,25)</f>
        <v>-12.3</v>
      </c>
    </row>
    <row r="82" spans="1:7" x14ac:dyDescent="0.25">
      <c r="A82" s="101" t="str">
        <f>'Data shares'!C78</f>
        <v>HCLTECH</v>
      </c>
      <c r="B82" s="144">
        <f>VLOOKUP($A82,'Data shares'!$C:$FA,7)</f>
        <v>1277.5999999999999</v>
      </c>
      <c r="C82" s="144">
        <f>VLOOKUP($A82,'Data shares'!$C:$FA,3)</f>
        <v>1247.9000000000001</v>
      </c>
      <c r="D82" s="144">
        <f>VLOOKUP($A82,'Data shares'!$C:$FA,23)</f>
        <v>-29.7</v>
      </c>
      <c r="E82" s="145">
        <f>VLOOKUP($A82,'Data shares'!$C:$FA,26)*100</f>
        <v>-2.3199999999999998</v>
      </c>
      <c r="F82" s="144">
        <f>VLOOKUP($A82,'Data shares'!$C:$FA,24)</f>
        <v>-20.8</v>
      </c>
      <c r="G82" s="144">
        <f>VLOOKUP($A82,'Data shares'!$C:$FA,25)</f>
        <v>-8.9</v>
      </c>
    </row>
    <row r="83" spans="1:7" x14ac:dyDescent="0.25">
      <c r="A83" s="101" t="str">
        <f>'Data shares'!C79</f>
        <v>HDFCAMC</v>
      </c>
      <c r="B83" s="144">
        <f>VLOOKUP($A83,'Data shares'!$C:$FA,7)</f>
        <v>2708.2</v>
      </c>
      <c r="C83" s="144">
        <f>VLOOKUP($A83,'Data shares'!$C:$FA,3)</f>
        <v>2713.8</v>
      </c>
      <c r="D83" s="144">
        <f>VLOOKUP($A83,'Data shares'!$C:$FA,23)</f>
        <v>5.6</v>
      </c>
      <c r="E83" s="145">
        <f>VLOOKUP($A83,'Data shares'!$C:$FA,26)*100</f>
        <v>0.21</v>
      </c>
      <c r="F83" s="144">
        <f>VLOOKUP($A83,'Data shares'!$C:$FA,24)</f>
        <v>4.0999999999999996</v>
      </c>
      <c r="G83" s="144">
        <f>VLOOKUP($A83,'Data shares'!$C:$FA,25)</f>
        <v>1.5</v>
      </c>
    </row>
    <row r="84" spans="1:7" x14ac:dyDescent="0.25">
      <c r="A84" s="101" t="str">
        <f>'Data shares'!C80</f>
        <v>HDFCBANK</v>
      </c>
      <c r="B84" s="144">
        <f>VLOOKUP($A84,'Data shares'!$C:$FA,7)</f>
        <v>784.35</v>
      </c>
      <c r="C84" s="144">
        <f>VLOOKUP($A84,'Data shares'!$C:$FA,3)</f>
        <v>784.45</v>
      </c>
      <c r="D84" s="144">
        <f>VLOOKUP($A84,'Data shares'!$C:$FA,23)</f>
        <v>0.1</v>
      </c>
      <c r="E84" s="145">
        <f>VLOOKUP($A84,'Data shares'!$C:$FA,26)*100</f>
        <v>0.01</v>
      </c>
      <c r="F84" s="144">
        <f>VLOOKUP($A84,'Data shares'!$C:$FA,24)</f>
        <v>0.1</v>
      </c>
      <c r="G84" s="144">
        <f>VLOOKUP($A84,'Data shares'!$C:$FA,25)</f>
        <v>0</v>
      </c>
    </row>
    <row r="85" spans="1:7" x14ac:dyDescent="0.25">
      <c r="A85" s="101" t="str">
        <f>'Data shares'!C81</f>
        <v>HDFCLIFE</v>
      </c>
      <c r="B85" s="144">
        <f>VLOOKUP($A85,'Data shares'!$C:$FA,7)</f>
        <v>598.65</v>
      </c>
      <c r="C85" s="144">
        <f>VLOOKUP($A85,'Data shares'!$C:$FA,3)</f>
        <v>598.95000000000005</v>
      </c>
      <c r="D85" s="144">
        <f>VLOOKUP($A85,'Data shares'!$C:$FA,23)</f>
        <v>0.3</v>
      </c>
      <c r="E85" s="145">
        <f>VLOOKUP($A85,'Data shares'!$C:$FA,26)*100</f>
        <v>0.05</v>
      </c>
      <c r="F85" s="144">
        <f>VLOOKUP($A85,'Data shares'!$C:$FA,24)</f>
        <v>0.65</v>
      </c>
      <c r="G85" s="144">
        <f>VLOOKUP($A85,'Data shares'!$C:$FA,25)</f>
        <v>-0.35</v>
      </c>
    </row>
    <row r="86" spans="1:7" x14ac:dyDescent="0.25">
      <c r="A86" s="101" t="str">
        <f>'Data shares'!C82</f>
        <v>HEROMOTOCO</v>
      </c>
      <c r="B86" s="144">
        <f>VLOOKUP($A86,'Data shares'!$C:$FA,7)</f>
        <v>5032</v>
      </c>
      <c r="C86" s="144">
        <f>VLOOKUP($A86,'Data shares'!$C:$FA,3)</f>
        <v>5034.5</v>
      </c>
      <c r="D86" s="144">
        <f>VLOOKUP($A86,'Data shares'!$C:$FA,23)</f>
        <v>2.5</v>
      </c>
      <c r="E86" s="145">
        <f>VLOOKUP($A86,'Data shares'!$C:$FA,26)*100</f>
        <v>0.05</v>
      </c>
      <c r="F86" s="144">
        <f>VLOOKUP($A86,'Data shares'!$C:$FA,24)</f>
        <v>4</v>
      </c>
      <c r="G86" s="144">
        <f>VLOOKUP($A86,'Data shares'!$C:$FA,25)</f>
        <v>-1.5</v>
      </c>
    </row>
    <row r="87" spans="1:7" x14ac:dyDescent="0.25">
      <c r="A87" s="101" t="str">
        <f>'Data shares'!C83</f>
        <v>HINDALCO</v>
      </c>
      <c r="B87" s="144">
        <f>VLOOKUP($A87,'Data shares'!$C:$FA,7)</f>
        <v>1041.3499999999999</v>
      </c>
      <c r="C87" s="144">
        <f>VLOOKUP($A87,'Data shares'!$C:$FA,3)</f>
        <v>1039.05</v>
      </c>
      <c r="D87" s="144">
        <f>VLOOKUP($A87,'Data shares'!$C:$FA,23)</f>
        <v>-2.2999999999999998</v>
      </c>
      <c r="E87" s="145">
        <f>VLOOKUP($A87,'Data shares'!$C:$FA,26)*100</f>
        <v>-0.22</v>
      </c>
      <c r="F87" s="144">
        <f>VLOOKUP($A87,'Data shares'!$C:$FA,24)</f>
        <v>-0.65</v>
      </c>
      <c r="G87" s="144">
        <f>VLOOKUP($A87,'Data shares'!$C:$FA,25)</f>
        <v>-1.65</v>
      </c>
    </row>
    <row r="88" spans="1:7" x14ac:dyDescent="0.25">
      <c r="A88" s="101" t="str">
        <f>'Data shares'!C84</f>
        <v>HINDPETRO</v>
      </c>
      <c r="B88" s="144">
        <f>VLOOKUP($A88,'Data shares'!$C:$FA,7)</f>
        <v>376.9</v>
      </c>
      <c r="C88" s="144">
        <f>VLOOKUP($A88,'Data shares'!$C:$FA,3)</f>
        <v>376.65</v>
      </c>
      <c r="D88" s="144">
        <f>VLOOKUP($A88,'Data shares'!$C:$FA,23)</f>
        <v>-0.25</v>
      </c>
      <c r="E88" s="145">
        <f>VLOOKUP($A88,'Data shares'!$C:$FA,26)*100</f>
        <v>-6.9999999999999993E-2</v>
      </c>
      <c r="F88" s="144">
        <f>VLOOKUP($A88,'Data shares'!$C:$FA,24)</f>
        <v>0.65</v>
      </c>
      <c r="G88" s="144">
        <f>VLOOKUP($A88,'Data shares'!$C:$FA,25)</f>
        <v>-0.9</v>
      </c>
    </row>
    <row r="89" spans="1:7" x14ac:dyDescent="0.25">
      <c r="A89" s="101" t="str">
        <f>'Data shares'!C85</f>
        <v>HINDUNILVR</v>
      </c>
      <c r="B89" s="144">
        <f>VLOOKUP($A89,'Data shares'!$C:$FA,7)</f>
        <v>2366.4</v>
      </c>
      <c r="C89" s="144">
        <f>VLOOKUP($A89,'Data shares'!$C:$FA,3)</f>
        <v>2364.4</v>
      </c>
      <c r="D89" s="144">
        <f>VLOOKUP($A89,'Data shares'!$C:$FA,23)</f>
        <v>-2</v>
      </c>
      <c r="E89" s="145">
        <f>VLOOKUP($A89,'Data shares'!$C:$FA,26)*100</f>
        <v>-0.08</v>
      </c>
      <c r="F89" s="144">
        <f>VLOOKUP($A89,'Data shares'!$C:$FA,24)</f>
        <v>-2</v>
      </c>
      <c r="G89" s="144">
        <f>VLOOKUP($A89,'Data shares'!$C:$FA,25)</f>
        <v>0</v>
      </c>
    </row>
    <row r="90" spans="1:7" x14ac:dyDescent="0.25">
      <c r="A90" s="101" t="str">
        <f>'Data shares'!C86</f>
        <v>HINDZINC</v>
      </c>
      <c r="B90" s="144">
        <f>VLOOKUP($A90,'Data shares'!$C:$FA,7)</f>
        <v>592.1</v>
      </c>
      <c r="C90" s="144">
        <f>VLOOKUP($A90,'Data shares'!$C:$FA,3)</f>
        <v>594.04999999999995</v>
      </c>
      <c r="D90" s="144">
        <f>VLOOKUP($A90,'Data shares'!$C:$FA,23)</f>
        <v>1.95</v>
      </c>
      <c r="E90" s="145">
        <f>VLOOKUP($A90,'Data shares'!$C:$FA,26)*100</f>
        <v>0.33</v>
      </c>
      <c r="F90" s="144">
        <f>VLOOKUP($A90,'Data shares'!$C:$FA,24)</f>
        <v>1.45</v>
      </c>
      <c r="G90" s="144">
        <f>VLOOKUP($A90,'Data shares'!$C:$FA,25)</f>
        <v>0.5</v>
      </c>
    </row>
    <row r="91" spans="1:7" x14ac:dyDescent="0.25">
      <c r="A91" s="101" t="str">
        <f>'Data shares'!C87</f>
        <v>HUDCO</v>
      </c>
      <c r="B91" s="144">
        <f>VLOOKUP($A91,'Data shares'!$C:$FA,7)</f>
        <v>204.46</v>
      </c>
      <c r="C91" s="144">
        <f>VLOOKUP($A91,'Data shares'!$C:$FA,3)</f>
        <v>205</v>
      </c>
      <c r="D91" s="144">
        <f>VLOOKUP($A91,'Data shares'!$C:$FA,23)</f>
        <v>0.54</v>
      </c>
      <c r="E91" s="145">
        <f>VLOOKUP($A91,'Data shares'!$C:$FA,26)*100</f>
        <v>0.26</v>
      </c>
      <c r="F91" s="144">
        <f>VLOOKUP($A91,'Data shares'!$C:$FA,24)</f>
        <v>0.24</v>
      </c>
      <c r="G91" s="144">
        <f>VLOOKUP($A91,'Data shares'!$C:$FA,25)</f>
        <v>0.3</v>
      </c>
    </row>
    <row r="92" spans="1:7" x14ac:dyDescent="0.25">
      <c r="A92" s="101" t="str">
        <f>'Data shares'!C88</f>
        <v>HYUNDAI</v>
      </c>
      <c r="B92" s="144">
        <f>VLOOKUP($A92,'Data shares'!$C:$FA,7)</f>
        <v>1844.2</v>
      </c>
      <c r="C92" s="144">
        <f>VLOOKUP($A92,'Data shares'!$C:$FA,3)</f>
        <v>1847.1</v>
      </c>
      <c r="D92" s="144">
        <f>VLOOKUP($A92,'Data shares'!$C:$FA,23)</f>
        <v>2.9</v>
      </c>
      <c r="E92" s="145">
        <f>VLOOKUP($A92,'Data shares'!$C:$FA,26)*100</f>
        <v>0.16</v>
      </c>
      <c r="F92" s="144">
        <f>VLOOKUP($A92,'Data shares'!$C:$FA,24)</f>
        <v>-7.7</v>
      </c>
      <c r="G92" s="144">
        <f>VLOOKUP($A92,'Data shares'!$C:$FA,25)</f>
        <v>10.6</v>
      </c>
    </row>
    <row r="93" spans="1:7" x14ac:dyDescent="0.25">
      <c r="A93" s="101" t="str">
        <f>'Data shares'!C89</f>
        <v>ICICIBANK</v>
      </c>
      <c r="B93" s="144">
        <f>VLOOKUP($A93,'Data shares'!$C:$FA,7)</f>
        <v>1348</v>
      </c>
      <c r="C93" s="144">
        <f>VLOOKUP($A93,'Data shares'!$C:$FA,3)</f>
        <v>1347.1</v>
      </c>
      <c r="D93" s="144">
        <f>VLOOKUP($A93,'Data shares'!$C:$FA,23)</f>
        <v>-0.9</v>
      </c>
      <c r="E93" s="145">
        <f>VLOOKUP($A93,'Data shares'!$C:$FA,26)*100</f>
        <v>-6.9999999999999993E-2</v>
      </c>
      <c r="F93" s="144">
        <f>VLOOKUP($A93,'Data shares'!$C:$FA,24)</f>
        <v>0.6</v>
      </c>
      <c r="G93" s="144">
        <f>VLOOKUP($A93,'Data shares'!$C:$FA,25)</f>
        <v>-1.5</v>
      </c>
    </row>
    <row r="94" spans="1:7" x14ac:dyDescent="0.25">
      <c r="A94" s="101" t="str">
        <f>'Data shares'!C90</f>
        <v>ICICIGI</v>
      </c>
      <c r="B94" s="144">
        <f>VLOOKUP($A94,'Data shares'!$C:$FA,7)</f>
        <v>1809.9</v>
      </c>
      <c r="C94" s="144">
        <f>VLOOKUP($A94,'Data shares'!$C:$FA,3)</f>
        <v>1808.8</v>
      </c>
      <c r="D94" s="144">
        <f>VLOOKUP($A94,'Data shares'!$C:$FA,23)</f>
        <v>-1.1000000000000001</v>
      </c>
      <c r="E94" s="145">
        <f>VLOOKUP($A94,'Data shares'!$C:$FA,26)*100</f>
        <v>-0.06</v>
      </c>
      <c r="F94" s="144">
        <f>VLOOKUP($A94,'Data shares'!$C:$FA,24)</f>
        <v>3.4</v>
      </c>
      <c r="G94" s="144">
        <f>VLOOKUP($A94,'Data shares'!$C:$FA,25)</f>
        <v>-4.5</v>
      </c>
    </row>
    <row r="95" spans="1:7" x14ac:dyDescent="0.25">
      <c r="A95" s="101" t="str">
        <f>'Data shares'!C91</f>
        <v>ICICIPRULI</v>
      </c>
      <c r="B95" s="144">
        <f>VLOOKUP($A95,'Data shares'!$C:$FA,7)</f>
        <v>535.29999999999995</v>
      </c>
      <c r="C95" s="144">
        <f>VLOOKUP($A95,'Data shares'!$C:$FA,3)</f>
        <v>534.6</v>
      </c>
      <c r="D95" s="144">
        <f>VLOOKUP($A95,'Data shares'!$C:$FA,23)</f>
        <v>-0.7</v>
      </c>
      <c r="E95" s="145">
        <f>VLOOKUP($A95,'Data shares'!$C:$FA,26)*100</f>
        <v>-0.13</v>
      </c>
      <c r="F95" s="144">
        <f>VLOOKUP($A95,'Data shares'!$C:$FA,24)</f>
        <v>-0.5</v>
      </c>
      <c r="G95" s="144">
        <f>VLOOKUP($A95,'Data shares'!$C:$FA,25)</f>
        <v>-0.2</v>
      </c>
    </row>
    <row r="96" spans="1:7" x14ac:dyDescent="0.25">
      <c r="A96" s="101" t="str">
        <f>'Data shares'!C92</f>
        <v>IDEA</v>
      </c>
      <c r="B96" s="144">
        <f>VLOOKUP($A96,'Data shares'!$C:$FA,7)</f>
        <v>9.58</v>
      </c>
      <c r="C96" s="144">
        <f>VLOOKUP($A96,'Data shares'!$C:$FA,3)</f>
        <v>9.57</v>
      </c>
      <c r="D96" s="144">
        <f>VLOOKUP($A96,'Data shares'!$C:$FA,23)</f>
        <v>-0.01</v>
      </c>
      <c r="E96" s="145">
        <f>VLOOKUP($A96,'Data shares'!$C:$FA,26)*100</f>
        <v>-0.1</v>
      </c>
      <c r="F96" s="144">
        <f>VLOOKUP($A96,'Data shares'!$C:$FA,24)</f>
        <v>-0.01</v>
      </c>
      <c r="G96" s="144">
        <f>VLOOKUP($A96,'Data shares'!$C:$FA,25)</f>
        <v>0</v>
      </c>
    </row>
    <row r="97" spans="1:7" x14ac:dyDescent="0.25">
      <c r="A97" s="101" t="str">
        <f>'Data shares'!C93</f>
        <v>IDFCFIRSTB</v>
      </c>
      <c r="B97" s="144">
        <f>VLOOKUP($A97,'Data shares'!$C:$FA,7)</f>
        <v>67.83</v>
      </c>
      <c r="C97" s="144">
        <f>VLOOKUP($A97,'Data shares'!$C:$FA,3)</f>
        <v>67.72</v>
      </c>
      <c r="D97" s="144">
        <f>VLOOKUP($A97,'Data shares'!$C:$FA,23)</f>
        <v>-0.11</v>
      </c>
      <c r="E97" s="145">
        <f>VLOOKUP($A97,'Data shares'!$C:$FA,26)*100</f>
        <v>-0.16</v>
      </c>
      <c r="F97" s="144">
        <f>VLOOKUP($A97,'Data shares'!$C:$FA,24)</f>
        <v>0.04</v>
      </c>
      <c r="G97" s="144">
        <f>VLOOKUP($A97,'Data shares'!$C:$FA,25)</f>
        <v>-0.15</v>
      </c>
    </row>
    <row r="98" spans="1:7" x14ac:dyDescent="0.25">
      <c r="A98" s="101" t="str">
        <f>'Data shares'!C94</f>
        <v>IEX</v>
      </c>
      <c r="B98" s="144">
        <f>VLOOKUP($A98,'Data shares'!$C:$FA,7)</f>
        <v>126.92</v>
      </c>
      <c r="C98" s="144">
        <f>VLOOKUP($A98,'Data shares'!$C:$FA,3)</f>
        <v>127.48</v>
      </c>
      <c r="D98" s="144">
        <f>VLOOKUP($A98,'Data shares'!$C:$FA,23)</f>
        <v>0.56000000000000005</v>
      </c>
      <c r="E98" s="145">
        <f>VLOOKUP($A98,'Data shares'!$C:$FA,26)*100</f>
        <v>0.44</v>
      </c>
      <c r="F98" s="144">
        <f>VLOOKUP($A98,'Data shares'!$C:$FA,24)</f>
        <v>0.19</v>
      </c>
      <c r="G98" s="144">
        <f>VLOOKUP($A98,'Data shares'!$C:$FA,25)</f>
        <v>0.37</v>
      </c>
    </row>
    <row r="99" spans="1:7" x14ac:dyDescent="0.25">
      <c r="A99" s="101" t="str">
        <f>'Data shares'!C95</f>
        <v>INDHOTEL</v>
      </c>
      <c r="B99" s="144">
        <f>VLOOKUP($A99,'Data shares'!$C:$FA,7)</f>
        <v>639.45000000000005</v>
      </c>
      <c r="C99" s="144">
        <f>VLOOKUP($A99,'Data shares'!$C:$FA,3)</f>
        <v>639.15</v>
      </c>
      <c r="D99" s="144">
        <f>VLOOKUP($A99,'Data shares'!$C:$FA,23)</f>
        <v>-0.3</v>
      </c>
      <c r="E99" s="145">
        <f>VLOOKUP($A99,'Data shares'!$C:$FA,26)*100</f>
        <v>-0.05</v>
      </c>
      <c r="F99" s="144">
        <f>VLOOKUP($A99,'Data shares'!$C:$FA,24)</f>
        <v>0</v>
      </c>
      <c r="G99" s="144">
        <f>VLOOKUP($A99,'Data shares'!$C:$FA,25)</f>
        <v>-0.3</v>
      </c>
    </row>
    <row r="100" spans="1:7" x14ac:dyDescent="0.25">
      <c r="A100" s="101" t="str">
        <f>'Data shares'!C96</f>
        <v>INDIANB</v>
      </c>
      <c r="B100" s="144">
        <f>VLOOKUP($A100,'Data shares'!$C:$FA,7)</f>
        <v>914.95</v>
      </c>
      <c r="C100" s="144">
        <f>VLOOKUP($A100,'Data shares'!$C:$FA,3)</f>
        <v>916.45</v>
      </c>
      <c r="D100" s="144">
        <f>VLOOKUP($A100,'Data shares'!$C:$FA,23)</f>
        <v>1.5</v>
      </c>
      <c r="E100" s="145">
        <f>VLOOKUP($A100,'Data shares'!$C:$FA,26)*100</f>
        <v>0.16</v>
      </c>
      <c r="F100" s="144">
        <f>VLOOKUP($A100,'Data shares'!$C:$FA,24)</f>
        <v>1.8</v>
      </c>
      <c r="G100" s="144">
        <f>VLOOKUP($A100,'Data shares'!$C:$FA,25)</f>
        <v>-0.3</v>
      </c>
    </row>
    <row r="101" spans="1:7" x14ac:dyDescent="0.25">
      <c r="A101" s="101" t="str">
        <f>'Data shares'!C97</f>
        <v>INDIAVIX</v>
      </c>
      <c r="B101" s="144">
        <f>VLOOKUP($A101,'Data shares'!$C:$FA,7)</f>
        <v>18.59</v>
      </c>
      <c r="C101" s="144">
        <f>VLOOKUP($A101,'Data shares'!$C:$FA,3)</f>
        <v>18.59</v>
      </c>
      <c r="D101" s="144">
        <f>VLOOKUP($A101,'Data shares'!$C:$FA,23)</f>
        <v>0</v>
      </c>
      <c r="E101" s="145">
        <f>VLOOKUP($A101,'Data shares'!$C:$FA,26)*100</f>
        <v>0</v>
      </c>
      <c r="F101" s="144">
        <f>VLOOKUP($A101,'Data shares'!$C:$FA,24)</f>
        <v>0</v>
      </c>
      <c r="G101" s="144">
        <f>VLOOKUP($A101,'Data shares'!$C:$FA,25)</f>
        <v>0</v>
      </c>
    </row>
    <row r="102" spans="1:7" x14ac:dyDescent="0.25">
      <c r="A102" s="101" t="str">
        <f>'Data shares'!C98</f>
        <v>INDIGO</v>
      </c>
      <c r="B102" s="144">
        <f>VLOOKUP($A102,'Data shares'!$C:$FA,7)</f>
        <v>4556</v>
      </c>
      <c r="C102" s="144">
        <f>VLOOKUP($A102,'Data shares'!$C:$FA,3)</f>
        <v>4565.6000000000004</v>
      </c>
      <c r="D102" s="144">
        <f>VLOOKUP($A102,'Data shares'!$C:$FA,23)</f>
        <v>9.6</v>
      </c>
      <c r="E102" s="145">
        <f>VLOOKUP($A102,'Data shares'!$C:$FA,26)*100</f>
        <v>0.21</v>
      </c>
      <c r="F102" s="144">
        <f>VLOOKUP($A102,'Data shares'!$C:$FA,24)</f>
        <v>-8.5</v>
      </c>
      <c r="G102" s="144">
        <f>VLOOKUP($A102,'Data shares'!$C:$FA,25)</f>
        <v>18.100000000000001</v>
      </c>
    </row>
    <row r="103" spans="1:7" x14ac:dyDescent="0.25">
      <c r="A103" s="101" t="str">
        <f>'Data shares'!C99</f>
        <v>INDUSINDBK</v>
      </c>
      <c r="B103" s="144">
        <f>VLOOKUP($A103,'Data shares'!$C:$FA,7)</f>
        <v>860.35</v>
      </c>
      <c r="C103" s="144">
        <f>VLOOKUP($A103,'Data shares'!$C:$FA,3)</f>
        <v>860.1</v>
      </c>
      <c r="D103" s="144">
        <f>VLOOKUP($A103,'Data shares'!$C:$FA,23)</f>
        <v>-0.25</v>
      </c>
      <c r="E103" s="145">
        <f>VLOOKUP($A103,'Data shares'!$C:$FA,26)*100</f>
        <v>-0.03</v>
      </c>
      <c r="F103" s="144">
        <f>VLOOKUP($A103,'Data shares'!$C:$FA,24)</f>
        <v>-1.35</v>
      </c>
      <c r="G103" s="144">
        <f>VLOOKUP($A103,'Data shares'!$C:$FA,25)</f>
        <v>1.1000000000000001</v>
      </c>
    </row>
    <row r="104" spans="1:7" x14ac:dyDescent="0.25">
      <c r="A104" s="101" t="str">
        <f>'Data shares'!C100</f>
        <v>INDUSTOWER</v>
      </c>
      <c r="B104" s="144">
        <f>VLOOKUP($A104,'Data shares'!$C:$FA,7)</f>
        <v>404.7</v>
      </c>
      <c r="C104" s="144">
        <f>VLOOKUP($A104,'Data shares'!$C:$FA,3)</f>
        <v>405.1</v>
      </c>
      <c r="D104" s="144">
        <f>VLOOKUP($A104,'Data shares'!$C:$FA,23)</f>
        <v>0.4</v>
      </c>
      <c r="E104" s="145">
        <f>VLOOKUP($A104,'Data shares'!$C:$FA,26)*100</f>
        <v>0.1</v>
      </c>
      <c r="F104" s="144">
        <f>VLOOKUP($A104,'Data shares'!$C:$FA,24)</f>
        <v>0.95</v>
      </c>
      <c r="G104" s="144">
        <f>VLOOKUP($A104,'Data shares'!$C:$FA,25)</f>
        <v>-0.55000000000000004</v>
      </c>
    </row>
    <row r="105" spans="1:7" x14ac:dyDescent="0.25">
      <c r="A105" s="101" t="str">
        <f>'Data shares'!C101</f>
        <v>INFY</v>
      </c>
      <c r="B105" s="144">
        <f>VLOOKUP($A105,'Data shares'!$C:$FA,7)</f>
        <v>1240.5999999999999</v>
      </c>
      <c r="C105" s="144">
        <f>VLOOKUP($A105,'Data shares'!$C:$FA,3)</f>
        <v>1237.5999999999999</v>
      </c>
      <c r="D105" s="144">
        <f>VLOOKUP($A105,'Data shares'!$C:$FA,23)</f>
        <v>-3</v>
      </c>
      <c r="E105" s="145">
        <f>VLOOKUP($A105,'Data shares'!$C:$FA,26)*100</f>
        <v>-0.24</v>
      </c>
      <c r="F105" s="144">
        <f>VLOOKUP($A105,'Data shares'!$C:$FA,24)</f>
        <v>3.6</v>
      </c>
      <c r="G105" s="144">
        <f>VLOOKUP($A105,'Data shares'!$C:$FA,25)</f>
        <v>-6.6</v>
      </c>
    </row>
    <row r="106" spans="1:7" x14ac:dyDescent="0.25">
      <c r="A106" s="101" t="str">
        <f>'Data shares'!C102</f>
        <v>INOXWIND</v>
      </c>
      <c r="B106" s="144">
        <f>VLOOKUP($A106,'Data shares'!$C:$FA,7)</f>
        <v>101.79</v>
      </c>
      <c r="C106" s="144">
        <f>VLOOKUP($A106,'Data shares'!$C:$FA,3)</f>
        <v>101.87</v>
      </c>
      <c r="D106" s="144">
        <f>VLOOKUP($A106,'Data shares'!$C:$FA,23)</f>
        <v>0.08</v>
      </c>
      <c r="E106" s="145">
        <f>VLOOKUP($A106,'Data shares'!$C:$FA,26)*100</f>
        <v>0.08</v>
      </c>
      <c r="F106" s="144">
        <f>VLOOKUP($A106,'Data shares'!$C:$FA,24)</f>
        <v>-0.11</v>
      </c>
      <c r="G106" s="144">
        <f>VLOOKUP($A106,'Data shares'!$C:$FA,25)</f>
        <v>0.19</v>
      </c>
    </row>
    <row r="107" spans="1:7" x14ac:dyDescent="0.25">
      <c r="A107" s="101" t="str">
        <f>'Data shares'!C103</f>
        <v>IOC</v>
      </c>
      <c r="B107" s="144">
        <f>VLOOKUP($A107,'Data shares'!$C:$FA,7)</f>
        <v>145.47999999999999</v>
      </c>
      <c r="C107" s="144">
        <f>VLOOKUP($A107,'Data shares'!$C:$FA,3)</f>
        <v>145.46</v>
      </c>
      <c r="D107" s="144">
        <f>VLOOKUP($A107,'Data shares'!$C:$FA,23)</f>
        <v>-0.02</v>
      </c>
      <c r="E107" s="145">
        <f>VLOOKUP($A107,'Data shares'!$C:$FA,26)*100</f>
        <v>-0.01</v>
      </c>
      <c r="F107" s="144">
        <f>VLOOKUP($A107,'Data shares'!$C:$FA,24)</f>
        <v>0.13</v>
      </c>
      <c r="G107" s="144">
        <f>VLOOKUP($A107,'Data shares'!$C:$FA,25)</f>
        <v>-0.15</v>
      </c>
    </row>
    <row r="108" spans="1:7" x14ac:dyDescent="0.25">
      <c r="A108" s="101" t="str">
        <f>'Data shares'!C104</f>
        <v>IREDA</v>
      </c>
      <c r="B108" s="144">
        <f>VLOOKUP($A108,'Data shares'!$C:$FA,7)</f>
        <v>137.52000000000001</v>
      </c>
      <c r="C108" s="144">
        <f>VLOOKUP($A108,'Data shares'!$C:$FA,3)</f>
        <v>137.56</v>
      </c>
      <c r="D108" s="144">
        <f>VLOOKUP($A108,'Data shares'!$C:$FA,23)</f>
        <v>0.04</v>
      </c>
      <c r="E108" s="145">
        <f>VLOOKUP($A108,'Data shares'!$C:$FA,26)*100</f>
        <v>0.03</v>
      </c>
      <c r="F108" s="144">
        <f>VLOOKUP($A108,'Data shares'!$C:$FA,24)</f>
        <v>0.44</v>
      </c>
      <c r="G108" s="144">
        <f>VLOOKUP($A108,'Data shares'!$C:$FA,25)</f>
        <v>-0.4</v>
      </c>
    </row>
    <row r="109" spans="1:7" x14ac:dyDescent="0.25">
      <c r="A109" s="101" t="str">
        <f>'Data shares'!C105</f>
        <v>IRFC</v>
      </c>
      <c r="B109" s="144">
        <f>VLOOKUP($A109,'Data shares'!$C:$FA,7)</f>
        <v>105.06</v>
      </c>
      <c r="C109" s="144">
        <f>VLOOKUP($A109,'Data shares'!$C:$FA,3)</f>
        <v>104.51</v>
      </c>
      <c r="D109" s="144">
        <f>VLOOKUP($A109,'Data shares'!$C:$FA,23)</f>
        <v>-0.55000000000000004</v>
      </c>
      <c r="E109" s="145">
        <f>VLOOKUP($A109,'Data shares'!$C:$FA,26)*100</f>
        <v>-0.52</v>
      </c>
      <c r="F109" s="144">
        <f>VLOOKUP($A109,'Data shares'!$C:$FA,24)</f>
        <v>0.37</v>
      </c>
      <c r="G109" s="144">
        <f>VLOOKUP($A109,'Data shares'!$C:$FA,25)</f>
        <v>-0.92</v>
      </c>
    </row>
    <row r="110" spans="1:7" x14ac:dyDescent="0.25">
      <c r="A110" s="101" t="str">
        <f>'Data shares'!C106</f>
        <v>ITC</v>
      </c>
      <c r="B110" s="144">
        <f>VLOOKUP($A110,'Data shares'!$C:$FA,7)</f>
        <v>305.3</v>
      </c>
      <c r="C110" s="144">
        <f>VLOOKUP($A110,'Data shares'!$C:$FA,3)</f>
        <v>305.05</v>
      </c>
      <c r="D110" s="144">
        <f>VLOOKUP($A110,'Data shares'!$C:$FA,23)</f>
        <v>-0.25</v>
      </c>
      <c r="E110" s="145">
        <f>VLOOKUP($A110,'Data shares'!$C:$FA,26)*100</f>
        <v>-0.08</v>
      </c>
      <c r="F110" s="144">
        <f>VLOOKUP($A110,'Data shares'!$C:$FA,24)</f>
        <v>0.3</v>
      </c>
      <c r="G110" s="144">
        <f>VLOOKUP($A110,'Data shares'!$C:$FA,25)</f>
        <v>-0.55000000000000004</v>
      </c>
    </row>
    <row r="111" spans="1:7" x14ac:dyDescent="0.25">
      <c r="A111" s="101" t="str">
        <f>'Data shares'!C107</f>
        <v>JINDALSTEL</v>
      </c>
      <c r="B111" s="144">
        <f>VLOOKUP($A111,'Data shares'!$C:$FA,7)</f>
        <v>1254.5</v>
      </c>
      <c r="C111" s="144">
        <f>VLOOKUP($A111,'Data shares'!$C:$FA,3)</f>
        <v>1257.5999999999999</v>
      </c>
      <c r="D111" s="144">
        <f>VLOOKUP($A111,'Data shares'!$C:$FA,23)</f>
        <v>3.1</v>
      </c>
      <c r="E111" s="145">
        <f>VLOOKUP($A111,'Data shares'!$C:$FA,26)*100</f>
        <v>0.25</v>
      </c>
      <c r="F111" s="144">
        <f>VLOOKUP($A111,'Data shares'!$C:$FA,24)</f>
        <v>3.8</v>
      </c>
      <c r="G111" s="144">
        <f>VLOOKUP($A111,'Data shares'!$C:$FA,25)</f>
        <v>-0.7</v>
      </c>
    </row>
    <row r="112" spans="1:7" x14ac:dyDescent="0.25">
      <c r="A112" s="101" t="str">
        <f>'Data shares'!C108</f>
        <v>JIOFIN</v>
      </c>
      <c r="B112" s="144">
        <f>VLOOKUP($A112,'Data shares'!$C:$FA,7)</f>
        <v>248.66</v>
      </c>
      <c r="C112" s="144">
        <f>VLOOKUP($A112,'Data shares'!$C:$FA,3)</f>
        <v>248.92</v>
      </c>
      <c r="D112" s="144">
        <f>VLOOKUP($A112,'Data shares'!$C:$FA,23)</f>
        <v>0.26</v>
      </c>
      <c r="E112" s="145">
        <f>VLOOKUP($A112,'Data shares'!$C:$FA,26)*100</f>
        <v>0.1</v>
      </c>
      <c r="F112" s="144">
        <f>VLOOKUP($A112,'Data shares'!$C:$FA,24)</f>
        <v>0.45</v>
      </c>
      <c r="G112" s="144">
        <f>VLOOKUP($A112,'Data shares'!$C:$FA,25)</f>
        <v>-0.19</v>
      </c>
    </row>
    <row r="113" spans="1:7" x14ac:dyDescent="0.25">
      <c r="A113" s="101" t="str">
        <f>'Data shares'!C109</f>
        <v>JSWENERGY</v>
      </c>
      <c r="B113" s="144">
        <f>VLOOKUP($A113,'Data shares'!$C:$FA,7)</f>
        <v>561.4</v>
      </c>
      <c r="C113" s="144">
        <f>VLOOKUP($A113,'Data shares'!$C:$FA,3)</f>
        <v>560.4</v>
      </c>
      <c r="D113" s="144">
        <f>VLOOKUP($A113,'Data shares'!$C:$FA,23)</f>
        <v>-1</v>
      </c>
      <c r="E113" s="145">
        <f>VLOOKUP($A113,'Data shares'!$C:$FA,26)*100</f>
        <v>-0.18</v>
      </c>
      <c r="F113" s="144">
        <f>VLOOKUP($A113,'Data shares'!$C:$FA,24)</f>
        <v>-0.2</v>
      </c>
      <c r="G113" s="144">
        <f>VLOOKUP($A113,'Data shares'!$C:$FA,25)</f>
        <v>-0.8</v>
      </c>
    </row>
    <row r="114" spans="1:7" x14ac:dyDescent="0.25">
      <c r="A114" s="101" t="str">
        <f>'Data shares'!C110</f>
        <v>JSWSTEEL</v>
      </c>
      <c r="B114" s="144">
        <f>VLOOKUP($A114,'Data shares'!$C:$FA,7)</f>
        <v>1257</v>
      </c>
      <c r="C114" s="144">
        <f>VLOOKUP($A114,'Data shares'!$C:$FA,3)</f>
        <v>1254.9000000000001</v>
      </c>
      <c r="D114" s="144">
        <f>VLOOKUP($A114,'Data shares'!$C:$FA,23)</f>
        <v>-2.1</v>
      </c>
      <c r="E114" s="145">
        <f>VLOOKUP($A114,'Data shares'!$C:$FA,26)*100</f>
        <v>-0.16999999999999998</v>
      </c>
      <c r="F114" s="144">
        <f>VLOOKUP($A114,'Data shares'!$C:$FA,24)</f>
        <v>2</v>
      </c>
      <c r="G114" s="144">
        <f>VLOOKUP($A114,'Data shares'!$C:$FA,25)</f>
        <v>-4.0999999999999996</v>
      </c>
    </row>
    <row r="115" spans="1:7" x14ac:dyDescent="0.25">
      <c r="A115" s="101" t="str">
        <f>'Data shares'!C111</f>
        <v>JUBLFOOD</v>
      </c>
      <c r="B115" s="144">
        <f>VLOOKUP($A115,'Data shares'!$C:$FA,7)</f>
        <v>492.85</v>
      </c>
      <c r="C115" s="144">
        <f>VLOOKUP($A115,'Data shares'!$C:$FA,3)</f>
        <v>491</v>
      </c>
      <c r="D115" s="144">
        <f>VLOOKUP($A115,'Data shares'!$C:$FA,23)</f>
        <v>-1.85</v>
      </c>
      <c r="E115" s="145">
        <f>VLOOKUP($A115,'Data shares'!$C:$FA,26)*100</f>
        <v>-0.38</v>
      </c>
      <c r="F115" s="144">
        <f>VLOOKUP($A115,'Data shares'!$C:$FA,24)</f>
        <v>-3.5</v>
      </c>
      <c r="G115" s="144">
        <f>VLOOKUP($A115,'Data shares'!$C:$FA,25)</f>
        <v>1.65</v>
      </c>
    </row>
    <row r="116" spans="1:7" x14ac:dyDescent="0.25">
      <c r="A116" s="101" t="str">
        <f>'Data shares'!C112</f>
        <v>KALYANKJIL</v>
      </c>
      <c r="B116" s="144">
        <f>VLOOKUP($A116,'Data shares'!$C:$FA,7)</f>
        <v>412.85</v>
      </c>
      <c r="C116" s="144">
        <f>VLOOKUP($A116,'Data shares'!$C:$FA,3)</f>
        <v>413.3</v>
      </c>
      <c r="D116" s="144">
        <f>VLOOKUP($A116,'Data shares'!$C:$FA,23)</f>
        <v>0.45</v>
      </c>
      <c r="E116" s="145">
        <f>VLOOKUP($A116,'Data shares'!$C:$FA,26)*100</f>
        <v>0.11</v>
      </c>
      <c r="F116" s="144">
        <f>VLOOKUP($A116,'Data shares'!$C:$FA,24)</f>
        <v>1.1000000000000001</v>
      </c>
      <c r="G116" s="144">
        <f>VLOOKUP($A116,'Data shares'!$C:$FA,25)</f>
        <v>-0.65</v>
      </c>
    </row>
    <row r="117" spans="1:7" x14ac:dyDescent="0.25">
      <c r="A117" s="101" t="str">
        <f>'Data shares'!C113</f>
        <v>KAYNES</v>
      </c>
      <c r="B117" s="144">
        <f>VLOOKUP($A117,'Data shares'!$C:$FA,7)</f>
        <v>4387.7</v>
      </c>
      <c r="C117" s="144">
        <f>VLOOKUP($A117,'Data shares'!$C:$FA,3)</f>
        <v>4381.3</v>
      </c>
      <c r="D117" s="144">
        <f>VLOOKUP($A117,'Data shares'!$C:$FA,23)</f>
        <v>-6.4</v>
      </c>
      <c r="E117" s="145">
        <f>VLOOKUP($A117,'Data shares'!$C:$FA,26)*100</f>
        <v>-0.15</v>
      </c>
      <c r="F117" s="144">
        <f>VLOOKUP($A117,'Data shares'!$C:$FA,24)</f>
        <v>-4.5</v>
      </c>
      <c r="G117" s="144">
        <f>VLOOKUP($A117,'Data shares'!$C:$FA,25)</f>
        <v>-1.9</v>
      </c>
    </row>
    <row r="118" spans="1:7" x14ac:dyDescent="0.25">
      <c r="A118" s="101" t="str">
        <f>'Data shares'!C114</f>
        <v>KEI</v>
      </c>
      <c r="B118" s="144">
        <f>VLOOKUP($A118,'Data shares'!$C:$FA,7)</f>
        <v>4839.5</v>
      </c>
      <c r="C118" s="144">
        <f>VLOOKUP($A118,'Data shares'!$C:$FA,3)</f>
        <v>4855</v>
      </c>
      <c r="D118" s="144">
        <f>VLOOKUP($A118,'Data shares'!$C:$FA,23)</f>
        <v>15.5</v>
      </c>
      <c r="E118" s="145">
        <f>VLOOKUP($A118,'Data shares'!$C:$FA,26)*100</f>
        <v>0.32</v>
      </c>
      <c r="F118" s="144">
        <f>VLOOKUP($A118,'Data shares'!$C:$FA,24)</f>
        <v>-3.9</v>
      </c>
      <c r="G118" s="144">
        <f>VLOOKUP($A118,'Data shares'!$C:$FA,25)</f>
        <v>19.399999999999999</v>
      </c>
    </row>
    <row r="119" spans="1:7" x14ac:dyDescent="0.25">
      <c r="A119" s="101" t="str">
        <f>'Data shares'!C115</f>
        <v>KFINTECH</v>
      </c>
      <c r="B119" s="144">
        <f>VLOOKUP($A119,'Data shares'!$C:$FA,7)</f>
        <v>981.9</v>
      </c>
      <c r="C119" s="144">
        <f>VLOOKUP($A119,'Data shares'!$C:$FA,3)</f>
        <v>985.4</v>
      </c>
      <c r="D119" s="144">
        <f>VLOOKUP($A119,'Data shares'!$C:$FA,23)</f>
        <v>3.5</v>
      </c>
      <c r="E119" s="145">
        <f>VLOOKUP($A119,'Data shares'!$C:$FA,26)*100</f>
        <v>0.36</v>
      </c>
      <c r="F119" s="144">
        <f>VLOOKUP($A119,'Data shares'!$C:$FA,24)</f>
        <v>-0.95</v>
      </c>
      <c r="G119" s="144">
        <f>VLOOKUP($A119,'Data shares'!$C:$FA,25)</f>
        <v>4.45</v>
      </c>
    </row>
    <row r="120" spans="1:7" x14ac:dyDescent="0.25">
      <c r="A120" s="101" t="str">
        <f>'Data shares'!C116</f>
        <v>KOTAKBANK</v>
      </c>
      <c r="B120" s="144">
        <f>VLOOKUP($A120,'Data shares'!$C:$FA,7)</f>
        <v>370.4</v>
      </c>
      <c r="C120" s="144">
        <f>VLOOKUP($A120,'Data shares'!$C:$FA,3)</f>
        <v>370.75</v>
      </c>
      <c r="D120" s="144">
        <f>VLOOKUP($A120,'Data shares'!$C:$FA,23)</f>
        <v>0.35</v>
      </c>
      <c r="E120" s="145">
        <f>VLOOKUP($A120,'Data shares'!$C:$FA,26)*100</f>
        <v>0.09</v>
      </c>
      <c r="F120" s="144">
        <f>VLOOKUP($A120,'Data shares'!$C:$FA,24)</f>
        <v>0.5</v>
      </c>
      <c r="G120" s="144">
        <f>VLOOKUP($A120,'Data shares'!$C:$FA,25)</f>
        <v>-0.15</v>
      </c>
    </row>
    <row r="121" spans="1:7" x14ac:dyDescent="0.25">
      <c r="A121" s="101" t="str">
        <f>'Data shares'!C117</f>
        <v>KPITTECH</v>
      </c>
      <c r="B121" s="144">
        <f>VLOOKUP($A121,'Data shares'!$C:$FA,7)</f>
        <v>733.65</v>
      </c>
      <c r="C121" s="144">
        <f>VLOOKUP($A121,'Data shares'!$C:$FA,3)</f>
        <v>733.4</v>
      </c>
      <c r="D121" s="144">
        <f>VLOOKUP($A121,'Data shares'!$C:$FA,23)</f>
        <v>-0.25</v>
      </c>
      <c r="E121" s="145">
        <f>VLOOKUP($A121,'Data shares'!$C:$FA,26)*100</f>
        <v>-0.03</v>
      </c>
      <c r="F121" s="144">
        <f>VLOOKUP($A121,'Data shares'!$C:$FA,24)</f>
        <v>-0.4</v>
      </c>
      <c r="G121" s="144">
        <f>VLOOKUP($A121,'Data shares'!$C:$FA,25)</f>
        <v>0.15</v>
      </c>
    </row>
    <row r="122" spans="1:7" x14ac:dyDescent="0.25">
      <c r="A122" s="101" t="str">
        <f>'Data shares'!C118</f>
        <v>LAURUSLABS</v>
      </c>
      <c r="B122" s="144">
        <f>VLOOKUP($A122,'Data shares'!$C:$FA,7)</f>
        <v>1129</v>
      </c>
      <c r="C122" s="144">
        <f>VLOOKUP($A122,'Data shares'!$C:$FA,3)</f>
        <v>1129.3</v>
      </c>
      <c r="D122" s="144">
        <f>VLOOKUP($A122,'Data shares'!$C:$FA,23)</f>
        <v>0.3</v>
      </c>
      <c r="E122" s="145">
        <f>VLOOKUP($A122,'Data shares'!$C:$FA,26)*100</f>
        <v>0.03</v>
      </c>
      <c r="F122" s="144">
        <f>VLOOKUP($A122,'Data shares'!$C:$FA,24)</f>
        <v>2.65</v>
      </c>
      <c r="G122" s="144">
        <f>VLOOKUP($A122,'Data shares'!$C:$FA,25)</f>
        <v>-2.35</v>
      </c>
    </row>
    <row r="123" spans="1:7" x14ac:dyDescent="0.25">
      <c r="A123" s="101" t="str">
        <f>'Data shares'!C119</f>
        <v>LICHSGFIN</v>
      </c>
      <c r="B123" s="144">
        <f>VLOOKUP($A123,'Data shares'!$C:$FA,7)</f>
        <v>545.54999999999995</v>
      </c>
      <c r="C123" s="144">
        <f>VLOOKUP($A123,'Data shares'!$C:$FA,3)</f>
        <v>546.20000000000005</v>
      </c>
      <c r="D123" s="144">
        <f>VLOOKUP($A123,'Data shares'!$C:$FA,23)</f>
        <v>0.65</v>
      </c>
      <c r="E123" s="145">
        <f>VLOOKUP($A123,'Data shares'!$C:$FA,26)*100</f>
        <v>0.12</v>
      </c>
      <c r="F123" s="144">
        <f>VLOOKUP($A123,'Data shares'!$C:$FA,24)</f>
        <v>-0.7</v>
      </c>
      <c r="G123" s="144">
        <f>VLOOKUP($A123,'Data shares'!$C:$FA,25)</f>
        <v>1.35</v>
      </c>
    </row>
    <row r="124" spans="1:7" x14ac:dyDescent="0.25">
      <c r="A124" s="101" t="str">
        <f>'Data shares'!C120</f>
        <v>LICI</v>
      </c>
      <c r="B124" s="144">
        <f>VLOOKUP($A124,'Data shares'!$C:$FA,7)</f>
        <v>811.65</v>
      </c>
      <c r="C124" s="144">
        <f>VLOOKUP($A124,'Data shares'!$C:$FA,3)</f>
        <v>810.8</v>
      </c>
      <c r="D124" s="144">
        <f>VLOOKUP($A124,'Data shares'!$C:$FA,23)</f>
        <v>-0.85</v>
      </c>
      <c r="E124" s="145">
        <f>VLOOKUP($A124,'Data shares'!$C:$FA,26)*100</f>
        <v>-0.1</v>
      </c>
      <c r="F124" s="144">
        <f>VLOOKUP($A124,'Data shares'!$C:$FA,24)</f>
        <v>2.35</v>
      </c>
      <c r="G124" s="144">
        <f>VLOOKUP($A124,'Data shares'!$C:$FA,25)</f>
        <v>-3.2</v>
      </c>
    </row>
    <row r="125" spans="1:7" x14ac:dyDescent="0.25">
      <c r="A125" s="101" t="str">
        <f>'Data shares'!C121</f>
        <v>LODHA</v>
      </c>
      <c r="B125" s="144">
        <f>VLOOKUP($A125,'Data shares'!$C:$FA,7)</f>
        <v>856.5</v>
      </c>
      <c r="C125" s="144">
        <f>VLOOKUP($A125,'Data shares'!$C:$FA,3)</f>
        <v>857.7</v>
      </c>
      <c r="D125" s="144">
        <f>VLOOKUP($A125,'Data shares'!$C:$FA,23)</f>
        <v>1.2</v>
      </c>
      <c r="E125" s="145">
        <f>VLOOKUP($A125,'Data shares'!$C:$FA,26)*100</f>
        <v>0.13999999999999999</v>
      </c>
      <c r="F125" s="144">
        <f>VLOOKUP($A125,'Data shares'!$C:$FA,24)</f>
        <v>-1.2</v>
      </c>
      <c r="G125" s="144">
        <f>VLOOKUP($A125,'Data shares'!$C:$FA,25)</f>
        <v>2.4</v>
      </c>
    </row>
    <row r="126" spans="1:7" x14ac:dyDescent="0.25">
      <c r="A126" s="101" t="str">
        <f>'Data shares'!C122</f>
        <v>LT</v>
      </c>
      <c r="B126" s="144">
        <f>VLOOKUP($A126,'Data shares'!$C:$FA,7)</f>
        <v>4054.1</v>
      </c>
      <c r="C126" s="144">
        <f>VLOOKUP($A126,'Data shares'!$C:$FA,3)</f>
        <v>4057.6</v>
      </c>
      <c r="D126" s="144">
        <f>VLOOKUP($A126,'Data shares'!$C:$FA,23)</f>
        <v>3.5</v>
      </c>
      <c r="E126" s="145">
        <f>VLOOKUP($A126,'Data shares'!$C:$FA,26)*100</f>
        <v>0.09</v>
      </c>
      <c r="F126" s="144">
        <f>VLOOKUP($A126,'Data shares'!$C:$FA,24)</f>
        <v>4.3</v>
      </c>
      <c r="G126" s="144">
        <f>VLOOKUP($A126,'Data shares'!$C:$FA,25)</f>
        <v>-0.8</v>
      </c>
    </row>
    <row r="127" spans="1:7" x14ac:dyDescent="0.25">
      <c r="A127" s="101" t="str">
        <f>'Data shares'!C123</f>
        <v>LTF</v>
      </c>
      <c r="B127" s="144">
        <f>VLOOKUP($A127,'Data shares'!$C:$FA,7)</f>
        <v>292.12</v>
      </c>
      <c r="C127" s="144">
        <f>VLOOKUP($A127,'Data shares'!$C:$FA,3)</f>
        <v>292.14</v>
      </c>
      <c r="D127" s="144">
        <f>VLOOKUP($A127,'Data shares'!$C:$FA,23)</f>
        <v>0.02</v>
      </c>
      <c r="E127" s="145">
        <f>VLOOKUP($A127,'Data shares'!$C:$FA,26)*100</f>
        <v>0.01</v>
      </c>
      <c r="F127" s="144">
        <f>VLOOKUP($A127,'Data shares'!$C:$FA,24)</f>
        <v>0.12</v>
      </c>
      <c r="G127" s="144">
        <f>VLOOKUP($A127,'Data shares'!$C:$FA,25)</f>
        <v>-0.1</v>
      </c>
    </row>
    <row r="128" spans="1:7" x14ac:dyDescent="0.25">
      <c r="A128" s="101" t="str">
        <f>'Data shares'!C124</f>
        <v>LTM</v>
      </c>
      <c r="B128" s="144">
        <f>VLOOKUP($A128,'Data shares'!$C:$FA,7)</f>
        <v>4531.5</v>
      </c>
      <c r="C128" s="144">
        <f>VLOOKUP($A128,'Data shares'!$C:$FA,3)</f>
        <v>4531.6000000000004</v>
      </c>
      <c r="D128" s="144">
        <f>VLOOKUP($A128,'Data shares'!$C:$FA,23)</f>
        <v>0.1</v>
      </c>
      <c r="E128" s="145">
        <f>VLOOKUP($A128,'Data shares'!$C:$FA,26)*100</f>
        <v>0</v>
      </c>
      <c r="F128" s="144">
        <f>VLOOKUP($A128,'Data shares'!$C:$FA,24)</f>
        <v>12.5</v>
      </c>
      <c r="G128" s="144">
        <f>VLOOKUP($A128,'Data shares'!$C:$FA,25)</f>
        <v>-12.4</v>
      </c>
    </row>
    <row r="129" spans="1:7" x14ac:dyDescent="0.25">
      <c r="A129" s="101" t="str">
        <f>'Data shares'!C125</f>
        <v>LUPIN</v>
      </c>
      <c r="B129" s="144">
        <f>VLOOKUP($A129,'Data shares'!$C:$FA,7)</f>
        <v>2341.4</v>
      </c>
      <c r="C129" s="144">
        <f>VLOOKUP($A129,'Data shares'!$C:$FA,3)</f>
        <v>2345.1</v>
      </c>
      <c r="D129" s="144">
        <f>VLOOKUP($A129,'Data shares'!$C:$FA,23)</f>
        <v>3.7</v>
      </c>
      <c r="E129" s="145">
        <f>VLOOKUP($A129,'Data shares'!$C:$FA,26)*100</f>
        <v>0.16</v>
      </c>
      <c r="F129" s="144">
        <f>VLOOKUP($A129,'Data shares'!$C:$FA,24)</f>
        <v>4.9000000000000004</v>
      </c>
      <c r="G129" s="144">
        <f>VLOOKUP($A129,'Data shares'!$C:$FA,25)</f>
        <v>-1.2</v>
      </c>
    </row>
    <row r="130" spans="1:7" x14ac:dyDescent="0.25">
      <c r="A130" s="101" t="str">
        <f>'Data shares'!C126</f>
        <v>M&amp;M</v>
      </c>
      <c r="B130" s="144">
        <f>VLOOKUP($A130,'Data shares'!$C:$FA,7)</f>
        <v>3047.7</v>
      </c>
      <c r="C130" s="144">
        <f>VLOOKUP($A130,'Data shares'!$C:$FA,3)</f>
        <v>3048.5</v>
      </c>
      <c r="D130" s="144">
        <f>VLOOKUP($A130,'Data shares'!$C:$FA,23)</f>
        <v>0.8</v>
      </c>
      <c r="E130" s="145">
        <f>VLOOKUP($A130,'Data shares'!$C:$FA,26)*100</f>
        <v>0.03</v>
      </c>
      <c r="F130" s="144">
        <f>VLOOKUP($A130,'Data shares'!$C:$FA,24)</f>
        <v>2</v>
      </c>
      <c r="G130" s="144">
        <f>VLOOKUP($A130,'Data shares'!$C:$FA,25)</f>
        <v>-1.2</v>
      </c>
    </row>
    <row r="131" spans="1:7" x14ac:dyDescent="0.25">
      <c r="A131" s="101" t="str">
        <f>'Data shares'!C127</f>
        <v>MANAPPURAM</v>
      </c>
      <c r="B131" s="144">
        <f>VLOOKUP($A131,'Data shares'!$C:$FA,7)</f>
        <v>292.85000000000002</v>
      </c>
      <c r="C131" s="144">
        <f>VLOOKUP($A131,'Data shares'!$C:$FA,3)</f>
        <v>292.39999999999998</v>
      </c>
      <c r="D131" s="144">
        <f>VLOOKUP($A131,'Data shares'!$C:$FA,23)</f>
        <v>-0.45</v>
      </c>
      <c r="E131" s="145">
        <f>VLOOKUP($A131,'Data shares'!$C:$FA,26)*100</f>
        <v>-0.15</v>
      </c>
      <c r="F131" s="144">
        <f>VLOOKUP($A131,'Data shares'!$C:$FA,24)</f>
        <v>-0.25</v>
      </c>
      <c r="G131" s="144">
        <f>VLOOKUP($A131,'Data shares'!$C:$FA,25)</f>
        <v>-0.2</v>
      </c>
    </row>
    <row r="132" spans="1:7" x14ac:dyDescent="0.25">
      <c r="A132" s="101" t="str">
        <f>'Data shares'!C128</f>
        <v>MANKIND</v>
      </c>
      <c r="B132" s="144">
        <f>VLOOKUP($A132,'Data shares'!$C:$FA,7)</f>
        <v>2292.9</v>
      </c>
      <c r="C132" s="144">
        <f>VLOOKUP($A132,'Data shares'!$C:$FA,3)</f>
        <v>2291.8000000000002</v>
      </c>
      <c r="D132" s="144">
        <f>VLOOKUP($A132,'Data shares'!$C:$FA,23)</f>
        <v>-1.1000000000000001</v>
      </c>
      <c r="E132" s="145">
        <f>VLOOKUP($A132,'Data shares'!$C:$FA,26)*100</f>
        <v>-0.05</v>
      </c>
      <c r="F132" s="144">
        <f>VLOOKUP($A132,'Data shares'!$C:$FA,24)</f>
        <v>-6.3</v>
      </c>
      <c r="G132" s="144">
        <f>VLOOKUP($A132,'Data shares'!$C:$FA,25)</f>
        <v>5.2</v>
      </c>
    </row>
    <row r="133" spans="1:7" x14ac:dyDescent="0.25">
      <c r="A133" s="101" t="str">
        <f>'Data shares'!C129</f>
        <v>MARICO</v>
      </c>
      <c r="B133" s="144">
        <f>VLOOKUP($A133,'Data shares'!$C:$FA,7)</f>
        <v>778.9</v>
      </c>
      <c r="C133" s="144">
        <f>VLOOKUP($A133,'Data shares'!$C:$FA,3)</f>
        <v>777.75</v>
      </c>
      <c r="D133" s="144">
        <f>VLOOKUP($A133,'Data shares'!$C:$FA,23)</f>
        <v>-1.1499999999999999</v>
      </c>
      <c r="E133" s="145">
        <f>VLOOKUP($A133,'Data shares'!$C:$FA,26)*100</f>
        <v>-0.15</v>
      </c>
      <c r="F133" s="144">
        <f>VLOOKUP($A133,'Data shares'!$C:$FA,24)</f>
        <v>1.3</v>
      </c>
      <c r="G133" s="144">
        <f>VLOOKUP($A133,'Data shares'!$C:$FA,25)</f>
        <v>-2.4500000000000002</v>
      </c>
    </row>
    <row r="134" spans="1:7" x14ac:dyDescent="0.25">
      <c r="A134" s="101" t="str">
        <f>'Data shares'!C130</f>
        <v>MARUTI</v>
      </c>
      <c r="B134" s="144">
        <f>VLOOKUP($A134,'Data shares'!$C:$FA,7)</f>
        <v>13160</v>
      </c>
      <c r="C134" s="144">
        <f>VLOOKUP($A134,'Data shares'!$C:$FA,3)</f>
        <v>13139</v>
      </c>
      <c r="D134" s="144">
        <f>VLOOKUP($A134,'Data shares'!$C:$FA,23)</f>
        <v>-21</v>
      </c>
      <c r="E134" s="145">
        <f>VLOOKUP($A134,'Data shares'!$C:$FA,26)*100</f>
        <v>-0.16</v>
      </c>
      <c r="F134" s="144">
        <f>VLOOKUP($A134,'Data shares'!$C:$FA,24)</f>
        <v>-15</v>
      </c>
      <c r="G134" s="144">
        <f>VLOOKUP($A134,'Data shares'!$C:$FA,25)</f>
        <v>-6</v>
      </c>
    </row>
    <row r="135" spans="1:7" x14ac:dyDescent="0.25">
      <c r="A135" s="101" t="str">
        <f>'Data shares'!C131</f>
        <v>MAXHEALTH</v>
      </c>
      <c r="B135" s="144">
        <f>VLOOKUP($A135,'Data shares'!$C:$FA,7)</f>
        <v>1006.75</v>
      </c>
      <c r="C135" s="144">
        <f>VLOOKUP($A135,'Data shares'!$C:$FA,3)</f>
        <v>1008.4</v>
      </c>
      <c r="D135" s="144">
        <f>VLOOKUP($A135,'Data shares'!$C:$FA,23)</f>
        <v>1.65</v>
      </c>
      <c r="E135" s="145">
        <f>VLOOKUP($A135,'Data shares'!$C:$FA,26)*100</f>
        <v>0.16</v>
      </c>
      <c r="F135" s="144">
        <f>VLOOKUP($A135,'Data shares'!$C:$FA,24)</f>
        <v>-2.5499999999999998</v>
      </c>
      <c r="G135" s="144">
        <f>VLOOKUP($A135,'Data shares'!$C:$FA,25)</f>
        <v>4.2</v>
      </c>
    </row>
    <row r="136" spans="1:7" x14ac:dyDescent="0.25">
      <c r="A136" s="101" t="str">
        <f>'Data shares'!C132</f>
        <v>MAZDOCK</v>
      </c>
      <c r="B136" s="144">
        <f>VLOOKUP($A136,'Data shares'!$C:$FA,7)</f>
        <v>2693.8</v>
      </c>
      <c r="C136" s="144">
        <f>VLOOKUP($A136,'Data shares'!$C:$FA,3)</f>
        <v>2693.4</v>
      </c>
      <c r="D136" s="144">
        <f>VLOOKUP($A136,'Data shares'!$C:$FA,23)</f>
        <v>-0.4</v>
      </c>
      <c r="E136" s="145">
        <f>VLOOKUP($A136,'Data shares'!$C:$FA,26)*100</f>
        <v>-0.01</v>
      </c>
      <c r="F136" s="144">
        <f>VLOOKUP($A136,'Data shares'!$C:$FA,24)</f>
        <v>2.9</v>
      </c>
      <c r="G136" s="144">
        <f>VLOOKUP($A136,'Data shares'!$C:$FA,25)</f>
        <v>-3.3</v>
      </c>
    </row>
    <row r="137" spans="1:7" x14ac:dyDescent="0.25">
      <c r="A137" s="101" t="str">
        <f>'Data shares'!C133</f>
        <v>MCX</v>
      </c>
      <c r="B137" s="144">
        <f>VLOOKUP($A137,'Data shares'!$C:$FA,7)</f>
        <v>2791.4</v>
      </c>
      <c r="C137" s="144">
        <f>VLOOKUP($A137,'Data shares'!$C:$FA,3)</f>
        <v>2793.9</v>
      </c>
      <c r="D137" s="144">
        <f>VLOOKUP($A137,'Data shares'!$C:$FA,23)</f>
        <v>2.5</v>
      </c>
      <c r="E137" s="145">
        <f>VLOOKUP($A137,'Data shares'!$C:$FA,26)*100</f>
        <v>0.09</v>
      </c>
      <c r="F137" s="144">
        <f>VLOOKUP($A137,'Data shares'!$C:$FA,24)</f>
        <v>5.6</v>
      </c>
      <c r="G137" s="144">
        <f>VLOOKUP($A137,'Data shares'!$C:$FA,25)</f>
        <v>-3.1</v>
      </c>
    </row>
    <row r="138" spans="1:7" x14ac:dyDescent="0.25">
      <c r="A138" s="101" t="str">
        <f>'Data shares'!C134</f>
        <v>MFSL</v>
      </c>
      <c r="B138" s="144">
        <f>VLOOKUP($A138,'Data shares'!$C:$FA,7)</f>
        <v>1595.4</v>
      </c>
      <c r="C138" s="144">
        <f>VLOOKUP($A138,'Data shares'!$C:$FA,3)</f>
        <v>1595</v>
      </c>
      <c r="D138" s="144">
        <f>VLOOKUP($A138,'Data shares'!$C:$FA,23)</f>
        <v>-0.4</v>
      </c>
      <c r="E138" s="145">
        <f>VLOOKUP($A138,'Data shares'!$C:$FA,26)*100</f>
        <v>-0.03</v>
      </c>
      <c r="F138" s="144">
        <f>VLOOKUP($A138,'Data shares'!$C:$FA,24)</f>
        <v>5.4</v>
      </c>
      <c r="G138" s="144">
        <f>VLOOKUP($A138,'Data shares'!$C:$FA,25)</f>
        <v>-5.8</v>
      </c>
    </row>
    <row r="139" spans="1:7" x14ac:dyDescent="0.25">
      <c r="A139" s="101" t="str">
        <f>'Data shares'!C135</f>
        <v>MIDCPNIFTY</v>
      </c>
      <c r="B139" s="144">
        <f>VLOOKUP($A139,'Data shares'!$C:$FA,7)</f>
        <v>13848.55</v>
      </c>
      <c r="C139" s="144">
        <f>VLOOKUP($A139,'Data shares'!$C:$FA,3)</f>
        <v>13847.35</v>
      </c>
      <c r="D139" s="144">
        <f>VLOOKUP($A139,'Data shares'!$C:$FA,23)</f>
        <v>-1.2</v>
      </c>
      <c r="E139" s="145">
        <f>VLOOKUP($A139,'Data shares'!$C:$FA,26)*100</f>
        <v>-0.01</v>
      </c>
      <c r="F139" s="144">
        <f>VLOOKUP($A139,'Data shares'!$C:$FA,24)</f>
        <v>0</v>
      </c>
      <c r="G139" s="144">
        <f>VLOOKUP($A139,'Data shares'!$C:$FA,25)</f>
        <v>-1.2</v>
      </c>
    </row>
    <row r="140" spans="1:7" x14ac:dyDescent="0.25">
      <c r="A140" s="101" t="str">
        <f>'Data shares'!C136</f>
        <v>MOTHERSON</v>
      </c>
      <c r="B140" s="144">
        <f>VLOOKUP($A140,'Data shares'!$C:$FA,7)</f>
        <v>127.22</v>
      </c>
      <c r="C140" s="144">
        <f>VLOOKUP($A140,'Data shares'!$C:$FA,3)</f>
        <v>126.96</v>
      </c>
      <c r="D140" s="144">
        <f>VLOOKUP($A140,'Data shares'!$C:$FA,23)</f>
        <v>-0.26</v>
      </c>
      <c r="E140" s="145">
        <f>VLOOKUP($A140,'Data shares'!$C:$FA,26)*100</f>
        <v>-0.2</v>
      </c>
      <c r="F140" s="144">
        <f>VLOOKUP($A140,'Data shares'!$C:$FA,24)</f>
        <v>-0.21</v>
      </c>
      <c r="G140" s="144">
        <f>VLOOKUP($A140,'Data shares'!$C:$FA,25)</f>
        <v>-0.05</v>
      </c>
    </row>
    <row r="141" spans="1:7" x14ac:dyDescent="0.25">
      <c r="A141" s="101" t="str">
        <f>'Data shares'!C137</f>
        <v>MOTILALOFS</v>
      </c>
      <c r="B141" s="144">
        <f>VLOOKUP($A141,'Data shares'!$C:$FA,7)</f>
        <v>790.85</v>
      </c>
      <c r="C141" s="144">
        <f>VLOOKUP($A141,'Data shares'!$C:$FA,3)</f>
        <v>791.05</v>
      </c>
      <c r="D141" s="144">
        <f>VLOOKUP($A141,'Data shares'!$C:$FA,23)</f>
        <v>0.2</v>
      </c>
      <c r="E141" s="145">
        <f>VLOOKUP($A141,'Data shares'!$C:$FA,26)*100</f>
        <v>0.03</v>
      </c>
      <c r="F141" s="144">
        <f>VLOOKUP($A141,'Data shares'!$C:$FA,24)</f>
        <v>2.35</v>
      </c>
      <c r="G141" s="144">
        <f>VLOOKUP($A141,'Data shares'!$C:$FA,25)</f>
        <v>-2.15</v>
      </c>
    </row>
    <row r="142" spans="1:7" x14ac:dyDescent="0.25">
      <c r="A142" s="101" t="str">
        <f>'Data shares'!C138</f>
        <v>MPHASIS</v>
      </c>
      <c r="B142" s="144">
        <f>VLOOKUP($A142,'Data shares'!$C:$FA,7)</f>
        <v>2277</v>
      </c>
      <c r="C142" s="144">
        <f>VLOOKUP($A142,'Data shares'!$C:$FA,3)</f>
        <v>2275.6</v>
      </c>
      <c r="D142" s="144">
        <f>VLOOKUP($A142,'Data shares'!$C:$FA,23)</f>
        <v>-1.4</v>
      </c>
      <c r="E142" s="145">
        <f>VLOOKUP($A142,'Data shares'!$C:$FA,26)*100</f>
        <v>-0.06</v>
      </c>
      <c r="F142" s="144">
        <f>VLOOKUP($A142,'Data shares'!$C:$FA,24)</f>
        <v>9.9</v>
      </c>
      <c r="G142" s="144">
        <f>VLOOKUP($A142,'Data shares'!$C:$FA,25)</f>
        <v>-11.3</v>
      </c>
    </row>
    <row r="143" spans="1:7" x14ac:dyDescent="0.25">
      <c r="A143" s="101" t="str">
        <f>'Data shares'!C139</f>
        <v>MUTHOOTFIN</v>
      </c>
      <c r="B143" s="144">
        <f>VLOOKUP($A143,'Data shares'!$C:$FA,7)</f>
        <v>3561.4</v>
      </c>
      <c r="C143" s="144">
        <f>VLOOKUP($A143,'Data shares'!$C:$FA,3)</f>
        <v>3571.8</v>
      </c>
      <c r="D143" s="144">
        <f>VLOOKUP($A143,'Data shares'!$C:$FA,23)</f>
        <v>10.4</v>
      </c>
      <c r="E143" s="145">
        <f>VLOOKUP($A143,'Data shares'!$C:$FA,26)*100</f>
        <v>0.28999999999999998</v>
      </c>
      <c r="F143" s="144">
        <f>VLOOKUP($A143,'Data shares'!$C:$FA,24)</f>
        <v>10.5</v>
      </c>
      <c r="G143" s="144">
        <f>VLOOKUP($A143,'Data shares'!$C:$FA,25)</f>
        <v>-0.1</v>
      </c>
    </row>
    <row r="144" spans="1:7" x14ac:dyDescent="0.25">
      <c r="A144" s="101" t="str">
        <f>'Data shares'!C140</f>
        <v>NAM-INDIA</v>
      </c>
      <c r="B144" s="144">
        <f>VLOOKUP($A144,'Data shares'!$C:$FA,7)</f>
        <v>1031.95</v>
      </c>
      <c r="C144" s="144">
        <f>VLOOKUP($A144,'Data shares'!$C:$FA,3)</f>
        <v>1035.05</v>
      </c>
      <c r="D144" s="144">
        <f>VLOOKUP($A144,'Data shares'!$C:$FA,23)</f>
        <v>3.1</v>
      </c>
      <c r="E144" s="145">
        <f>VLOOKUP($A144,'Data shares'!$C:$FA,26)*100</f>
        <v>0.3</v>
      </c>
      <c r="F144" s="144">
        <f>VLOOKUP($A144,'Data shares'!$C:$FA,24)</f>
        <v>-7.05</v>
      </c>
      <c r="G144" s="144">
        <f>VLOOKUP($A144,'Data shares'!$C:$FA,25)</f>
        <v>10.15</v>
      </c>
    </row>
    <row r="145" spans="1:7" x14ac:dyDescent="0.25">
      <c r="A145" s="101" t="str">
        <f>'Data shares'!C141</f>
        <v>NATIONALUM</v>
      </c>
      <c r="B145" s="144">
        <f>VLOOKUP($A145,'Data shares'!$C:$FA,7)</f>
        <v>439.25</v>
      </c>
      <c r="C145" s="144">
        <f>VLOOKUP($A145,'Data shares'!$C:$FA,3)</f>
        <v>439.75</v>
      </c>
      <c r="D145" s="144">
        <f>VLOOKUP($A145,'Data shares'!$C:$FA,23)</f>
        <v>0.5</v>
      </c>
      <c r="E145" s="145">
        <f>VLOOKUP($A145,'Data shares'!$C:$FA,26)*100</f>
        <v>0.11</v>
      </c>
      <c r="F145" s="144">
        <f>VLOOKUP($A145,'Data shares'!$C:$FA,24)</f>
        <v>1</v>
      </c>
      <c r="G145" s="144">
        <f>VLOOKUP($A145,'Data shares'!$C:$FA,25)</f>
        <v>-0.5</v>
      </c>
    </row>
    <row r="146" spans="1:7" x14ac:dyDescent="0.25">
      <c r="A146" s="101" t="str">
        <f>'Data shares'!C142</f>
        <v>NAUKRI</v>
      </c>
      <c r="B146" s="144">
        <f>VLOOKUP($A146,'Data shares'!$C:$FA,7)</f>
        <v>1018.05</v>
      </c>
      <c r="C146" s="144">
        <f>VLOOKUP($A146,'Data shares'!$C:$FA,3)</f>
        <v>1021.1</v>
      </c>
      <c r="D146" s="144">
        <f>VLOOKUP($A146,'Data shares'!$C:$FA,23)</f>
        <v>3.05</v>
      </c>
      <c r="E146" s="145">
        <f>VLOOKUP($A146,'Data shares'!$C:$FA,26)*100</f>
        <v>0.3</v>
      </c>
      <c r="F146" s="144">
        <f>VLOOKUP($A146,'Data shares'!$C:$FA,24)</f>
        <v>0.4</v>
      </c>
      <c r="G146" s="144">
        <f>VLOOKUP($A146,'Data shares'!$C:$FA,25)</f>
        <v>2.65</v>
      </c>
    </row>
    <row r="147" spans="1:7" x14ac:dyDescent="0.25">
      <c r="A147" s="101" t="str">
        <f>'Data shares'!C143</f>
        <v>NBCC</v>
      </c>
      <c r="B147" s="144">
        <f>VLOOKUP($A147,'Data shares'!$C:$FA,7)</f>
        <v>93.31</v>
      </c>
      <c r="C147" s="144">
        <f>VLOOKUP($A147,'Data shares'!$C:$FA,3)</f>
        <v>93.4</v>
      </c>
      <c r="D147" s="144">
        <f>VLOOKUP($A147,'Data shares'!$C:$FA,23)</f>
        <v>0.09</v>
      </c>
      <c r="E147" s="145">
        <f>VLOOKUP($A147,'Data shares'!$C:$FA,26)*100</f>
        <v>0.1</v>
      </c>
      <c r="F147" s="144">
        <f>VLOOKUP($A147,'Data shares'!$C:$FA,24)</f>
        <v>0.26</v>
      </c>
      <c r="G147" s="144">
        <f>VLOOKUP($A147,'Data shares'!$C:$FA,25)</f>
        <v>-0.17</v>
      </c>
    </row>
    <row r="148" spans="1:7" x14ac:dyDescent="0.25">
      <c r="A148" s="101" t="str">
        <f>'Data shares'!C144</f>
        <v>NESTLEIND</v>
      </c>
      <c r="B148" s="144">
        <f>VLOOKUP($A148,'Data shares'!$C:$FA,7)</f>
        <v>1410.5</v>
      </c>
      <c r="C148" s="144">
        <f>VLOOKUP($A148,'Data shares'!$C:$FA,3)</f>
        <v>1408.6</v>
      </c>
      <c r="D148" s="144">
        <f>VLOOKUP($A148,'Data shares'!$C:$FA,23)</f>
        <v>-1.9</v>
      </c>
      <c r="E148" s="145">
        <f>VLOOKUP($A148,'Data shares'!$C:$FA,26)*100</f>
        <v>-0.13</v>
      </c>
      <c r="F148" s="144">
        <f>VLOOKUP($A148,'Data shares'!$C:$FA,24)</f>
        <v>-1.7</v>
      </c>
      <c r="G148" s="144">
        <f>VLOOKUP($A148,'Data shares'!$C:$FA,25)</f>
        <v>-0.2</v>
      </c>
    </row>
    <row r="149" spans="1:7" x14ac:dyDescent="0.25">
      <c r="A149" s="101" t="str">
        <f>'Data shares'!C145</f>
        <v>NHPC</v>
      </c>
      <c r="B149" s="144">
        <f>VLOOKUP($A149,'Data shares'!$C:$FA,7)</f>
        <v>81.459999999999994</v>
      </c>
      <c r="C149" s="144">
        <f>VLOOKUP($A149,'Data shares'!$C:$FA,3)</f>
        <v>81.38</v>
      </c>
      <c r="D149" s="144">
        <f>VLOOKUP($A149,'Data shares'!$C:$FA,23)</f>
        <v>-0.08</v>
      </c>
      <c r="E149" s="145">
        <f>VLOOKUP($A149,'Data shares'!$C:$FA,26)*100</f>
        <v>-0.1</v>
      </c>
      <c r="F149" s="144">
        <f>VLOOKUP($A149,'Data shares'!$C:$FA,24)</f>
        <v>0.18</v>
      </c>
      <c r="G149" s="144">
        <f>VLOOKUP($A149,'Data shares'!$C:$FA,25)</f>
        <v>-0.26</v>
      </c>
    </row>
    <row r="150" spans="1:7" x14ac:dyDescent="0.25">
      <c r="A150" s="101" t="str">
        <f>'Data shares'!C146</f>
        <v>NIFTY</v>
      </c>
      <c r="B150" s="144">
        <f>VLOOKUP($A150,'Data shares'!$C:$FA,7)</f>
        <v>24173.05</v>
      </c>
      <c r="C150" s="144">
        <f>VLOOKUP($A150,'Data shares'!$C:$FA,3)</f>
        <v>24163</v>
      </c>
      <c r="D150" s="144">
        <f>VLOOKUP($A150,'Data shares'!$C:$FA,23)</f>
        <v>-10.050000000000001</v>
      </c>
      <c r="E150" s="145">
        <f>VLOOKUP($A150,'Data shares'!$C:$FA,26)*100</f>
        <v>-0.04</v>
      </c>
      <c r="F150" s="144">
        <f>VLOOKUP($A150,'Data shares'!$C:$FA,24)</f>
        <v>3.1</v>
      </c>
      <c r="G150" s="144">
        <f>VLOOKUP($A150,'Data shares'!$C:$FA,25)</f>
        <v>-13.15</v>
      </c>
    </row>
    <row r="151" spans="1:7" x14ac:dyDescent="0.25">
      <c r="A151" s="101" t="str">
        <f>'Data shares'!C147</f>
        <v>NIFTYNXT50</v>
      </c>
      <c r="B151" s="144">
        <f>VLOOKUP($A151,'Data shares'!$C:$FA,7)</f>
        <v>70410.350000000006</v>
      </c>
      <c r="C151" s="144">
        <f>VLOOKUP($A151,'Data shares'!$C:$FA,3)</f>
        <v>70376</v>
      </c>
      <c r="D151" s="144">
        <f>VLOOKUP($A151,'Data shares'!$C:$FA,23)</f>
        <v>-34.35</v>
      </c>
      <c r="E151" s="145">
        <f>VLOOKUP($A151,'Data shares'!$C:$FA,26)*100</f>
        <v>-0.05</v>
      </c>
      <c r="F151" s="144">
        <f>VLOOKUP($A151,'Data shares'!$C:$FA,24)</f>
        <v>3</v>
      </c>
      <c r="G151" s="144">
        <f>VLOOKUP($A151,'Data shares'!$C:$FA,25)</f>
        <v>-37.35</v>
      </c>
    </row>
    <row r="152" spans="1:7" x14ac:dyDescent="0.25">
      <c r="A152" s="101" t="str">
        <f>'Data shares'!C148</f>
        <v>NMDC</v>
      </c>
      <c r="B152" s="144">
        <f>VLOOKUP($A152,'Data shares'!$C:$FA,7)</f>
        <v>87.31</v>
      </c>
      <c r="C152" s="144">
        <f>VLOOKUP($A152,'Data shares'!$C:$FA,3)</f>
        <v>87.42</v>
      </c>
      <c r="D152" s="144">
        <f>VLOOKUP($A152,'Data shares'!$C:$FA,23)</f>
        <v>0.11</v>
      </c>
      <c r="E152" s="145">
        <f>VLOOKUP($A152,'Data shares'!$C:$FA,26)*100</f>
        <v>0.13</v>
      </c>
      <c r="F152" s="144">
        <f>VLOOKUP($A152,'Data shares'!$C:$FA,24)</f>
        <v>-7.0000000000000007E-2</v>
      </c>
      <c r="G152" s="144">
        <f>VLOOKUP($A152,'Data shares'!$C:$FA,25)</f>
        <v>0.18</v>
      </c>
    </row>
    <row r="153" spans="1:7" x14ac:dyDescent="0.25">
      <c r="A153" s="101" t="str">
        <f>'Data shares'!C149</f>
        <v>NTPC</v>
      </c>
      <c r="B153" s="144">
        <f>VLOOKUP($A153,'Data shares'!$C:$FA,7)</f>
        <v>402.25</v>
      </c>
      <c r="C153" s="144">
        <f>VLOOKUP($A153,'Data shares'!$C:$FA,3)</f>
        <v>401.75</v>
      </c>
      <c r="D153" s="144">
        <f>VLOOKUP($A153,'Data shares'!$C:$FA,23)</f>
        <v>-0.5</v>
      </c>
      <c r="E153" s="145">
        <f>VLOOKUP($A153,'Data shares'!$C:$FA,26)*100</f>
        <v>-0.12</v>
      </c>
      <c r="F153" s="144">
        <f>VLOOKUP($A153,'Data shares'!$C:$FA,24)</f>
        <v>-0.5</v>
      </c>
      <c r="G153" s="144">
        <f>VLOOKUP($A153,'Data shares'!$C:$FA,25)</f>
        <v>0</v>
      </c>
    </row>
    <row r="154" spans="1:7" x14ac:dyDescent="0.25">
      <c r="A154" s="101" t="str">
        <f>'Data shares'!C150</f>
        <v>NUVAMA</v>
      </c>
      <c r="B154" s="144">
        <f>VLOOKUP($A154,'Data shares'!$C:$FA,7)</f>
        <v>1376.7</v>
      </c>
      <c r="C154" s="144">
        <f>VLOOKUP($A154,'Data shares'!$C:$FA,3)</f>
        <v>1377.9</v>
      </c>
      <c r="D154" s="144">
        <f>VLOOKUP($A154,'Data shares'!$C:$FA,23)</f>
        <v>1.2</v>
      </c>
      <c r="E154" s="145">
        <f>VLOOKUP($A154,'Data shares'!$C:$FA,26)*100</f>
        <v>0.09</v>
      </c>
      <c r="F154" s="144">
        <f>VLOOKUP($A154,'Data shares'!$C:$FA,24)</f>
        <v>3.8</v>
      </c>
      <c r="G154" s="144">
        <f>VLOOKUP($A154,'Data shares'!$C:$FA,25)</f>
        <v>-2.6</v>
      </c>
    </row>
    <row r="155" spans="1:7" x14ac:dyDescent="0.25">
      <c r="A155" s="101" t="str">
        <f>'Data shares'!C151</f>
        <v>NYKAA</v>
      </c>
      <c r="B155" s="144">
        <f>VLOOKUP($A155,'Data shares'!$C:$FA,7)</f>
        <v>261.85000000000002</v>
      </c>
      <c r="C155" s="144">
        <f>VLOOKUP($A155,'Data shares'!$C:$FA,3)</f>
        <v>261.62</v>
      </c>
      <c r="D155" s="144">
        <f>VLOOKUP($A155,'Data shares'!$C:$FA,23)</f>
        <v>-0.23</v>
      </c>
      <c r="E155" s="145">
        <f>VLOOKUP($A155,'Data shares'!$C:$FA,26)*100</f>
        <v>-0.09</v>
      </c>
      <c r="F155" s="144">
        <f>VLOOKUP($A155,'Data shares'!$C:$FA,24)</f>
        <v>0.94</v>
      </c>
      <c r="G155" s="144">
        <f>VLOOKUP($A155,'Data shares'!$C:$FA,25)</f>
        <v>-1.17</v>
      </c>
    </row>
    <row r="156" spans="1:7" x14ac:dyDescent="0.25">
      <c r="A156" s="101" t="str">
        <f>'Data shares'!C152</f>
        <v>OBEROIRLTY</v>
      </c>
      <c r="B156" s="144">
        <f>VLOOKUP($A156,'Data shares'!$C:$FA,7)</f>
        <v>1707.7</v>
      </c>
      <c r="C156" s="144">
        <f>VLOOKUP($A156,'Data shares'!$C:$FA,3)</f>
        <v>1709.6</v>
      </c>
      <c r="D156" s="144">
        <f>VLOOKUP($A156,'Data shares'!$C:$FA,23)</f>
        <v>1.9</v>
      </c>
      <c r="E156" s="145">
        <f>VLOOKUP($A156,'Data shares'!$C:$FA,26)*100</f>
        <v>0.11</v>
      </c>
      <c r="F156" s="144">
        <f>VLOOKUP($A156,'Data shares'!$C:$FA,24)</f>
        <v>0.2</v>
      </c>
      <c r="G156" s="144">
        <f>VLOOKUP($A156,'Data shares'!$C:$FA,25)</f>
        <v>1.7</v>
      </c>
    </row>
    <row r="157" spans="1:7" x14ac:dyDescent="0.25">
      <c r="A157" s="101" t="str">
        <f>'Data shares'!C153</f>
        <v>OFSS</v>
      </c>
      <c r="B157" s="144">
        <f>VLOOKUP($A157,'Data shares'!$C:$FA,7)</f>
        <v>8791.5</v>
      </c>
      <c r="C157" s="144">
        <f>VLOOKUP($A157,'Data shares'!$C:$FA,3)</f>
        <v>8783</v>
      </c>
      <c r="D157" s="144">
        <f>VLOOKUP($A157,'Data shares'!$C:$FA,23)</f>
        <v>-8.5</v>
      </c>
      <c r="E157" s="145">
        <f>VLOOKUP($A157,'Data shares'!$C:$FA,26)*100</f>
        <v>-0.1</v>
      </c>
      <c r="F157" s="144">
        <f>VLOOKUP($A157,'Data shares'!$C:$FA,24)</f>
        <v>34</v>
      </c>
      <c r="G157" s="144">
        <f>VLOOKUP($A157,'Data shares'!$C:$FA,25)</f>
        <v>-42.5</v>
      </c>
    </row>
    <row r="158" spans="1:7" x14ac:dyDescent="0.25">
      <c r="A158" s="101" t="str">
        <f>'Data shares'!C154</f>
        <v>OIL</v>
      </c>
      <c r="B158" s="144">
        <f>VLOOKUP($A158,'Data shares'!$C:$FA,7)</f>
        <v>473.9</v>
      </c>
      <c r="C158" s="144">
        <f>VLOOKUP($A158,'Data shares'!$C:$FA,3)</f>
        <v>474.3</v>
      </c>
      <c r="D158" s="144">
        <f>VLOOKUP($A158,'Data shares'!$C:$FA,23)</f>
        <v>0.4</v>
      </c>
      <c r="E158" s="145">
        <f>VLOOKUP($A158,'Data shares'!$C:$FA,26)*100</f>
        <v>0.08</v>
      </c>
      <c r="F158" s="144">
        <f>VLOOKUP($A158,'Data shares'!$C:$FA,24)</f>
        <v>1.25</v>
      </c>
      <c r="G158" s="144">
        <f>VLOOKUP($A158,'Data shares'!$C:$FA,25)</f>
        <v>-0.85</v>
      </c>
    </row>
    <row r="159" spans="1:7" x14ac:dyDescent="0.25">
      <c r="A159" s="101" t="str">
        <f>'Data shares'!C155</f>
        <v>ONGC</v>
      </c>
      <c r="B159" s="144">
        <f>VLOOKUP($A159,'Data shares'!$C:$FA,7)</f>
        <v>286.25</v>
      </c>
      <c r="C159" s="144">
        <f>VLOOKUP($A159,'Data shares'!$C:$FA,3)</f>
        <v>286.64999999999998</v>
      </c>
      <c r="D159" s="144">
        <f>VLOOKUP($A159,'Data shares'!$C:$FA,23)</f>
        <v>0.4</v>
      </c>
      <c r="E159" s="145">
        <f>VLOOKUP($A159,'Data shares'!$C:$FA,26)*100</f>
        <v>0.13999999999999999</v>
      </c>
      <c r="F159" s="144">
        <f>VLOOKUP($A159,'Data shares'!$C:$FA,24)</f>
        <v>0.85</v>
      </c>
      <c r="G159" s="144">
        <f>VLOOKUP($A159,'Data shares'!$C:$FA,25)</f>
        <v>-0.45</v>
      </c>
    </row>
    <row r="160" spans="1:7" x14ac:dyDescent="0.25">
      <c r="A160" s="101" t="str">
        <f>'Data shares'!C156</f>
        <v>PAGEIND</v>
      </c>
      <c r="B160" s="144">
        <f>VLOOKUP($A160,'Data shares'!$C:$FA,7)</f>
        <v>37965</v>
      </c>
      <c r="C160" s="144">
        <f>VLOOKUP($A160,'Data shares'!$C:$FA,3)</f>
        <v>37995</v>
      </c>
      <c r="D160" s="144">
        <f>VLOOKUP($A160,'Data shares'!$C:$FA,23)</f>
        <v>30</v>
      </c>
      <c r="E160" s="145">
        <f>VLOOKUP($A160,'Data shares'!$C:$FA,26)*100</f>
        <v>0.08</v>
      </c>
      <c r="F160" s="144">
        <f>VLOOKUP($A160,'Data shares'!$C:$FA,24)</f>
        <v>130</v>
      </c>
      <c r="G160" s="144">
        <f>VLOOKUP($A160,'Data shares'!$C:$FA,25)</f>
        <v>-100</v>
      </c>
    </row>
    <row r="161" spans="1:7" x14ac:dyDescent="0.25">
      <c r="A161" s="101" t="str">
        <f>'Data shares'!C157</f>
        <v>PATANJALI</v>
      </c>
      <c r="B161" s="144">
        <f>VLOOKUP($A161,'Data shares'!$C:$FA,7)</f>
        <v>469.25</v>
      </c>
      <c r="C161" s="144">
        <f>VLOOKUP($A161,'Data shares'!$C:$FA,3)</f>
        <v>468.1</v>
      </c>
      <c r="D161" s="144">
        <f>VLOOKUP($A161,'Data shares'!$C:$FA,23)</f>
        <v>-1.1499999999999999</v>
      </c>
      <c r="E161" s="145">
        <f>VLOOKUP($A161,'Data shares'!$C:$FA,26)*100</f>
        <v>-0.25</v>
      </c>
      <c r="F161" s="144">
        <f>VLOOKUP($A161,'Data shares'!$C:$FA,24)</f>
        <v>-1.2</v>
      </c>
      <c r="G161" s="144">
        <f>VLOOKUP($A161,'Data shares'!$C:$FA,25)</f>
        <v>0.05</v>
      </c>
    </row>
    <row r="162" spans="1:7" x14ac:dyDescent="0.25">
      <c r="A162" s="101" t="str">
        <f>'Data shares'!C158</f>
        <v>PAYTM</v>
      </c>
      <c r="B162" s="144">
        <f>VLOOKUP($A162,'Data shares'!$C:$FA,7)</f>
        <v>1159.55</v>
      </c>
      <c r="C162" s="144">
        <f>VLOOKUP($A162,'Data shares'!$C:$FA,3)</f>
        <v>1157.05</v>
      </c>
      <c r="D162" s="144">
        <f>VLOOKUP($A162,'Data shares'!$C:$FA,23)</f>
        <v>-2.5</v>
      </c>
      <c r="E162" s="145">
        <f>VLOOKUP($A162,'Data shares'!$C:$FA,26)*100</f>
        <v>-0.22</v>
      </c>
      <c r="F162" s="144">
        <f>VLOOKUP($A162,'Data shares'!$C:$FA,24)</f>
        <v>1.55</v>
      </c>
      <c r="G162" s="144">
        <f>VLOOKUP($A162,'Data shares'!$C:$FA,25)</f>
        <v>-4.05</v>
      </c>
    </row>
    <row r="163" spans="1:7" x14ac:dyDescent="0.25">
      <c r="A163" s="101" t="str">
        <f>'Data shares'!C159</f>
        <v>PERSISTENT</v>
      </c>
      <c r="B163" s="144">
        <f>VLOOKUP($A163,'Data shares'!$C:$FA,7)</f>
        <v>5065.2</v>
      </c>
      <c r="C163" s="144">
        <f>VLOOKUP($A163,'Data shares'!$C:$FA,3)</f>
        <v>5068.8</v>
      </c>
      <c r="D163" s="144">
        <f>VLOOKUP($A163,'Data shares'!$C:$FA,23)</f>
        <v>3.6</v>
      </c>
      <c r="E163" s="145">
        <f>VLOOKUP($A163,'Data shares'!$C:$FA,26)*100</f>
        <v>6.9999999999999993E-2</v>
      </c>
      <c r="F163" s="144">
        <f>VLOOKUP($A163,'Data shares'!$C:$FA,24)</f>
        <v>18.5</v>
      </c>
      <c r="G163" s="144">
        <f>VLOOKUP($A163,'Data shares'!$C:$FA,25)</f>
        <v>-14.9</v>
      </c>
    </row>
    <row r="164" spans="1:7" x14ac:dyDescent="0.25">
      <c r="A164" s="101" t="str">
        <f>'Data shares'!C160</f>
        <v>PETRONET</v>
      </c>
      <c r="B164" s="144">
        <f>VLOOKUP($A164,'Data shares'!$C:$FA,7)</f>
        <v>275.81</v>
      </c>
      <c r="C164" s="144">
        <f>VLOOKUP($A164,'Data shares'!$C:$FA,3)</f>
        <v>275.60000000000002</v>
      </c>
      <c r="D164" s="144">
        <f>VLOOKUP($A164,'Data shares'!$C:$FA,23)</f>
        <v>-0.21</v>
      </c>
      <c r="E164" s="145">
        <f>VLOOKUP($A164,'Data shares'!$C:$FA,26)*100</f>
        <v>-0.08</v>
      </c>
      <c r="F164" s="144">
        <f>VLOOKUP($A164,'Data shares'!$C:$FA,24)</f>
        <v>0.09</v>
      </c>
      <c r="G164" s="144">
        <f>VLOOKUP($A164,'Data shares'!$C:$FA,25)</f>
        <v>-0.3</v>
      </c>
    </row>
    <row r="165" spans="1:7" x14ac:dyDescent="0.25">
      <c r="A165" s="101" t="str">
        <f>'Data shares'!C161</f>
        <v>PFC</v>
      </c>
      <c r="B165" s="144">
        <f>VLOOKUP($A165,'Data shares'!$C:$FA,7)</f>
        <v>469.8</v>
      </c>
      <c r="C165" s="144">
        <f>VLOOKUP($A165,'Data shares'!$C:$FA,3)</f>
        <v>469</v>
      </c>
      <c r="D165" s="144">
        <f>VLOOKUP($A165,'Data shares'!$C:$FA,23)</f>
        <v>-0.8</v>
      </c>
      <c r="E165" s="145">
        <f>VLOOKUP($A165,'Data shares'!$C:$FA,26)*100</f>
        <v>-0.16999999999999998</v>
      </c>
      <c r="F165" s="144">
        <f>VLOOKUP($A165,'Data shares'!$C:$FA,24)</f>
        <v>0.55000000000000004</v>
      </c>
      <c r="G165" s="144">
        <f>VLOOKUP($A165,'Data shares'!$C:$FA,25)</f>
        <v>-1.35</v>
      </c>
    </row>
    <row r="166" spans="1:7" x14ac:dyDescent="0.25">
      <c r="A166" s="101" t="str">
        <f>'Data shares'!C162</f>
        <v>PGEL</v>
      </c>
      <c r="B166" s="144">
        <f>VLOOKUP($A166,'Data shares'!$C:$FA,7)</f>
        <v>550.5</v>
      </c>
      <c r="C166" s="144">
        <f>VLOOKUP($A166,'Data shares'!$C:$FA,3)</f>
        <v>552.15</v>
      </c>
      <c r="D166" s="144">
        <f>VLOOKUP($A166,'Data shares'!$C:$FA,23)</f>
        <v>1.65</v>
      </c>
      <c r="E166" s="145">
        <f>VLOOKUP($A166,'Data shares'!$C:$FA,26)*100</f>
        <v>0.3</v>
      </c>
      <c r="F166" s="144">
        <f>VLOOKUP($A166,'Data shares'!$C:$FA,24)</f>
        <v>2.1</v>
      </c>
      <c r="G166" s="144">
        <f>VLOOKUP($A166,'Data shares'!$C:$FA,25)</f>
        <v>-0.45</v>
      </c>
    </row>
    <row r="167" spans="1:7" x14ac:dyDescent="0.25">
      <c r="A167" s="101" t="str">
        <f>'Data shares'!C163</f>
        <v>PHOENIXLTD</v>
      </c>
      <c r="B167" s="144">
        <f>VLOOKUP($A167,'Data shares'!$C:$FA,7)</f>
        <v>1785.3</v>
      </c>
      <c r="C167" s="144">
        <f>VLOOKUP($A167,'Data shares'!$C:$FA,3)</f>
        <v>1786.2</v>
      </c>
      <c r="D167" s="144">
        <f>VLOOKUP($A167,'Data shares'!$C:$FA,23)</f>
        <v>0.9</v>
      </c>
      <c r="E167" s="145">
        <f>VLOOKUP($A167,'Data shares'!$C:$FA,26)*100</f>
        <v>0.05</v>
      </c>
      <c r="F167" s="144">
        <f>VLOOKUP($A167,'Data shares'!$C:$FA,24)</f>
        <v>1</v>
      </c>
      <c r="G167" s="144">
        <f>VLOOKUP($A167,'Data shares'!$C:$FA,25)</f>
        <v>-0.1</v>
      </c>
    </row>
    <row r="168" spans="1:7" s="175" customFormat="1" x14ac:dyDescent="0.25">
      <c r="A168" s="101" t="str">
        <f>'Data shares'!C164</f>
        <v>PIDILITIND</v>
      </c>
      <c r="B168" s="144">
        <f>VLOOKUP($A168,'Data shares'!$C:$FA,7)</f>
        <v>1402.1</v>
      </c>
      <c r="C168" s="144">
        <f>VLOOKUP($A168,'Data shares'!$C:$FA,3)</f>
        <v>1400.9</v>
      </c>
      <c r="D168" s="144">
        <f>VLOOKUP($A168,'Data shares'!$C:$FA,23)</f>
        <v>-1.2</v>
      </c>
      <c r="E168" s="145">
        <f>VLOOKUP($A168,'Data shares'!$C:$FA,26)*100</f>
        <v>-0.09</v>
      </c>
      <c r="F168" s="144">
        <f>VLOOKUP($A168,'Data shares'!$C:$FA,24)</f>
        <v>1.8</v>
      </c>
      <c r="G168" s="144">
        <f>VLOOKUP($A168,'Data shares'!$C:$FA,25)</f>
        <v>-3</v>
      </c>
    </row>
    <row r="169" spans="1:7" x14ac:dyDescent="0.25">
      <c r="A169" s="101" t="str">
        <f>'Data shares'!C165</f>
        <v>PIIND</v>
      </c>
      <c r="B169" s="144">
        <f>VLOOKUP($A169,'Data shares'!$C:$FA,7)</f>
        <v>3069.6</v>
      </c>
      <c r="C169" s="144">
        <f>VLOOKUP($A169,'Data shares'!$C:$FA,3)</f>
        <v>3077.9</v>
      </c>
      <c r="D169" s="144">
        <f>VLOOKUP($A169,'Data shares'!$C:$FA,23)</f>
        <v>8.3000000000000007</v>
      </c>
      <c r="E169" s="145">
        <f>VLOOKUP($A169,'Data shares'!$C:$FA,26)*100</f>
        <v>0.27</v>
      </c>
      <c r="F169" s="144">
        <f>VLOOKUP($A169,'Data shares'!$C:$FA,24)</f>
        <v>10.8</v>
      </c>
      <c r="G169" s="144">
        <f>VLOOKUP($A169,'Data shares'!$C:$FA,25)</f>
        <v>-2.5</v>
      </c>
    </row>
    <row r="170" spans="1:7" x14ac:dyDescent="0.25">
      <c r="A170" s="101" t="str">
        <f>'Data shares'!C166</f>
        <v>PNB</v>
      </c>
      <c r="B170" s="144">
        <f>VLOOKUP($A170,'Data shares'!$C:$FA,7)</f>
        <v>112.71</v>
      </c>
      <c r="C170" s="144">
        <f>VLOOKUP($A170,'Data shares'!$C:$FA,3)</f>
        <v>112.76</v>
      </c>
      <c r="D170" s="144">
        <f>VLOOKUP($A170,'Data shares'!$C:$FA,23)</f>
        <v>0.05</v>
      </c>
      <c r="E170" s="145">
        <f>VLOOKUP($A170,'Data shares'!$C:$FA,26)*100</f>
        <v>0.04</v>
      </c>
      <c r="F170" s="144">
        <f>VLOOKUP($A170,'Data shares'!$C:$FA,24)</f>
        <v>0.01</v>
      </c>
      <c r="G170" s="144">
        <f>VLOOKUP($A170,'Data shares'!$C:$FA,25)</f>
        <v>0.04</v>
      </c>
    </row>
    <row r="171" spans="1:7" x14ac:dyDescent="0.25">
      <c r="A171" s="101" t="str">
        <f>'Data shares'!C167</f>
        <v>PNBHOUSING</v>
      </c>
      <c r="B171" s="144">
        <f>VLOOKUP($A171,'Data shares'!$C:$FA,7)</f>
        <v>1007.75</v>
      </c>
      <c r="C171" s="144">
        <f>VLOOKUP($A171,'Data shares'!$C:$FA,3)</f>
        <v>1008.9</v>
      </c>
      <c r="D171" s="144">
        <f>VLOOKUP($A171,'Data shares'!$C:$FA,23)</f>
        <v>1.1499999999999999</v>
      </c>
      <c r="E171" s="145">
        <f>VLOOKUP($A171,'Data shares'!$C:$FA,26)*100</f>
        <v>0.11</v>
      </c>
      <c r="F171" s="144">
        <f>VLOOKUP($A171,'Data shares'!$C:$FA,24)</f>
        <v>2.2000000000000002</v>
      </c>
      <c r="G171" s="144">
        <f>VLOOKUP($A171,'Data shares'!$C:$FA,25)</f>
        <v>-1.05</v>
      </c>
    </row>
    <row r="172" spans="1:7" x14ac:dyDescent="0.25">
      <c r="A172" s="101" t="str">
        <f>'Data shares'!C168</f>
        <v>POLICYBZR</v>
      </c>
      <c r="B172" s="144">
        <f>VLOOKUP($A172,'Data shares'!$C:$FA,7)</f>
        <v>1670.8</v>
      </c>
      <c r="C172" s="144">
        <f>VLOOKUP($A172,'Data shares'!$C:$FA,3)</f>
        <v>1671.9</v>
      </c>
      <c r="D172" s="144">
        <f>VLOOKUP($A172,'Data shares'!$C:$FA,23)</f>
        <v>1.1000000000000001</v>
      </c>
      <c r="E172" s="145">
        <f>VLOOKUP($A172,'Data shares'!$C:$FA,26)*100</f>
        <v>6.9999999999999993E-2</v>
      </c>
      <c r="F172" s="144">
        <f>VLOOKUP($A172,'Data shares'!$C:$FA,24)</f>
        <v>-1.9</v>
      </c>
      <c r="G172" s="144">
        <f>VLOOKUP($A172,'Data shares'!$C:$FA,25)</f>
        <v>3</v>
      </c>
    </row>
    <row r="173" spans="1:7" x14ac:dyDescent="0.25">
      <c r="A173" s="101" t="str">
        <f>'Data shares'!C169</f>
        <v>POLYCAB</v>
      </c>
      <c r="B173" s="144">
        <f>VLOOKUP($A173,'Data shares'!$C:$FA,7)</f>
        <v>7963.5</v>
      </c>
      <c r="C173" s="144">
        <f>VLOOKUP($A173,'Data shares'!$C:$FA,3)</f>
        <v>7995.5</v>
      </c>
      <c r="D173" s="144">
        <f>VLOOKUP($A173,'Data shares'!$C:$FA,23)</f>
        <v>32</v>
      </c>
      <c r="E173" s="145">
        <f>VLOOKUP($A173,'Data shares'!$C:$FA,26)*100</f>
        <v>0.4</v>
      </c>
      <c r="F173" s="144">
        <f>VLOOKUP($A173,'Data shares'!$C:$FA,24)</f>
        <v>22</v>
      </c>
      <c r="G173" s="144">
        <f>VLOOKUP($A173,'Data shares'!$C:$FA,25)</f>
        <v>10</v>
      </c>
    </row>
    <row r="174" spans="1:7" x14ac:dyDescent="0.25">
      <c r="A174" s="101" t="str">
        <f>'Data shares'!C170</f>
        <v>POWERGRID</v>
      </c>
      <c r="B174" s="144">
        <f>VLOOKUP($A174,'Data shares'!$C:$FA,7)</f>
        <v>319.14999999999998</v>
      </c>
      <c r="C174" s="144">
        <f>VLOOKUP($A174,'Data shares'!$C:$FA,3)</f>
        <v>318.25</v>
      </c>
      <c r="D174" s="144">
        <f>VLOOKUP($A174,'Data shares'!$C:$FA,23)</f>
        <v>-0.9</v>
      </c>
      <c r="E174" s="145">
        <f>VLOOKUP($A174,'Data shares'!$C:$FA,26)*100</f>
        <v>-0.27999999999999997</v>
      </c>
      <c r="F174" s="144">
        <f>VLOOKUP($A174,'Data shares'!$C:$FA,24)</f>
        <v>0.05</v>
      </c>
      <c r="G174" s="144">
        <f>VLOOKUP($A174,'Data shares'!$C:$FA,25)</f>
        <v>-0.95</v>
      </c>
    </row>
    <row r="175" spans="1:7" x14ac:dyDescent="0.25">
      <c r="A175" s="101" t="str">
        <f>'Data shares'!C171</f>
        <v>POWERINDIA</v>
      </c>
      <c r="B175" s="144">
        <f>VLOOKUP($A175,'Data shares'!$C:$FA,7)</f>
        <v>31720</v>
      </c>
      <c r="C175" s="144">
        <f>VLOOKUP($A175,'Data shares'!$C:$FA,3)</f>
        <v>31715</v>
      </c>
      <c r="D175" s="144">
        <f>VLOOKUP($A175,'Data shares'!$C:$FA,23)</f>
        <v>-5</v>
      </c>
      <c r="E175" s="145">
        <f>VLOOKUP($A175,'Data shares'!$C:$FA,26)*100</f>
        <v>-0.02</v>
      </c>
      <c r="F175" s="144">
        <f>VLOOKUP($A175,'Data shares'!$C:$FA,24)</f>
        <v>80</v>
      </c>
      <c r="G175" s="144">
        <f>VLOOKUP($A175,'Data shares'!$C:$FA,25)</f>
        <v>-85</v>
      </c>
    </row>
    <row r="176" spans="1:7" x14ac:dyDescent="0.25">
      <c r="A176" s="101" t="str">
        <f>'Data shares'!C172</f>
        <v>PPLPHARMA</v>
      </c>
      <c r="B176" s="144">
        <f>VLOOKUP($A176,'Data shares'!$C:$FA,7)</f>
        <v>163.87</v>
      </c>
      <c r="C176" s="144">
        <f>VLOOKUP($A176,'Data shares'!$C:$FA,3)</f>
        <v>163.41</v>
      </c>
      <c r="D176" s="144">
        <f>VLOOKUP($A176,'Data shares'!$C:$FA,23)</f>
        <v>-0.46</v>
      </c>
      <c r="E176" s="145">
        <f>VLOOKUP($A176,'Data shares'!$C:$FA,26)*100</f>
        <v>-0.27999999999999997</v>
      </c>
      <c r="F176" s="144">
        <f>VLOOKUP($A176,'Data shares'!$C:$FA,24)</f>
        <v>-1.38</v>
      </c>
      <c r="G176" s="144">
        <f>VLOOKUP($A176,'Data shares'!$C:$FA,25)</f>
        <v>0.92</v>
      </c>
    </row>
    <row r="177" spans="1:7" x14ac:dyDescent="0.25">
      <c r="A177" s="101" t="str">
        <f>'Data shares'!C173</f>
        <v>PREMIERENE</v>
      </c>
      <c r="B177" s="144">
        <f>VLOOKUP($A177,'Data shares'!$C:$FA,7)</f>
        <v>1000.7</v>
      </c>
      <c r="C177" s="144">
        <f>VLOOKUP($A177,'Data shares'!$C:$FA,3)</f>
        <v>1000.7</v>
      </c>
      <c r="D177" s="144">
        <f>VLOOKUP($A177,'Data shares'!$C:$FA,23)</f>
        <v>0</v>
      </c>
      <c r="E177" s="145">
        <f>VLOOKUP($A177,'Data shares'!$C:$FA,26)*100</f>
        <v>0</v>
      </c>
      <c r="F177" s="144">
        <f>VLOOKUP($A177,'Data shares'!$C:$FA,24)</f>
        <v>3</v>
      </c>
      <c r="G177" s="144">
        <f>VLOOKUP($A177,'Data shares'!$C:$FA,25)</f>
        <v>-3</v>
      </c>
    </row>
    <row r="178" spans="1:7" x14ac:dyDescent="0.25">
      <c r="A178" s="101" t="str">
        <f>'Data shares'!C174</f>
        <v>PRESTIGE</v>
      </c>
      <c r="B178" s="144">
        <f>VLOOKUP($A178,'Data shares'!$C:$FA,7)</f>
        <v>1384.2</v>
      </c>
      <c r="C178" s="144">
        <f>VLOOKUP($A178,'Data shares'!$C:$FA,3)</f>
        <v>1386.6</v>
      </c>
      <c r="D178" s="144">
        <f>VLOOKUP($A178,'Data shares'!$C:$FA,23)</f>
        <v>2.4</v>
      </c>
      <c r="E178" s="145">
        <f>VLOOKUP($A178,'Data shares'!$C:$FA,26)*100</f>
        <v>0.16999999999999998</v>
      </c>
      <c r="F178" s="144">
        <f>VLOOKUP($A178,'Data shares'!$C:$FA,24)</f>
        <v>-0.8</v>
      </c>
      <c r="G178" s="144">
        <f>VLOOKUP($A178,'Data shares'!$C:$FA,25)</f>
        <v>3.2</v>
      </c>
    </row>
    <row r="179" spans="1:7" x14ac:dyDescent="0.25">
      <c r="A179" s="101" t="str">
        <f>'Data shares'!C175</f>
        <v>RBLBANK</v>
      </c>
      <c r="B179" s="144">
        <f>VLOOKUP($A179,'Data shares'!$C:$FA,7)</f>
        <v>312.45</v>
      </c>
      <c r="C179" s="144">
        <f>VLOOKUP($A179,'Data shares'!$C:$FA,3)</f>
        <v>313.39999999999998</v>
      </c>
      <c r="D179" s="144">
        <f>VLOOKUP($A179,'Data shares'!$C:$FA,23)</f>
        <v>0.95</v>
      </c>
      <c r="E179" s="145">
        <f>VLOOKUP($A179,'Data shares'!$C:$FA,26)*100</f>
        <v>0.3</v>
      </c>
      <c r="F179" s="144">
        <f>VLOOKUP($A179,'Data shares'!$C:$FA,24)</f>
        <v>-0.1</v>
      </c>
      <c r="G179" s="144">
        <f>VLOOKUP($A179,'Data shares'!$C:$FA,25)</f>
        <v>1.05</v>
      </c>
    </row>
    <row r="180" spans="1:7" x14ac:dyDescent="0.25">
      <c r="A180" s="101" t="str">
        <f>'Data shares'!C176</f>
        <v>RECLTD</v>
      </c>
      <c r="B180" s="144">
        <f>VLOOKUP($A180,'Data shares'!$C:$FA,7)</f>
        <v>376.45</v>
      </c>
      <c r="C180" s="144">
        <f>VLOOKUP($A180,'Data shares'!$C:$FA,3)</f>
        <v>377.05</v>
      </c>
      <c r="D180" s="144">
        <f>VLOOKUP($A180,'Data shares'!$C:$FA,23)</f>
        <v>0.6</v>
      </c>
      <c r="E180" s="145">
        <f>VLOOKUP($A180,'Data shares'!$C:$FA,26)*100</f>
        <v>0.16</v>
      </c>
      <c r="F180" s="144">
        <f>VLOOKUP($A180,'Data shares'!$C:$FA,24)</f>
        <v>0.6</v>
      </c>
      <c r="G180" s="144">
        <f>VLOOKUP($A180,'Data shares'!$C:$FA,25)</f>
        <v>0</v>
      </c>
    </row>
    <row r="181" spans="1:7" x14ac:dyDescent="0.25">
      <c r="A181" s="101" t="str">
        <f>'Data shares'!C177</f>
        <v>RELIANCE</v>
      </c>
      <c r="B181" s="144">
        <f>VLOOKUP($A181,'Data shares'!$C:$FA,7)</f>
        <v>1343.4</v>
      </c>
      <c r="C181" s="144">
        <f>VLOOKUP($A181,'Data shares'!$C:$FA,3)</f>
        <v>1344.3</v>
      </c>
      <c r="D181" s="144">
        <f>VLOOKUP($A181,'Data shares'!$C:$FA,23)</f>
        <v>0.9</v>
      </c>
      <c r="E181" s="145">
        <f>VLOOKUP($A181,'Data shares'!$C:$FA,26)*100</f>
        <v>6.9999999999999993E-2</v>
      </c>
      <c r="F181" s="144">
        <f>VLOOKUP($A181,'Data shares'!$C:$FA,24)</f>
        <v>0</v>
      </c>
      <c r="G181" s="144">
        <f>VLOOKUP($A181,'Data shares'!$C:$FA,25)</f>
        <v>0.9</v>
      </c>
    </row>
    <row r="182" spans="1:7" x14ac:dyDescent="0.25">
      <c r="A182" s="101" t="str">
        <f>'Data shares'!C178</f>
        <v>RVNL</v>
      </c>
      <c r="B182" s="144">
        <f>VLOOKUP($A182,'Data shares'!$C:$FA,7)</f>
        <v>307.20999999999998</v>
      </c>
      <c r="C182" s="144">
        <f>VLOOKUP($A182,'Data shares'!$C:$FA,3)</f>
        <v>307.06</v>
      </c>
      <c r="D182" s="144">
        <f>VLOOKUP($A182,'Data shares'!$C:$FA,23)</f>
        <v>-0.15</v>
      </c>
      <c r="E182" s="145">
        <f>VLOOKUP($A182,'Data shares'!$C:$FA,26)*100</f>
        <v>-0.05</v>
      </c>
      <c r="F182" s="144">
        <f>VLOOKUP($A182,'Data shares'!$C:$FA,24)</f>
        <v>-0.86</v>
      </c>
      <c r="G182" s="144">
        <f>VLOOKUP($A182,'Data shares'!$C:$FA,25)</f>
        <v>0.71</v>
      </c>
    </row>
    <row r="183" spans="1:7" x14ac:dyDescent="0.25">
      <c r="A183" s="101" t="str">
        <f>'Data shares'!C179</f>
        <v>SAIL</v>
      </c>
      <c r="B183" s="144">
        <f>VLOOKUP($A183,'Data shares'!$C:$FA,7)</f>
        <v>176.45</v>
      </c>
      <c r="C183" s="144">
        <f>VLOOKUP($A183,'Data shares'!$C:$FA,3)</f>
        <v>176.57</v>
      </c>
      <c r="D183" s="144">
        <f>VLOOKUP($A183,'Data shares'!$C:$FA,23)</f>
        <v>0.12</v>
      </c>
      <c r="E183" s="145">
        <f>VLOOKUP($A183,'Data shares'!$C:$FA,26)*100</f>
        <v>6.9999999999999993E-2</v>
      </c>
      <c r="F183" s="144">
        <f>VLOOKUP($A183,'Data shares'!$C:$FA,24)</f>
        <v>-0.28000000000000003</v>
      </c>
      <c r="G183" s="144">
        <f>VLOOKUP($A183,'Data shares'!$C:$FA,25)</f>
        <v>0.4</v>
      </c>
    </row>
    <row r="184" spans="1:7" x14ac:dyDescent="0.25">
      <c r="A184" s="101" t="str">
        <f>'Data shares'!C180</f>
        <v>SAMMAANCAP</v>
      </c>
      <c r="B184" s="144">
        <f>VLOOKUP($A184,'Data shares'!$C:$FA,7)</f>
        <v>144.25</v>
      </c>
      <c r="C184" s="144">
        <f>VLOOKUP($A184,'Data shares'!$C:$FA,3)</f>
        <v>144.32</v>
      </c>
      <c r="D184" s="144">
        <f>VLOOKUP($A184,'Data shares'!$C:$FA,23)</f>
        <v>7.0000000000000007E-2</v>
      </c>
      <c r="E184" s="145">
        <f>VLOOKUP($A184,'Data shares'!$C:$FA,26)*100</f>
        <v>0.05</v>
      </c>
      <c r="F184" s="144">
        <f>VLOOKUP($A184,'Data shares'!$C:$FA,24)</f>
        <v>0.42</v>
      </c>
      <c r="G184" s="144">
        <f>VLOOKUP($A184,'Data shares'!$C:$FA,25)</f>
        <v>-0.35</v>
      </c>
    </row>
    <row r="185" spans="1:7" x14ac:dyDescent="0.25">
      <c r="A185" s="101" t="str">
        <f>'Data shares'!C181</f>
        <v>SBICARD</v>
      </c>
      <c r="B185" s="144">
        <f>VLOOKUP($A185,'Data shares'!$C:$FA,7)</f>
        <v>680.55</v>
      </c>
      <c r="C185" s="144">
        <f>VLOOKUP($A185,'Data shares'!$C:$FA,3)</f>
        <v>682.3</v>
      </c>
      <c r="D185" s="144">
        <f>VLOOKUP($A185,'Data shares'!$C:$FA,23)</f>
        <v>1.75</v>
      </c>
      <c r="E185" s="145">
        <f>VLOOKUP($A185,'Data shares'!$C:$FA,26)*100</f>
        <v>0.26</v>
      </c>
      <c r="F185" s="144">
        <f>VLOOKUP($A185,'Data shares'!$C:$FA,24)</f>
        <v>1.7</v>
      </c>
      <c r="G185" s="144">
        <f>VLOOKUP($A185,'Data shares'!$C:$FA,25)</f>
        <v>0.05</v>
      </c>
    </row>
    <row r="186" spans="1:7" x14ac:dyDescent="0.25">
      <c r="A186" s="101" t="str">
        <f>'Data shares'!C182</f>
        <v>SBILIFE</v>
      </c>
      <c r="B186" s="144">
        <f>VLOOKUP($A186,'Data shares'!$C:$FA,7)</f>
        <v>1828.1</v>
      </c>
      <c r="C186" s="144">
        <f>VLOOKUP($A186,'Data shares'!$C:$FA,3)</f>
        <v>1826.1</v>
      </c>
      <c r="D186" s="144">
        <f>VLOOKUP($A186,'Data shares'!$C:$FA,23)</f>
        <v>-2</v>
      </c>
      <c r="E186" s="145">
        <f>VLOOKUP($A186,'Data shares'!$C:$FA,26)*100</f>
        <v>-0.11</v>
      </c>
      <c r="F186" s="144">
        <f>VLOOKUP($A186,'Data shares'!$C:$FA,24)</f>
        <v>4.9000000000000004</v>
      </c>
      <c r="G186" s="144">
        <f>VLOOKUP($A186,'Data shares'!$C:$FA,25)</f>
        <v>-6.9</v>
      </c>
    </row>
    <row r="187" spans="1:7" x14ac:dyDescent="0.25">
      <c r="A187" s="101" t="str">
        <f>'Data shares'!C183</f>
        <v>SBIN</v>
      </c>
      <c r="B187" s="144">
        <f>VLOOKUP($A187,'Data shares'!$C:$FA,7)</f>
        <v>1094.25</v>
      </c>
      <c r="C187" s="144">
        <f>VLOOKUP($A187,'Data shares'!$C:$FA,3)</f>
        <v>1094.0999999999999</v>
      </c>
      <c r="D187" s="144">
        <f>VLOOKUP($A187,'Data shares'!$C:$FA,23)</f>
        <v>-0.15</v>
      </c>
      <c r="E187" s="145">
        <f>VLOOKUP($A187,'Data shares'!$C:$FA,26)*100</f>
        <v>-0.01</v>
      </c>
      <c r="F187" s="144">
        <f>VLOOKUP($A187,'Data shares'!$C:$FA,24)</f>
        <v>2.2000000000000002</v>
      </c>
      <c r="G187" s="144">
        <f>VLOOKUP($A187,'Data shares'!$C:$FA,25)</f>
        <v>-2.35</v>
      </c>
    </row>
    <row r="188" spans="1:7" x14ac:dyDescent="0.25">
      <c r="A188" s="101" t="str">
        <f>'Data shares'!C184</f>
        <v>SHREECEM</v>
      </c>
      <c r="B188" s="144">
        <f>VLOOKUP($A188,'Data shares'!$C:$FA,7)</f>
        <v>25470</v>
      </c>
      <c r="C188" s="144">
        <f>VLOOKUP($A188,'Data shares'!$C:$FA,3)</f>
        <v>25435</v>
      </c>
      <c r="D188" s="144">
        <f>VLOOKUP($A188,'Data shares'!$C:$FA,23)</f>
        <v>-35</v>
      </c>
      <c r="E188" s="145">
        <f>VLOOKUP($A188,'Data shares'!$C:$FA,26)*100</f>
        <v>-0.13999999999999999</v>
      </c>
      <c r="F188" s="144">
        <f>VLOOKUP($A188,'Data shares'!$C:$FA,24)</f>
        <v>20</v>
      </c>
      <c r="G188" s="144">
        <f>VLOOKUP($A188,'Data shares'!$C:$FA,25)</f>
        <v>-55</v>
      </c>
    </row>
    <row r="189" spans="1:7" x14ac:dyDescent="0.25">
      <c r="A189" s="101" t="str">
        <f>'Data shares'!C185</f>
        <v>SHRIRAMFIN</v>
      </c>
      <c r="B189" s="144">
        <f>VLOOKUP($A189,'Data shares'!$C:$FA,7)</f>
        <v>1009.3</v>
      </c>
      <c r="C189" s="144">
        <f>VLOOKUP($A189,'Data shares'!$C:$FA,3)</f>
        <v>1010.2</v>
      </c>
      <c r="D189" s="144">
        <f>VLOOKUP($A189,'Data shares'!$C:$FA,23)</f>
        <v>0.9</v>
      </c>
      <c r="E189" s="145">
        <f>VLOOKUP($A189,'Data shares'!$C:$FA,26)*100</f>
        <v>0.09</v>
      </c>
      <c r="F189" s="144">
        <f>VLOOKUP($A189,'Data shares'!$C:$FA,24)</f>
        <v>0.15</v>
      </c>
      <c r="G189" s="144">
        <f>VLOOKUP($A189,'Data shares'!$C:$FA,25)</f>
        <v>0.75</v>
      </c>
    </row>
    <row r="190" spans="1:7" x14ac:dyDescent="0.25">
      <c r="A190" s="101" t="str">
        <f>'Data shares'!C186</f>
        <v>SIEMENS</v>
      </c>
      <c r="B190" s="144">
        <f>VLOOKUP($A190,'Data shares'!$C:$FA,7)</f>
        <v>3864.4</v>
      </c>
      <c r="C190" s="144">
        <f>VLOOKUP($A190,'Data shares'!$C:$FA,3)</f>
        <v>3877.9</v>
      </c>
      <c r="D190" s="144">
        <f>VLOOKUP($A190,'Data shares'!$C:$FA,23)</f>
        <v>13.5</v>
      </c>
      <c r="E190" s="145">
        <f>VLOOKUP($A190,'Data shares'!$C:$FA,26)*100</f>
        <v>0.35000000000000003</v>
      </c>
      <c r="F190" s="144">
        <f>VLOOKUP($A190,'Data shares'!$C:$FA,24)</f>
        <v>-2.4</v>
      </c>
      <c r="G190" s="144">
        <f>VLOOKUP($A190,'Data shares'!$C:$FA,25)</f>
        <v>15.9</v>
      </c>
    </row>
    <row r="191" spans="1:7" x14ac:dyDescent="0.25">
      <c r="A191" s="101" t="str">
        <f>'Data shares'!C187</f>
        <v>SOLARINDS</v>
      </c>
      <c r="B191" s="144">
        <f>VLOOKUP($A191,'Data shares'!$C:$FA,7)</f>
        <v>15747</v>
      </c>
      <c r="C191" s="144">
        <f>VLOOKUP($A191,'Data shares'!$C:$FA,3)</f>
        <v>15756</v>
      </c>
      <c r="D191" s="144">
        <f>VLOOKUP($A191,'Data shares'!$C:$FA,23)</f>
        <v>9</v>
      </c>
      <c r="E191" s="145">
        <f>VLOOKUP($A191,'Data shares'!$C:$FA,26)*100</f>
        <v>0.06</v>
      </c>
      <c r="F191" s="144">
        <f>VLOOKUP($A191,'Data shares'!$C:$FA,24)</f>
        <v>18</v>
      </c>
      <c r="G191" s="144">
        <f>VLOOKUP($A191,'Data shares'!$C:$FA,25)</f>
        <v>-9</v>
      </c>
    </row>
    <row r="192" spans="1:7" x14ac:dyDescent="0.25">
      <c r="A192" s="101" t="str">
        <f>'Data shares'!C188</f>
        <v>SONACOMS</v>
      </c>
      <c r="B192" s="144">
        <f>VLOOKUP($A192,'Data shares'!$C:$FA,7)</f>
        <v>574.54999999999995</v>
      </c>
      <c r="C192" s="144">
        <f>VLOOKUP($A192,'Data shares'!$C:$FA,3)</f>
        <v>574.1</v>
      </c>
      <c r="D192" s="144">
        <f>VLOOKUP($A192,'Data shares'!$C:$FA,23)</f>
        <v>-0.45</v>
      </c>
      <c r="E192" s="145">
        <f>VLOOKUP($A192,'Data shares'!$C:$FA,26)*100</f>
        <v>-0.08</v>
      </c>
      <c r="F192" s="144">
        <f>VLOOKUP($A192,'Data shares'!$C:$FA,24)</f>
        <v>-0.45</v>
      </c>
      <c r="G192" s="144">
        <f>VLOOKUP($A192,'Data shares'!$C:$FA,25)</f>
        <v>0</v>
      </c>
    </row>
    <row r="193" spans="1:7" x14ac:dyDescent="0.25">
      <c r="A193" s="101" t="str">
        <f>'Data shares'!C189</f>
        <v>SRF</v>
      </c>
      <c r="B193" s="144">
        <f>VLOOKUP($A193,'Data shares'!$C:$FA,7)</f>
        <v>2542.4</v>
      </c>
      <c r="C193" s="144">
        <f>VLOOKUP($A193,'Data shares'!$C:$FA,3)</f>
        <v>2540.5</v>
      </c>
      <c r="D193" s="144">
        <f>VLOOKUP($A193,'Data shares'!$C:$FA,23)</f>
        <v>-1.9</v>
      </c>
      <c r="E193" s="145">
        <f>VLOOKUP($A193,'Data shares'!$C:$FA,26)*100</f>
        <v>-6.9999999999999993E-2</v>
      </c>
      <c r="F193" s="144">
        <f>VLOOKUP($A193,'Data shares'!$C:$FA,24)</f>
        <v>3.6</v>
      </c>
      <c r="G193" s="144">
        <f>VLOOKUP($A193,'Data shares'!$C:$FA,25)</f>
        <v>-5.5</v>
      </c>
    </row>
    <row r="194" spans="1:7" x14ac:dyDescent="0.25">
      <c r="A194" s="101" t="str">
        <f>'Data shares'!C190</f>
        <v>SUNPHARMA</v>
      </c>
      <c r="B194" s="144">
        <f>VLOOKUP($A194,'Data shares'!$C:$FA,7)</f>
        <v>1680.1</v>
      </c>
      <c r="C194" s="144">
        <f>VLOOKUP($A194,'Data shares'!$C:$FA,3)</f>
        <v>1676.7</v>
      </c>
      <c r="D194" s="144">
        <f>VLOOKUP($A194,'Data shares'!$C:$FA,23)</f>
        <v>-3.4</v>
      </c>
      <c r="E194" s="145">
        <f>VLOOKUP($A194,'Data shares'!$C:$FA,26)*100</f>
        <v>-0.2</v>
      </c>
      <c r="F194" s="144">
        <f>VLOOKUP($A194,'Data shares'!$C:$FA,24)</f>
        <v>-2.6</v>
      </c>
      <c r="G194" s="144">
        <f>VLOOKUP($A194,'Data shares'!$C:$FA,25)</f>
        <v>-0.8</v>
      </c>
    </row>
    <row r="195" spans="1:7" x14ac:dyDescent="0.25">
      <c r="A195" s="101" t="str">
        <f>'Data shares'!C191</f>
        <v>SUPREMEIND</v>
      </c>
      <c r="B195" s="144">
        <f>VLOOKUP($A195,'Data shares'!$C:$FA,7)</f>
        <v>3677.3</v>
      </c>
      <c r="C195" s="144">
        <f>VLOOKUP($A195,'Data shares'!$C:$FA,3)</f>
        <v>3688.6</v>
      </c>
      <c r="D195" s="144">
        <f>VLOOKUP($A195,'Data shares'!$C:$FA,23)</f>
        <v>11.3</v>
      </c>
      <c r="E195" s="145">
        <f>VLOOKUP($A195,'Data shares'!$C:$FA,26)*100</f>
        <v>0.31</v>
      </c>
      <c r="F195" s="144">
        <f>VLOOKUP($A195,'Data shares'!$C:$FA,24)</f>
        <v>12</v>
      </c>
      <c r="G195" s="144">
        <f>VLOOKUP($A195,'Data shares'!$C:$FA,25)</f>
        <v>-0.7</v>
      </c>
    </row>
    <row r="196" spans="1:7" x14ac:dyDescent="0.25">
      <c r="A196" s="101" t="str">
        <f>'Data shares'!C192</f>
        <v>SUZLON</v>
      </c>
      <c r="B196" s="144">
        <f>VLOOKUP($A196,'Data shares'!$C:$FA,7)</f>
        <v>53.73</v>
      </c>
      <c r="C196" s="144">
        <f>VLOOKUP($A196,'Data shares'!$C:$FA,3)</f>
        <v>53.73</v>
      </c>
      <c r="D196" s="144">
        <f>VLOOKUP($A196,'Data shares'!$C:$FA,23)</f>
        <v>0</v>
      </c>
      <c r="E196" s="145">
        <f>VLOOKUP($A196,'Data shares'!$C:$FA,26)*100</f>
        <v>0</v>
      </c>
      <c r="F196" s="144">
        <f>VLOOKUP($A196,'Data shares'!$C:$FA,24)</f>
        <v>-0.02</v>
      </c>
      <c r="G196" s="144">
        <f>VLOOKUP($A196,'Data shares'!$C:$FA,25)</f>
        <v>0.02</v>
      </c>
    </row>
    <row r="197" spans="1:7" x14ac:dyDescent="0.25">
      <c r="A197" s="101" t="str">
        <f>'Data shares'!C193</f>
        <v>SWIGGY</v>
      </c>
      <c r="B197" s="144">
        <f>VLOOKUP($A197,'Data shares'!$C:$FA,7)</f>
        <v>293.05</v>
      </c>
      <c r="C197" s="144">
        <f>VLOOKUP($A197,'Data shares'!$C:$FA,3)</f>
        <v>292.8</v>
      </c>
      <c r="D197" s="144">
        <f>VLOOKUP($A197,'Data shares'!$C:$FA,23)</f>
        <v>-0.25</v>
      </c>
      <c r="E197" s="145">
        <f>VLOOKUP($A197,'Data shares'!$C:$FA,26)*100</f>
        <v>-0.09</v>
      </c>
      <c r="F197" s="144">
        <f>VLOOKUP($A197,'Data shares'!$C:$FA,24)</f>
        <v>-0.25</v>
      </c>
      <c r="G197" s="144">
        <f>VLOOKUP($A197,'Data shares'!$C:$FA,25)</f>
        <v>0</v>
      </c>
    </row>
    <row r="198" spans="1:7" x14ac:dyDescent="0.25">
      <c r="A198" s="101" t="str">
        <f>'Data shares'!C194</f>
        <v>TATACONSUM</v>
      </c>
      <c r="B198" s="144">
        <f>VLOOKUP($A198,'Data shares'!$C:$FA,7)</f>
        <v>1184.4000000000001</v>
      </c>
      <c r="C198" s="144">
        <f>VLOOKUP($A198,'Data shares'!$C:$FA,3)</f>
        <v>1182.8</v>
      </c>
      <c r="D198" s="144">
        <f>VLOOKUP($A198,'Data shares'!$C:$FA,23)</f>
        <v>-1.6</v>
      </c>
      <c r="E198" s="145">
        <f>VLOOKUP($A198,'Data shares'!$C:$FA,26)*100</f>
        <v>-0.13999999999999999</v>
      </c>
      <c r="F198" s="144">
        <f>VLOOKUP($A198,'Data shares'!$C:$FA,24)</f>
        <v>-1.3</v>
      </c>
      <c r="G198" s="144">
        <f>VLOOKUP($A198,'Data shares'!$C:$FA,25)</f>
        <v>-0.3</v>
      </c>
    </row>
    <row r="199" spans="1:7" x14ac:dyDescent="0.25">
      <c r="A199" s="101" t="str">
        <f>'Data shares'!C195</f>
        <v>TATAELXSI</v>
      </c>
      <c r="B199" s="144">
        <f>VLOOKUP($A199,'Data shares'!$C:$FA,7)</f>
        <v>4233.5</v>
      </c>
      <c r="C199" s="144">
        <f>VLOOKUP($A199,'Data shares'!$C:$FA,3)</f>
        <v>4226.3999999999996</v>
      </c>
      <c r="D199" s="144">
        <f>VLOOKUP($A199,'Data shares'!$C:$FA,23)</f>
        <v>-7.1</v>
      </c>
      <c r="E199" s="145">
        <f>VLOOKUP($A199,'Data shares'!$C:$FA,26)*100</f>
        <v>-0.16999999999999998</v>
      </c>
      <c r="F199" s="144">
        <f>VLOOKUP($A199,'Data shares'!$C:$FA,24)</f>
        <v>-50.9</v>
      </c>
      <c r="G199" s="144">
        <f>VLOOKUP($A199,'Data shares'!$C:$FA,25)</f>
        <v>43.8</v>
      </c>
    </row>
    <row r="200" spans="1:7" x14ac:dyDescent="0.25">
      <c r="A200" s="101" t="str">
        <f>'Data shares'!C196</f>
        <v>TATAPOWER</v>
      </c>
      <c r="B200" s="144">
        <f>VLOOKUP($A200,'Data shares'!$C:$FA,7)</f>
        <v>430.3</v>
      </c>
      <c r="C200" s="144">
        <f>VLOOKUP($A200,'Data shares'!$C:$FA,3)</f>
        <v>430.75</v>
      </c>
      <c r="D200" s="144">
        <f>VLOOKUP($A200,'Data shares'!$C:$FA,23)</f>
        <v>0.45</v>
      </c>
      <c r="E200" s="145">
        <f>VLOOKUP($A200,'Data shares'!$C:$FA,26)*100</f>
        <v>0.1</v>
      </c>
      <c r="F200" s="144">
        <f>VLOOKUP($A200,'Data shares'!$C:$FA,24)</f>
        <v>0.55000000000000004</v>
      </c>
      <c r="G200" s="144">
        <f>VLOOKUP($A200,'Data shares'!$C:$FA,25)</f>
        <v>-0.1</v>
      </c>
    </row>
    <row r="201" spans="1:7" x14ac:dyDescent="0.25">
      <c r="A201" s="101" t="str">
        <f>'Data shares'!C197</f>
        <v>TATASTEEL</v>
      </c>
      <c r="B201" s="144">
        <f>VLOOKUP($A201,'Data shares'!$C:$FA,7)</f>
        <v>210.91</v>
      </c>
      <c r="C201" s="144">
        <f>VLOOKUP($A201,'Data shares'!$C:$FA,3)</f>
        <v>210.67</v>
      </c>
      <c r="D201" s="144">
        <f>VLOOKUP($A201,'Data shares'!$C:$FA,23)</f>
        <v>-0.24</v>
      </c>
      <c r="E201" s="145">
        <f>VLOOKUP($A201,'Data shares'!$C:$FA,26)*100</f>
        <v>-0.11</v>
      </c>
      <c r="F201" s="144">
        <f>VLOOKUP($A201,'Data shares'!$C:$FA,24)</f>
        <v>-0.01</v>
      </c>
      <c r="G201" s="144">
        <f>VLOOKUP($A201,'Data shares'!$C:$FA,25)</f>
        <v>-0.23</v>
      </c>
    </row>
    <row r="202" spans="1:7" x14ac:dyDescent="0.25">
      <c r="A202" s="101" t="str">
        <f>'Data shares'!C198</f>
        <v>TATATECH</v>
      </c>
      <c r="B202" s="144">
        <f>VLOOKUP($A202,'Data shares'!$C:$FA,7)</f>
        <v>563.5</v>
      </c>
      <c r="C202" s="144">
        <f>VLOOKUP($A202,'Data shares'!$C:$FA,3)</f>
        <v>562.70000000000005</v>
      </c>
      <c r="D202" s="144">
        <f>VLOOKUP($A202,'Data shares'!$C:$FA,23)</f>
        <v>-0.8</v>
      </c>
      <c r="E202" s="145">
        <f>VLOOKUP($A202,'Data shares'!$C:$FA,26)*100</f>
        <v>-0.13999999999999999</v>
      </c>
      <c r="F202" s="144">
        <f>VLOOKUP($A202,'Data shares'!$C:$FA,24)</f>
        <v>0.1</v>
      </c>
      <c r="G202" s="144">
        <f>VLOOKUP($A202,'Data shares'!$C:$FA,25)</f>
        <v>-0.9</v>
      </c>
    </row>
    <row r="203" spans="1:7" x14ac:dyDescent="0.25">
      <c r="A203" s="101" t="str">
        <f>'Data shares'!C199</f>
        <v>TCS</v>
      </c>
      <c r="B203" s="144">
        <f>VLOOKUP($A203,'Data shares'!$C:$FA,7)</f>
        <v>2521.8000000000002</v>
      </c>
      <c r="C203" s="144">
        <f>VLOOKUP($A203,'Data shares'!$C:$FA,3)</f>
        <v>2516.9</v>
      </c>
      <c r="D203" s="144">
        <f>VLOOKUP($A203,'Data shares'!$C:$FA,23)</f>
        <v>-4.9000000000000004</v>
      </c>
      <c r="E203" s="145">
        <f>VLOOKUP($A203,'Data shares'!$C:$FA,26)*100</f>
        <v>-0.19</v>
      </c>
      <c r="F203" s="144">
        <f>VLOOKUP($A203,'Data shares'!$C:$FA,24)</f>
        <v>-9.3000000000000007</v>
      </c>
      <c r="G203" s="144">
        <f>VLOOKUP($A203,'Data shares'!$C:$FA,25)</f>
        <v>4.4000000000000004</v>
      </c>
    </row>
    <row r="204" spans="1:7" x14ac:dyDescent="0.25">
      <c r="A204" s="101" t="str">
        <f>'Data shares'!C200</f>
        <v>TECHM</v>
      </c>
      <c r="B204" s="144">
        <f>VLOOKUP($A204,'Data shares'!$C:$FA,7)</f>
        <v>1421.5</v>
      </c>
      <c r="C204" s="144">
        <f>VLOOKUP($A204,'Data shares'!$C:$FA,3)</f>
        <v>1424.8</v>
      </c>
      <c r="D204" s="144">
        <f>VLOOKUP($A204,'Data shares'!$C:$FA,23)</f>
        <v>3.3</v>
      </c>
      <c r="E204" s="145">
        <f>VLOOKUP($A204,'Data shares'!$C:$FA,26)*100</f>
        <v>0.22999999999999998</v>
      </c>
      <c r="F204" s="144">
        <f>VLOOKUP($A204,'Data shares'!$C:$FA,24)</f>
        <v>4.0999999999999996</v>
      </c>
      <c r="G204" s="144">
        <f>VLOOKUP($A204,'Data shares'!$C:$FA,25)</f>
        <v>-0.8</v>
      </c>
    </row>
    <row r="205" spans="1:7" x14ac:dyDescent="0.25">
      <c r="A205" s="101" t="str">
        <f>'Data shares'!C201</f>
        <v>TIINDIA</v>
      </c>
      <c r="B205" s="144">
        <f>VLOOKUP($A205,'Data shares'!$C:$FA,7)</f>
        <v>3086.8</v>
      </c>
      <c r="C205" s="144">
        <f>VLOOKUP($A205,'Data shares'!$C:$FA,3)</f>
        <v>3099</v>
      </c>
      <c r="D205" s="144">
        <f>VLOOKUP($A205,'Data shares'!$C:$FA,23)</f>
        <v>12.2</v>
      </c>
      <c r="E205" s="145">
        <f>VLOOKUP($A205,'Data shares'!$C:$FA,26)*100</f>
        <v>0.4</v>
      </c>
      <c r="F205" s="144">
        <f>VLOOKUP($A205,'Data shares'!$C:$FA,24)</f>
        <v>3.3</v>
      </c>
      <c r="G205" s="144">
        <f>VLOOKUP($A205,'Data shares'!$C:$FA,25)</f>
        <v>8.9</v>
      </c>
    </row>
    <row r="206" spans="1:7" x14ac:dyDescent="0.25">
      <c r="A206" s="101" t="str">
        <f>'Data shares'!C202</f>
        <v>TITAN</v>
      </c>
      <c r="B206" s="144">
        <f>VLOOKUP($A206,'Data shares'!$C:$FA,7)</f>
        <v>4456.5</v>
      </c>
      <c r="C206" s="144">
        <f>VLOOKUP($A206,'Data shares'!$C:$FA,3)</f>
        <v>4453.5</v>
      </c>
      <c r="D206" s="144">
        <f>VLOOKUP($A206,'Data shares'!$C:$FA,23)</f>
        <v>-3</v>
      </c>
      <c r="E206" s="145">
        <f>VLOOKUP($A206,'Data shares'!$C:$FA,26)*100</f>
        <v>-6.9999999999999993E-2</v>
      </c>
      <c r="F206" s="144">
        <f>VLOOKUP($A206,'Data shares'!$C:$FA,24)</f>
        <v>1</v>
      </c>
      <c r="G206" s="144">
        <f>VLOOKUP($A206,'Data shares'!$C:$FA,25)</f>
        <v>-4</v>
      </c>
    </row>
    <row r="207" spans="1:7" x14ac:dyDescent="0.25">
      <c r="A207" s="101" t="str">
        <f>'Data shares'!C203</f>
        <v>TMPV</v>
      </c>
      <c r="B207" s="144">
        <f>VLOOKUP($A207,'Data shares'!$C:$FA,7)</f>
        <v>351.95</v>
      </c>
      <c r="C207" s="144">
        <f>VLOOKUP($A207,'Data shares'!$C:$FA,3)</f>
        <v>350.95</v>
      </c>
      <c r="D207" s="144">
        <f>VLOOKUP($A207,'Data shares'!$C:$FA,23)</f>
        <v>-1</v>
      </c>
      <c r="E207" s="145">
        <f>VLOOKUP($A207,'Data shares'!$C:$FA,26)*100</f>
        <v>-0.27999999999999997</v>
      </c>
      <c r="F207" s="144">
        <f>VLOOKUP($A207,'Data shares'!$C:$FA,24)</f>
        <v>-1.35</v>
      </c>
      <c r="G207" s="144">
        <f>VLOOKUP($A207,'Data shares'!$C:$FA,25)</f>
        <v>0.35</v>
      </c>
    </row>
    <row r="208" spans="1:7" x14ac:dyDescent="0.25">
      <c r="A208" s="101" t="str">
        <f>'Data shares'!C204</f>
        <v>TORNTPHARM</v>
      </c>
      <c r="B208" s="144">
        <f>VLOOKUP($A208,'Data shares'!$C:$FA,7)</f>
        <v>4147.2</v>
      </c>
      <c r="C208" s="144">
        <f>VLOOKUP($A208,'Data shares'!$C:$FA,3)</f>
        <v>4155</v>
      </c>
      <c r="D208" s="144">
        <f>VLOOKUP($A208,'Data shares'!$C:$FA,23)</f>
        <v>7.8</v>
      </c>
      <c r="E208" s="145">
        <f>VLOOKUP($A208,'Data shares'!$C:$FA,26)*100</f>
        <v>0.19</v>
      </c>
      <c r="F208" s="144">
        <f>VLOOKUP($A208,'Data shares'!$C:$FA,24)</f>
        <v>-16.399999999999999</v>
      </c>
      <c r="G208" s="144">
        <f>VLOOKUP($A208,'Data shares'!$C:$FA,25)</f>
        <v>24.2</v>
      </c>
    </row>
    <row r="209" spans="1:7" x14ac:dyDescent="0.25">
      <c r="A209" s="101" t="str">
        <f>'Data shares'!C205</f>
        <v>TORNTPOWER</v>
      </c>
      <c r="B209" s="144">
        <f>VLOOKUP($A209,'Data shares'!$C:$FA,7)</f>
        <v>1737</v>
      </c>
      <c r="C209" s="144">
        <f>VLOOKUP($A209,'Data shares'!$C:$FA,3)</f>
        <v>1740.4</v>
      </c>
      <c r="D209" s="144">
        <f>VLOOKUP($A209,'Data shares'!$C:$FA,23)</f>
        <v>3.4</v>
      </c>
      <c r="E209" s="145">
        <f>VLOOKUP($A209,'Data shares'!$C:$FA,26)*100</f>
        <v>0.2</v>
      </c>
      <c r="F209" s="144">
        <f>VLOOKUP($A209,'Data shares'!$C:$FA,24)</f>
        <v>-0.3</v>
      </c>
      <c r="G209" s="144">
        <f>VLOOKUP($A209,'Data shares'!$C:$FA,25)</f>
        <v>3.7</v>
      </c>
    </row>
    <row r="210" spans="1:7" x14ac:dyDescent="0.25">
      <c r="A210" s="101" t="str">
        <f>'Data shares'!C206</f>
        <v>TRENT</v>
      </c>
      <c r="B210" s="144">
        <f>VLOOKUP($A210,'Data shares'!$C:$FA,7)</f>
        <v>4251.3999999999996</v>
      </c>
      <c r="C210" s="144">
        <f>VLOOKUP($A210,'Data shares'!$C:$FA,3)</f>
        <v>4237.8</v>
      </c>
      <c r="D210" s="144">
        <f>VLOOKUP($A210,'Data shares'!$C:$FA,23)</f>
        <v>-13.6</v>
      </c>
      <c r="E210" s="145">
        <f>VLOOKUP($A210,'Data shares'!$C:$FA,26)*100</f>
        <v>-0.32</v>
      </c>
      <c r="F210" s="144">
        <f>VLOOKUP($A210,'Data shares'!$C:$FA,24)</f>
        <v>3.6</v>
      </c>
      <c r="G210" s="144">
        <f>VLOOKUP($A210,'Data shares'!$C:$FA,25)</f>
        <v>-17.2</v>
      </c>
    </row>
    <row r="211" spans="1:7" x14ac:dyDescent="0.25">
      <c r="A211" s="101" t="str">
        <f>'Data shares'!C207</f>
        <v>TVSMOTOR</v>
      </c>
      <c r="B211" s="144">
        <f>VLOOKUP($A211,'Data shares'!$C:$FA,7)</f>
        <v>3513</v>
      </c>
      <c r="C211" s="144">
        <f>VLOOKUP($A211,'Data shares'!$C:$FA,3)</f>
        <v>3513.2</v>
      </c>
      <c r="D211" s="144">
        <f>VLOOKUP($A211,'Data shares'!$C:$FA,23)</f>
        <v>0.2</v>
      </c>
      <c r="E211" s="145">
        <f>VLOOKUP($A211,'Data shares'!$C:$FA,26)*100</f>
        <v>0.01</v>
      </c>
      <c r="F211" s="144">
        <f>VLOOKUP($A211,'Data shares'!$C:$FA,24)</f>
        <v>8.5</v>
      </c>
      <c r="G211" s="144">
        <f>VLOOKUP($A211,'Data shares'!$C:$FA,25)</f>
        <v>-8.3000000000000007</v>
      </c>
    </row>
    <row r="212" spans="1:7" x14ac:dyDescent="0.25">
      <c r="A212" s="101" t="str">
        <f>'Data shares'!C208</f>
        <v>ULTRACEMCO</v>
      </c>
      <c r="B212" s="144">
        <f>VLOOKUP($A212,'Data shares'!$C:$FA,7)</f>
        <v>12167</v>
      </c>
      <c r="C212" s="144">
        <f>VLOOKUP($A212,'Data shares'!$C:$FA,3)</f>
        <v>12176</v>
      </c>
      <c r="D212" s="144">
        <f>VLOOKUP($A212,'Data shares'!$C:$FA,23)</f>
        <v>9</v>
      </c>
      <c r="E212" s="145">
        <f>VLOOKUP($A212,'Data shares'!$C:$FA,26)*100</f>
        <v>6.9999999999999993E-2</v>
      </c>
      <c r="F212" s="144">
        <f>VLOOKUP($A212,'Data shares'!$C:$FA,24)</f>
        <v>-22</v>
      </c>
      <c r="G212" s="144">
        <f>VLOOKUP($A212,'Data shares'!$C:$FA,25)</f>
        <v>31</v>
      </c>
    </row>
    <row r="213" spans="1:7" x14ac:dyDescent="0.25">
      <c r="A213" s="101" t="str">
        <f>'Data shares'!C209</f>
        <v>UNIONBANK</v>
      </c>
      <c r="B213" s="144">
        <f>VLOOKUP($A213,'Data shares'!$C:$FA,7)</f>
        <v>179.71</v>
      </c>
      <c r="C213" s="144">
        <f>VLOOKUP($A213,'Data shares'!$C:$FA,3)</f>
        <v>179.4</v>
      </c>
      <c r="D213" s="144">
        <f>VLOOKUP($A213,'Data shares'!$C:$FA,23)</f>
        <v>-0.31</v>
      </c>
      <c r="E213" s="145">
        <f>VLOOKUP($A213,'Data shares'!$C:$FA,26)*100</f>
        <v>-0.16999999999999998</v>
      </c>
      <c r="F213" s="144">
        <f>VLOOKUP($A213,'Data shares'!$C:$FA,24)</f>
        <v>-0.74</v>
      </c>
      <c r="G213" s="144">
        <f>VLOOKUP($A213,'Data shares'!$C:$FA,25)</f>
        <v>0.43</v>
      </c>
    </row>
    <row r="214" spans="1:7" x14ac:dyDescent="0.25">
      <c r="A214" s="101" t="str">
        <f>'Data shares'!C210</f>
        <v>UNITDSPR</v>
      </c>
      <c r="B214" s="144">
        <f>VLOOKUP($A214,'Data shares'!$C:$FA,7)</f>
        <v>1382.3</v>
      </c>
      <c r="C214" s="144">
        <f>VLOOKUP($A214,'Data shares'!$C:$FA,3)</f>
        <v>1380.5</v>
      </c>
      <c r="D214" s="144">
        <f>VLOOKUP($A214,'Data shares'!$C:$FA,23)</f>
        <v>-1.8</v>
      </c>
      <c r="E214" s="145">
        <f>VLOOKUP($A214,'Data shares'!$C:$FA,26)*100</f>
        <v>-0.13</v>
      </c>
      <c r="F214" s="144">
        <f>VLOOKUP($A214,'Data shares'!$C:$FA,24)</f>
        <v>-2.4</v>
      </c>
      <c r="G214" s="144">
        <f>VLOOKUP($A214,'Data shares'!$C:$FA,25)</f>
        <v>0.6</v>
      </c>
    </row>
    <row r="215" spans="1:7" x14ac:dyDescent="0.25">
      <c r="A215" s="101" t="str">
        <f>'Data shares'!C211</f>
        <v>UNOMINDA</v>
      </c>
      <c r="B215" s="144">
        <f>VLOOKUP($A215,'Data shares'!$C:$FA,7)</f>
        <v>1130.0999999999999</v>
      </c>
      <c r="C215" s="144">
        <f>VLOOKUP($A215,'Data shares'!$C:$FA,3)</f>
        <v>1131</v>
      </c>
      <c r="D215" s="144">
        <f>VLOOKUP($A215,'Data shares'!$C:$FA,23)</f>
        <v>0.9</v>
      </c>
      <c r="E215" s="145">
        <f>VLOOKUP($A215,'Data shares'!$C:$FA,26)*100</f>
        <v>0.08</v>
      </c>
      <c r="F215" s="144">
        <f>VLOOKUP($A215,'Data shares'!$C:$FA,24)</f>
        <v>-1.4</v>
      </c>
      <c r="G215" s="144">
        <f>VLOOKUP($A215,'Data shares'!$C:$FA,25)</f>
        <v>2.2999999999999998</v>
      </c>
    </row>
    <row r="216" spans="1:7" x14ac:dyDescent="0.25">
      <c r="A216" s="101" t="str">
        <f>'Data shares'!C212</f>
        <v>UPL</v>
      </c>
      <c r="B216" s="144">
        <f>VLOOKUP($A216,'Data shares'!$C:$FA,7)</f>
        <v>642.04999999999995</v>
      </c>
      <c r="C216" s="144">
        <f>VLOOKUP($A216,'Data shares'!$C:$FA,3)</f>
        <v>641.65</v>
      </c>
      <c r="D216" s="144">
        <f>VLOOKUP($A216,'Data shares'!$C:$FA,23)</f>
        <v>-0.4</v>
      </c>
      <c r="E216" s="145">
        <f>VLOOKUP($A216,'Data shares'!$C:$FA,26)*100</f>
        <v>-0.06</v>
      </c>
      <c r="F216" s="144">
        <f>VLOOKUP($A216,'Data shares'!$C:$FA,24)</f>
        <v>1.4</v>
      </c>
      <c r="G216" s="144">
        <f>VLOOKUP($A216,'Data shares'!$C:$FA,25)</f>
        <v>-1.8</v>
      </c>
    </row>
    <row r="217" spans="1:7" x14ac:dyDescent="0.25">
      <c r="A217" s="101" t="str">
        <f>'Data shares'!C213</f>
        <v>VBL</v>
      </c>
      <c r="B217" s="144">
        <f>VLOOKUP($A217,'Data shares'!$C:$FA,7)</f>
        <v>484.25</v>
      </c>
      <c r="C217" s="144">
        <f>VLOOKUP($A217,'Data shares'!$C:$FA,3)</f>
        <v>484.85</v>
      </c>
      <c r="D217" s="144">
        <f>VLOOKUP($A217,'Data shares'!$C:$FA,23)</f>
        <v>0.6</v>
      </c>
      <c r="E217" s="145">
        <f>VLOOKUP($A217,'Data shares'!$C:$FA,26)*100</f>
        <v>0.12</v>
      </c>
      <c r="F217" s="144">
        <f>VLOOKUP($A217,'Data shares'!$C:$FA,24)</f>
        <v>-0.7</v>
      </c>
      <c r="G217" s="144">
        <f>VLOOKUP($A217,'Data shares'!$C:$FA,25)</f>
        <v>1.3</v>
      </c>
    </row>
    <row r="218" spans="1:7" x14ac:dyDescent="0.25">
      <c r="A218" s="101" t="str">
        <f>'Data shares'!C214</f>
        <v>VEDL</v>
      </c>
      <c r="B218" s="144">
        <f>VLOOKUP($A218,'Data shares'!$C:$FA,7)</f>
        <v>735.6</v>
      </c>
      <c r="C218" s="144">
        <f>VLOOKUP($A218,'Data shares'!$C:$FA,3)</f>
        <v>735.5</v>
      </c>
      <c r="D218" s="144">
        <f>VLOOKUP($A218,'Data shares'!$C:$FA,23)</f>
        <v>-0.1</v>
      </c>
      <c r="E218" s="145">
        <f>VLOOKUP($A218,'Data shares'!$C:$FA,26)*100</f>
        <v>-0.01</v>
      </c>
      <c r="F218" s="144">
        <f>VLOOKUP($A218,'Data shares'!$C:$FA,24)</f>
        <v>1.65</v>
      </c>
      <c r="G218" s="144">
        <f>VLOOKUP($A218,'Data shares'!$C:$FA,25)</f>
        <v>-1.75</v>
      </c>
    </row>
    <row r="219" spans="1:7" x14ac:dyDescent="0.25">
      <c r="A219" s="101" t="str">
        <f>'Data shares'!C215</f>
        <v>VMM</v>
      </c>
      <c r="B219" s="144">
        <f>VLOOKUP($A219,'Data shares'!$C:$FA,7)</f>
        <v>126.16</v>
      </c>
      <c r="C219" s="144">
        <f>VLOOKUP($A219,'Data shares'!$C:$FA,3)</f>
        <v>126.22</v>
      </c>
      <c r="D219" s="144">
        <f>VLOOKUP($A219,'Data shares'!$C:$FA,23)</f>
        <v>0.06</v>
      </c>
      <c r="E219" s="145">
        <f>VLOOKUP($A219,'Data shares'!$C:$FA,26)*100</f>
        <v>0.05</v>
      </c>
      <c r="F219" s="144">
        <f>VLOOKUP($A219,'Data shares'!$C:$FA,24)</f>
        <v>-0.21</v>
      </c>
      <c r="G219" s="144">
        <f>VLOOKUP($A219,'Data shares'!$C:$FA,25)</f>
        <v>0.27</v>
      </c>
    </row>
    <row r="220" spans="1:7" x14ac:dyDescent="0.25">
      <c r="A220" s="101" t="str">
        <f>'Data shares'!C216</f>
        <v>VOLTAS</v>
      </c>
      <c r="B220" s="144">
        <f>VLOOKUP($A220,'Data shares'!$C:$FA,7)</f>
        <v>1445.5</v>
      </c>
      <c r="C220" s="144">
        <f>VLOOKUP($A220,'Data shares'!$C:$FA,3)</f>
        <v>1443.4</v>
      </c>
      <c r="D220" s="144">
        <f>VLOOKUP($A220,'Data shares'!$C:$FA,23)</f>
        <v>-2.1</v>
      </c>
      <c r="E220" s="145">
        <f>VLOOKUP($A220,'Data shares'!$C:$FA,26)*100</f>
        <v>-0.15</v>
      </c>
      <c r="F220" s="144">
        <f>VLOOKUP($A220,'Data shares'!$C:$FA,24)</f>
        <v>-4.5999999999999996</v>
      </c>
      <c r="G220" s="144">
        <f>VLOOKUP($A220,'Data shares'!$C:$FA,25)</f>
        <v>2.5</v>
      </c>
    </row>
    <row r="221" spans="1:7" x14ac:dyDescent="0.25">
      <c r="A221" s="101" t="str">
        <f>'Data shares'!C217</f>
        <v>WAAREEENER</v>
      </c>
      <c r="B221" s="144">
        <f>VLOOKUP($A221,'Data shares'!$C:$FA,7)</f>
        <v>3413</v>
      </c>
      <c r="C221" s="144">
        <f>VLOOKUP($A221,'Data shares'!$C:$FA,3)</f>
        <v>3416.1</v>
      </c>
      <c r="D221" s="144">
        <f>VLOOKUP($A221,'Data shares'!$C:$FA,23)</f>
        <v>3.1</v>
      </c>
      <c r="E221" s="145">
        <f>VLOOKUP($A221,'Data shares'!$C:$FA,26)*100</f>
        <v>0.09</v>
      </c>
      <c r="F221" s="144">
        <f>VLOOKUP($A221,'Data shares'!$C:$FA,24)</f>
        <v>8</v>
      </c>
      <c r="G221" s="144">
        <f>VLOOKUP($A221,'Data shares'!$C:$FA,25)</f>
        <v>-4.9000000000000004</v>
      </c>
    </row>
    <row r="222" spans="1:7" x14ac:dyDescent="0.25">
      <c r="A222" s="101" t="str">
        <f>'Data shares'!C218</f>
        <v>WIPRO</v>
      </c>
      <c r="B222" s="144">
        <f>VLOOKUP($A222,'Data shares'!$C:$FA,7)</f>
        <v>202.76</v>
      </c>
      <c r="C222" s="144">
        <f>VLOOKUP($A222,'Data shares'!$C:$FA,3)</f>
        <v>202.85</v>
      </c>
      <c r="D222" s="144">
        <f>VLOOKUP($A222,'Data shares'!$C:$FA,23)</f>
        <v>0.09</v>
      </c>
      <c r="E222" s="145">
        <f>VLOOKUP($A222,'Data shares'!$C:$FA,26)*100</f>
        <v>0.04</v>
      </c>
      <c r="F222" s="144">
        <f>VLOOKUP($A222,'Data shares'!$C:$FA,24)</f>
        <v>-0.19</v>
      </c>
      <c r="G222" s="144">
        <f>VLOOKUP($A222,'Data shares'!$C:$FA,25)</f>
        <v>0.28000000000000003</v>
      </c>
    </row>
    <row r="223" spans="1:7" x14ac:dyDescent="0.25">
      <c r="A223" s="101" t="str">
        <f>'Data shares'!C219</f>
        <v>YESBANK</v>
      </c>
      <c r="B223" s="144">
        <f>VLOOKUP($A223,'Data shares'!$C:$FA,7)</f>
        <v>20.03</v>
      </c>
      <c r="C223" s="144">
        <f>VLOOKUP($A223,'Data shares'!$C:$FA,3)</f>
        <v>20</v>
      </c>
      <c r="D223" s="144">
        <f>VLOOKUP($A223,'Data shares'!$C:$FA,23)</f>
        <v>-0.03</v>
      </c>
      <c r="E223" s="145">
        <f>VLOOKUP($A223,'Data shares'!$C:$FA,26)*100</f>
        <v>-0.15</v>
      </c>
      <c r="F223" s="144">
        <f>VLOOKUP($A223,'Data shares'!$C:$FA,24)</f>
        <v>0.01</v>
      </c>
      <c r="G223" s="144">
        <f>VLOOKUP($A223,'Data shares'!$C:$FA,25)</f>
        <v>-0.04</v>
      </c>
    </row>
    <row r="224" spans="1:7" x14ac:dyDescent="0.25">
      <c r="A224" s="101" t="str">
        <f>'Data shares'!C220</f>
        <v>ZYDUSLIFE</v>
      </c>
      <c r="B224" s="144">
        <f>VLOOKUP($A224,'Data shares'!$C:$FA,7)</f>
        <v>946.35</v>
      </c>
      <c r="C224" s="144">
        <f>VLOOKUP($A224,'Data shares'!$C:$FA,3)</f>
        <v>946.55</v>
      </c>
      <c r="D224" s="144">
        <f>VLOOKUP($A224,'Data shares'!$C:$FA,23)</f>
        <v>0.2</v>
      </c>
      <c r="E224" s="145">
        <f>VLOOKUP($A224,'Data shares'!$C:$FA,26)*100</f>
        <v>0.02</v>
      </c>
      <c r="F224" s="144">
        <f>VLOOKUP($A224,'Data shares'!$C:$FA,24)</f>
        <v>0.65</v>
      </c>
      <c r="G224" s="144">
        <f>VLOOKUP($A224,'Data shares'!$C:$FA,25)</f>
        <v>-0.45</v>
      </c>
    </row>
    <row r="225" spans="1:7" x14ac:dyDescent="0.25">
      <c r="A225" s="101"/>
      <c r="B225" s="144"/>
      <c r="C225" s="144"/>
      <c r="D225" s="144"/>
      <c r="E225" s="145"/>
      <c r="F225" s="144"/>
      <c r="G225" s="144"/>
    </row>
    <row r="226" spans="1:7" x14ac:dyDescent="0.25">
      <c r="A226" s="101"/>
      <c r="B226" s="144"/>
      <c r="C226" s="144"/>
      <c r="D226" s="144"/>
      <c r="E226" s="145"/>
      <c r="F226" s="144"/>
      <c r="G226" s="144"/>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9"/>
  <sheetViews>
    <sheetView workbookViewId="0">
      <pane ySplit="6" topLeftCell="A195" activePane="bottomLeft" state="frozen"/>
      <selection pane="bottomLeft" activeCell="A7" sqref="A7:A225"/>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3" t="s">
        <v>370</v>
      </c>
      <c r="B3" s="314"/>
      <c r="C3" s="314"/>
      <c r="D3" s="314"/>
      <c r="E3" s="314"/>
      <c r="F3" s="314"/>
      <c r="G3" s="315"/>
    </row>
    <row r="4" spans="1:7" x14ac:dyDescent="0.25">
      <c r="A4" s="317" t="s">
        <v>318</v>
      </c>
      <c r="B4" s="241" t="s">
        <v>371</v>
      </c>
      <c r="C4" s="241"/>
      <c r="D4" s="241"/>
      <c r="E4" s="241"/>
      <c r="F4" s="241"/>
      <c r="G4" s="241"/>
    </row>
    <row r="5" spans="1:7" x14ac:dyDescent="0.25">
      <c r="A5" s="318"/>
      <c r="B5" s="316" t="s">
        <v>372</v>
      </c>
      <c r="C5" s="316"/>
      <c r="D5" s="316"/>
      <c r="E5" s="316" t="s">
        <v>373</v>
      </c>
      <c r="F5" s="316"/>
      <c r="G5" s="316"/>
    </row>
    <row r="6" spans="1:7" x14ac:dyDescent="0.25">
      <c r="A6" s="241"/>
      <c r="B6" s="2" t="s">
        <v>374</v>
      </c>
      <c r="C6" s="2" t="s">
        <v>375</v>
      </c>
      <c r="D6" s="2" t="s">
        <v>376</v>
      </c>
      <c r="E6" s="2" t="s">
        <v>377</v>
      </c>
      <c r="F6" s="2" t="s">
        <v>378</v>
      </c>
      <c r="G6" s="2" t="s">
        <v>379</v>
      </c>
    </row>
    <row r="7" spans="1:7" x14ac:dyDescent="0.25">
      <c r="A7" s="49" t="str">
        <f>'Data Vlaue (Cr)'!C2</f>
        <v>360ONE</v>
      </c>
      <c r="B7" s="50">
        <f>VLOOKUP($A7,'Data shares'!$C:$FM,102)</f>
        <v>38.630000000000003</v>
      </c>
      <c r="C7" s="50">
        <f>VLOOKUP($A7,'Data shares'!$C:$FM,110)</f>
        <v>38.29</v>
      </c>
      <c r="D7" s="50">
        <f>VLOOKUP($A7,'Data shares'!$C:$FM,114)</f>
        <v>39.6</v>
      </c>
      <c r="E7" s="50">
        <f>VLOOKUP($A7,'Data shares'!$C:$FM,106)</f>
        <v>42.33</v>
      </c>
      <c r="F7" s="50">
        <f>VLOOKUP($A7,'Data shares'!$C:$FM,108)</f>
        <v>-3.7</v>
      </c>
      <c r="G7" s="50">
        <f t="shared" ref="G7:G38" si="0">B7/E7</f>
        <v>0.91259154264115294</v>
      </c>
    </row>
    <row r="8" spans="1:7" x14ac:dyDescent="0.25">
      <c r="A8" s="49" t="str">
        <f>'Data Vlaue (Cr)'!C3</f>
        <v>ABB</v>
      </c>
      <c r="B8" s="50">
        <f>VLOOKUP($A8,'Data shares'!$C:$FM,102)</f>
        <v>37.700000000000003</v>
      </c>
      <c r="C8" s="50">
        <f>VLOOKUP($A8,'Data shares'!$C:$FM,110)</f>
        <v>37.85</v>
      </c>
      <c r="D8" s="50">
        <f>VLOOKUP($A8,'Data shares'!$C:$FM,114)</f>
        <v>37.35</v>
      </c>
      <c r="E8" s="50">
        <f>VLOOKUP($A8,'Data shares'!$C:$FM,106)</f>
        <v>37.36</v>
      </c>
      <c r="F8" s="50">
        <f>VLOOKUP($A8,'Data shares'!$C:$FM,108)</f>
        <v>0.34</v>
      </c>
      <c r="G8" s="50">
        <f t="shared" si="0"/>
        <v>1.0091006423982871</v>
      </c>
    </row>
    <row r="9" spans="1:7" x14ac:dyDescent="0.25">
      <c r="A9" s="49" t="str">
        <f>'Data Vlaue (Cr)'!C4</f>
        <v>ABCAPITAL</v>
      </c>
      <c r="B9" s="50">
        <f>VLOOKUP($A9,'Data shares'!$C:$FM,102)</f>
        <v>36.17</v>
      </c>
      <c r="C9" s="50">
        <f>VLOOKUP($A9,'Data shares'!$C:$FM,110)</f>
        <v>36.14</v>
      </c>
      <c r="D9" s="50">
        <f>VLOOKUP($A9,'Data shares'!$C:$FM,114)</f>
        <v>36.229999999999997</v>
      </c>
      <c r="E9" s="50">
        <f>VLOOKUP($A9,'Data shares'!$C:$FM,106)</f>
        <v>41.18</v>
      </c>
      <c r="F9" s="50">
        <f>VLOOKUP($A9,'Data shares'!$C:$FM,108)</f>
        <v>-5.01</v>
      </c>
      <c r="G9" s="50">
        <f t="shared" si="0"/>
        <v>0.87833899951432737</v>
      </c>
    </row>
    <row r="10" spans="1:7" x14ac:dyDescent="0.25">
      <c r="A10" s="49" t="str">
        <f>'Data Vlaue (Cr)'!C5</f>
        <v>ADANIENSOL</v>
      </c>
      <c r="B10" s="50">
        <f>VLOOKUP($A10,'Data shares'!$C:$FM,102)</f>
        <v>57.23</v>
      </c>
      <c r="C10" s="50">
        <f>VLOOKUP($A10,'Data shares'!$C:$FM,110)</f>
        <v>57.25</v>
      </c>
      <c r="D10" s="50">
        <f>VLOOKUP($A10,'Data shares'!$C:$FM,114)</f>
        <v>57.14</v>
      </c>
      <c r="E10" s="50">
        <f>VLOOKUP($A10,'Data shares'!$C:$FM,106)</f>
        <v>56.2</v>
      </c>
      <c r="F10" s="50">
        <f>VLOOKUP($A10,'Data shares'!$C:$FM,108)</f>
        <v>1.03</v>
      </c>
      <c r="G10" s="50">
        <f t="shared" si="0"/>
        <v>1.0183274021352313</v>
      </c>
    </row>
    <row r="11" spans="1:7" x14ac:dyDescent="0.25">
      <c r="A11" s="49" t="str">
        <f>'Data Vlaue (Cr)'!C6</f>
        <v>ADANIENT</v>
      </c>
      <c r="B11" s="50">
        <f>VLOOKUP($A11,'Data shares'!$C:$FM,102)</f>
        <v>42.48</v>
      </c>
      <c r="C11" s="50">
        <f>VLOOKUP($A11,'Data shares'!$C:$FM,110)</f>
        <v>42.17</v>
      </c>
      <c r="D11" s="50">
        <f>VLOOKUP($A11,'Data shares'!$C:$FM,114)</f>
        <v>43.28</v>
      </c>
      <c r="E11" s="50">
        <f>VLOOKUP($A11,'Data shares'!$C:$FM,106)</f>
        <v>49.24</v>
      </c>
      <c r="F11" s="50">
        <f>VLOOKUP($A11,'Data shares'!$C:$FM,108)</f>
        <v>-6.76</v>
      </c>
      <c r="G11" s="50">
        <f t="shared" si="0"/>
        <v>0.86271324126726234</v>
      </c>
    </row>
    <row r="12" spans="1:7" x14ac:dyDescent="0.25">
      <c r="A12" s="49" t="str">
        <f>'Data Vlaue (Cr)'!C7</f>
        <v>ADANIGREEN</v>
      </c>
      <c r="B12" s="50">
        <f>VLOOKUP($A12,'Data shares'!$C:$FM,102)</f>
        <v>56.88</v>
      </c>
      <c r="C12" s="50">
        <f>VLOOKUP($A12,'Data shares'!$C:$FM,110)</f>
        <v>56.98</v>
      </c>
      <c r="D12" s="50">
        <f>VLOOKUP($A12,'Data shares'!$C:$FM,114)</f>
        <v>56.48</v>
      </c>
      <c r="E12" s="50">
        <f>VLOOKUP($A12,'Data shares'!$C:$FM,106)</f>
        <v>59.03</v>
      </c>
      <c r="F12" s="50">
        <f>VLOOKUP($A12,'Data shares'!$C:$FM,108)</f>
        <v>-2.15</v>
      </c>
      <c r="G12" s="50">
        <f t="shared" si="0"/>
        <v>0.96357784177536843</v>
      </c>
    </row>
    <row r="13" spans="1:7" x14ac:dyDescent="0.25">
      <c r="A13" s="49" t="str">
        <f>'Data Vlaue (Cr)'!C8</f>
        <v>ADANIPORTS</v>
      </c>
      <c r="B13" s="50">
        <f>VLOOKUP($A13,'Data shares'!$C:$FM,102)</f>
        <v>35.31</v>
      </c>
      <c r="C13" s="50">
        <f>VLOOKUP($A13,'Data shares'!$C:$FM,110)</f>
        <v>34.35</v>
      </c>
      <c r="D13" s="50">
        <f>VLOOKUP($A13,'Data shares'!$C:$FM,114)</f>
        <v>37.409999999999997</v>
      </c>
      <c r="E13" s="50">
        <f>VLOOKUP($A13,'Data shares'!$C:$FM,106)</f>
        <v>39.94</v>
      </c>
      <c r="F13" s="50">
        <f>VLOOKUP($A13,'Data shares'!$C:$FM,108)</f>
        <v>-4.63</v>
      </c>
      <c r="G13" s="50">
        <f t="shared" si="0"/>
        <v>0.88407611417125698</v>
      </c>
    </row>
    <row r="14" spans="1:7" x14ac:dyDescent="0.25">
      <c r="A14" s="49" t="str">
        <f>'Data Vlaue (Cr)'!C9</f>
        <v>ADANIPOWER</v>
      </c>
      <c r="B14" s="50">
        <f>VLOOKUP($A14,'Data shares'!$C:$FM,102)</f>
        <v>65.67</v>
      </c>
      <c r="C14" s="50">
        <f>VLOOKUP($A14,'Data shares'!$C:$FM,110)</f>
        <v>65.73</v>
      </c>
      <c r="D14" s="50">
        <f>VLOOKUP($A14,'Data shares'!$C:$FM,114)</f>
        <v>65.569999999999993</v>
      </c>
      <c r="E14" s="50">
        <f>VLOOKUP($A14,'Data shares'!$C:$FM,106)</f>
        <v>52.82</v>
      </c>
      <c r="F14" s="50">
        <f>VLOOKUP($A14,'Data shares'!$C:$FM,108)</f>
        <v>12.85</v>
      </c>
      <c r="G14" s="50">
        <f t="shared" si="0"/>
        <v>1.243279060961757</v>
      </c>
    </row>
    <row r="15" spans="1:7" x14ac:dyDescent="0.25">
      <c r="A15" s="49" t="str">
        <f>'Data Vlaue (Cr)'!C10</f>
        <v>ALKEM</v>
      </c>
      <c r="B15" s="50">
        <f>VLOOKUP($A15,'Data shares'!$C:$FM,102)</f>
        <v>30.67</v>
      </c>
      <c r="C15" s="50">
        <f>VLOOKUP($A15,'Data shares'!$C:$FM,110)</f>
        <v>29.56</v>
      </c>
      <c r="D15" s="50">
        <f>VLOOKUP($A15,'Data shares'!$C:$FM,114)</f>
        <v>31.46</v>
      </c>
      <c r="E15" s="50">
        <f>VLOOKUP($A15,'Data shares'!$C:$FM,106)</f>
        <v>28.47</v>
      </c>
      <c r="F15" s="50">
        <f>VLOOKUP($A15,'Data shares'!$C:$FM,108)</f>
        <v>2.2000000000000002</v>
      </c>
      <c r="G15" s="50">
        <f t="shared" si="0"/>
        <v>1.0772743238496665</v>
      </c>
    </row>
    <row r="16" spans="1:7" x14ac:dyDescent="0.25">
      <c r="A16" s="49" t="str">
        <f>'Data Vlaue (Cr)'!C11</f>
        <v>AMBER</v>
      </c>
      <c r="B16" s="50">
        <f>VLOOKUP($A16,'Data shares'!$C:$FM,102)</f>
        <v>48.01</v>
      </c>
      <c r="C16" s="50">
        <f>VLOOKUP($A16,'Data shares'!$C:$FM,110)</f>
        <v>48.29</v>
      </c>
      <c r="D16" s="50">
        <f>VLOOKUP($A16,'Data shares'!$C:$FM,114)</f>
        <v>47.65</v>
      </c>
      <c r="E16" s="50">
        <f>VLOOKUP($A16,'Data shares'!$C:$FM,106)</f>
        <v>53.83</v>
      </c>
      <c r="F16" s="50">
        <f>VLOOKUP($A16,'Data shares'!$C:$FM,108)</f>
        <v>-5.82</v>
      </c>
      <c r="G16" s="50">
        <f t="shared" si="0"/>
        <v>0.89188185026936651</v>
      </c>
    </row>
    <row r="17" spans="1:7" x14ac:dyDescent="0.25">
      <c r="A17" s="49" t="str">
        <f>'Data Vlaue (Cr)'!C12</f>
        <v>AMBUJACEM</v>
      </c>
      <c r="B17" s="50">
        <f>VLOOKUP($A17,'Data shares'!$C:$FM,102)</f>
        <v>34.74</v>
      </c>
      <c r="C17" s="50">
        <f>VLOOKUP($A17,'Data shares'!$C:$FM,110)</f>
        <v>35.270000000000003</v>
      </c>
      <c r="D17" s="50">
        <f>VLOOKUP($A17,'Data shares'!$C:$FM,114)</f>
        <v>33.340000000000003</v>
      </c>
      <c r="E17" s="50">
        <f>VLOOKUP($A17,'Data shares'!$C:$FM,106)</f>
        <v>36.630000000000003</v>
      </c>
      <c r="F17" s="50">
        <f>VLOOKUP($A17,'Data shares'!$C:$FM,108)</f>
        <v>-1.89</v>
      </c>
      <c r="G17" s="50">
        <f t="shared" si="0"/>
        <v>0.94840294840294836</v>
      </c>
    </row>
    <row r="18" spans="1:7" x14ac:dyDescent="0.25">
      <c r="A18" s="49" t="str">
        <f>'Data Vlaue (Cr)'!C13</f>
        <v>ANGELONE</v>
      </c>
      <c r="B18" s="50">
        <f>VLOOKUP($A18,'Data shares'!$C:$FM,102)</f>
        <v>43.9</v>
      </c>
      <c r="C18" s="50">
        <f>VLOOKUP($A18,'Data shares'!$C:$FM,110)</f>
        <v>43.44</v>
      </c>
      <c r="D18" s="50">
        <f>VLOOKUP($A18,'Data shares'!$C:$FM,114)</f>
        <v>44.82</v>
      </c>
      <c r="E18" s="50">
        <f>VLOOKUP($A18,'Data shares'!$C:$FM,106)</f>
        <v>57.09</v>
      </c>
      <c r="F18" s="50">
        <f>VLOOKUP($A18,'Data shares'!$C:$FM,108)</f>
        <v>-13.19</v>
      </c>
      <c r="G18" s="50">
        <f t="shared" si="0"/>
        <v>0.76896128919250295</v>
      </c>
    </row>
    <row r="19" spans="1:7" x14ac:dyDescent="0.25">
      <c r="A19" s="49" t="str">
        <f>'Data Vlaue (Cr)'!C14</f>
        <v>APLAPOLLO</v>
      </c>
      <c r="B19" s="50">
        <f>VLOOKUP($A19,'Data shares'!$C:$FM,102)</f>
        <v>32.159999999999997</v>
      </c>
      <c r="C19" s="50">
        <f>VLOOKUP($A19,'Data shares'!$C:$FM,110)</f>
        <v>33.06</v>
      </c>
      <c r="D19" s="50">
        <f>VLOOKUP($A19,'Data shares'!$C:$FM,114)</f>
        <v>30.8</v>
      </c>
      <c r="E19" s="50">
        <f>VLOOKUP($A19,'Data shares'!$C:$FM,106)</f>
        <v>36.44</v>
      </c>
      <c r="F19" s="50">
        <f>VLOOKUP($A19,'Data shares'!$C:$FM,108)</f>
        <v>-4.28</v>
      </c>
      <c r="G19" s="50">
        <f t="shared" si="0"/>
        <v>0.88254665203073546</v>
      </c>
    </row>
    <row r="20" spans="1:7" x14ac:dyDescent="0.25">
      <c r="A20" s="49" t="str">
        <f>'Data Vlaue (Cr)'!C15</f>
        <v>APOLLOHOSP</v>
      </c>
      <c r="B20" s="50">
        <f>VLOOKUP($A20,'Data shares'!$C:$FM,102)</f>
        <v>26.13</v>
      </c>
      <c r="C20" s="50">
        <f>VLOOKUP($A20,'Data shares'!$C:$FM,110)</f>
        <v>25.99</v>
      </c>
      <c r="D20" s="50">
        <f>VLOOKUP($A20,'Data shares'!$C:$FM,114)</f>
        <v>26.46</v>
      </c>
      <c r="E20" s="50">
        <f>VLOOKUP($A20,'Data shares'!$C:$FM,106)</f>
        <v>25.16</v>
      </c>
      <c r="F20" s="50">
        <f>VLOOKUP($A20,'Data shares'!$C:$FM,108)</f>
        <v>0.97</v>
      </c>
      <c r="G20" s="50">
        <f t="shared" si="0"/>
        <v>1.0385532591414943</v>
      </c>
    </row>
    <row r="21" spans="1:7" x14ac:dyDescent="0.25">
      <c r="A21" s="49" t="str">
        <f>'Data Vlaue (Cr)'!C16</f>
        <v>ASHOKLEY</v>
      </c>
      <c r="B21" s="50">
        <f>VLOOKUP($A21,'Data shares'!$C:$FM,102)</f>
        <v>45.35</v>
      </c>
      <c r="C21" s="50">
        <f>VLOOKUP($A21,'Data shares'!$C:$FM,110)</f>
        <v>45.93</v>
      </c>
      <c r="D21" s="50">
        <f>VLOOKUP($A21,'Data shares'!$C:$FM,114)</f>
        <v>44.15</v>
      </c>
      <c r="E21" s="50">
        <f>VLOOKUP($A21,'Data shares'!$C:$FM,106)</f>
        <v>42.71</v>
      </c>
      <c r="F21" s="50">
        <f>VLOOKUP($A21,'Data shares'!$C:$FM,108)</f>
        <v>2.64</v>
      </c>
      <c r="G21" s="50">
        <f t="shared" si="0"/>
        <v>1.0618122219620698</v>
      </c>
    </row>
    <row r="22" spans="1:7" x14ac:dyDescent="0.25">
      <c r="A22" s="49" t="str">
        <f>'Data Vlaue (Cr)'!C17</f>
        <v>ASIANPAINT</v>
      </c>
      <c r="B22" s="50">
        <f>VLOOKUP($A22,'Data shares'!$C:$FM,102)</f>
        <v>30.85</v>
      </c>
      <c r="C22" s="50">
        <f>VLOOKUP($A22,'Data shares'!$C:$FM,110)</f>
        <v>30.1</v>
      </c>
      <c r="D22" s="50">
        <f>VLOOKUP($A22,'Data shares'!$C:$FM,114)</f>
        <v>31.6</v>
      </c>
      <c r="E22" s="50">
        <f>VLOOKUP($A22,'Data shares'!$C:$FM,106)</f>
        <v>29.19</v>
      </c>
      <c r="F22" s="50">
        <f>VLOOKUP($A22,'Data shares'!$C:$FM,108)</f>
        <v>1.66</v>
      </c>
      <c r="G22" s="50">
        <f t="shared" si="0"/>
        <v>1.0568687906817402</v>
      </c>
    </row>
    <row r="23" spans="1:7" x14ac:dyDescent="0.25">
      <c r="A23" s="49" t="str">
        <f>'Data Vlaue (Cr)'!C18</f>
        <v>ASTRAL</v>
      </c>
      <c r="B23" s="50">
        <f>VLOOKUP($A23,'Data shares'!$C:$FM,102)</f>
        <v>34.58</v>
      </c>
      <c r="C23" s="50">
        <f>VLOOKUP($A23,'Data shares'!$C:$FM,110)</f>
        <v>34.68</v>
      </c>
      <c r="D23" s="50">
        <f>VLOOKUP($A23,'Data shares'!$C:$FM,114)</f>
        <v>34.369999999999997</v>
      </c>
      <c r="E23" s="50">
        <f>VLOOKUP($A23,'Data shares'!$C:$FM,106)</f>
        <v>35.700000000000003</v>
      </c>
      <c r="F23" s="50">
        <f>VLOOKUP($A23,'Data shares'!$C:$FM,108)</f>
        <v>-1.1200000000000001</v>
      </c>
      <c r="G23" s="50">
        <f t="shared" si="0"/>
        <v>0.96862745098039205</v>
      </c>
    </row>
    <row r="24" spans="1:7" x14ac:dyDescent="0.25">
      <c r="A24" s="49" t="str">
        <f>'Data Vlaue (Cr)'!C19</f>
        <v>AUBANK</v>
      </c>
      <c r="B24" s="50">
        <f>VLOOKUP($A24,'Data shares'!$C:$FM,102)</f>
        <v>38.44</v>
      </c>
      <c r="C24" s="50">
        <f>VLOOKUP($A24,'Data shares'!$C:$FM,110)</f>
        <v>38.26</v>
      </c>
      <c r="D24" s="50">
        <f>VLOOKUP($A24,'Data shares'!$C:$FM,114)</f>
        <v>39.01</v>
      </c>
      <c r="E24" s="50">
        <f>VLOOKUP($A24,'Data shares'!$C:$FM,106)</f>
        <v>38.35</v>
      </c>
      <c r="F24" s="50">
        <f>VLOOKUP($A24,'Data shares'!$C:$FM,108)</f>
        <v>0.09</v>
      </c>
      <c r="G24" s="50">
        <f t="shared" si="0"/>
        <v>1.0023468057366363</v>
      </c>
    </row>
    <row r="25" spans="1:7" x14ac:dyDescent="0.25">
      <c r="A25" s="49" t="str">
        <f>'Data Vlaue (Cr)'!C20</f>
        <v>AUROPHARMA</v>
      </c>
      <c r="B25" s="50">
        <f>VLOOKUP($A25,'Data shares'!$C:$FM,102)</f>
        <v>31.47</v>
      </c>
      <c r="C25" s="50">
        <f>VLOOKUP($A25,'Data shares'!$C:$FM,110)</f>
        <v>31.22</v>
      </c>
      <c r="D25" s="50">
        <f>VLOOKUP($A25,'Data shares'!$C:$FM,114)</f>
        <v>31.9</v>
      </c>
      <c r="E25" s="50">
        <f>VLOOKUP($A25,'Data shares'!$C:$FM,106)</f>
        <v>33.270000000000003</v>
      </c>
      <c r="F25" s="50">
        <f>VLOOKUP($A25,'Data shares'!$C:$FM,108)</f>
        <v>-1.8</v>
      </c>
      <c r="G25" s="50">
        <f t="shared" si="0"/>
        <v>0.94589720468890881</v>
      </c>
    </row>
    <row r="26" spans="1:7" x14ac:dyDescent="0.25">
      <c r="A26" s="49" t="str">
        <f>'Data Vlaue (Cr)'!C21</f>
        <v>AXISBANK</v>
      </c>
      <c r="B26" s="50">
        <f>VLOOKUP($A26,'Data shares'!$C:$FM,102)</f>
        <v>28.95</v>
      </c>
      <c r="C26" s="50">
        <f>VLOOKUP($A26,'Data shares'!$C:$FM,110)</f>
        <v>28.41</v>
      </c>
      <c r="D26" s="50">
        <f>VLOOKUP($A26,'Data shares'!$C:$FM,114)</f>
        <v>29.55</v>
      </c>
      <c r="E26" s="50">
        <f>VLOOKUP($A26,'Data shares'!$C:$FM,106)</f>
        <v>29.87</v>
      </c>
      <c r="F26" s="50">
        <f>VLOOKUP($A26,'Data shares'!$C:$FM,108)</f>
        <v>-0.92</v>
      </c>
      <c r="G26" s="50">
        <f t="shared" si="0"/>
        <v>0.96919986608637421</v>
      </c>
    </row>
    <row r="27" spans="1:7" x14ac:dyDescent="0.25">
      <c r="A27" s="49" t="str">
        <f>'Data Vlaue (Cr)'!C22</f>
        <v>BAJAJ-AUTO</v>
      </c>
      <c r="B27" s="50">
        <f>VLOOKUP($A27,'Data shares'!$C:$FM,102)</f>
        <v>30.01</v>
      </c>
      <c r="C27" s="50">
        <f>VLOOKUP($A27,'Data shares'!$C:$FM,110)</f>
        <v>30.37</v>
      </c>
      <c r="D27" s="50">
        <f>VLOOKUP($A27,'Data shares'!$C:$FM,114)</f>
        <v>29.67</v>
      </c>
      <c r="E27" s="50">
        <f>VLOOKUP($A27,'Data shares'!$C:$FM,106)</f>
        <v>29.52</v>
      </c>
      <c r="F27" s="50">
        <f>VLOOKUP($A27,'Data shares'!$C:$FM,108)</f>
        <v>0.49</v>
      </c>
      <c r="G27" s="50">
        <f t="shared" si="0"/>
        <v>1.01659891598916</v>
      </c>
    </row>
    <row r="28" spans="1:7" x14ac:dyDescent="0.25">
      <c r="A28" s="49" t="str">
        <f>'Data Vlaue (Cr)'!C23</f>
        <v>BAJAJFINSV</v>
      </c>
      <c r="B28" s="50">
        <f>VLOOKUP($A28,'Data shares'!$C:$FM,102)</f>
        <v>31.42</v>
      </c>
      <c r="C28" s="50">
        <f>VLOOKUP($A28,'Data shares'!$C:$FM,110)</f>
        <v>31.33</v>
      </c>
      <c r="D28" s="50">
        <f>VLOOKUP($A28,'Data shares'!$C:$FM,114)</f>
        <v>31.58</v>
      </c>
      <c r="E28" s="50">
        <f>VLOOKUP($A28,'Data shares'!$C:$FM,106)</f>
        <v>30.66</v>
      </c>
      <c r="F28" s="50">
        <f>VLOOKUP($A28,'Data shares'!$C:$FM,108)</f>
        <v>0.76</v>
      </c>
      <c r="G28" s="50">
        <f t="shared" si="0"/>
        <v>1.0247879973907372</v>
      </c>
    </row>
    <row r="29" spans="1:7" x14ac:dyDescent="0.25">
      <c r="A29" s="49" t="str">
        <f>'Data Vlaue (Cr)'!C24</f>
        <v>BAJAJHLDNG</v>
      </c>
      <c r="B29" s="50">
        <f>VLOOKUP($A29,'Data shares'!$C:$FM,102)</f>
        <v>32.020000000000003</v>
      </c>
      <c r="C29" s="50">
        <f>VLOOKUP($A29,'Data shares'!$C:$FM,110)</f>
        <v>32.21</v>
      </c>
      <c r="D29" s="50">
        <f>VLOOKUP($A29,'Data shares'!$C:$FM,114)</f>
        <v>31.24</v>
      </c>
      <c r="E29" s="50">
        <f>VLOOKUP($A29,'Data shares'!$C:$FM,106)</f>
        <v>38.64</v>
      </c>
      <c r="F29" s="50">
        <f>VLOOKUP($A29,'Data shares'!$C:$FM,108)</f>
        <v>-6.62</v>
      </c>
      <c r="G29" s="50">
        <f t="shared" si="0"/>
        <v>0.82867494824016574</v>
      </c>
    </row>
    <row r="30" spans="1:7" x14ac:dyDescent="0.25">
      <c r="A30" s="49" t="str">
        <f>'Data Vlaue (Cr)'!C25</f>
        <v>BAJFINANCE</v>
      </c>
      <c r="B30" s="50">
        <f>VLOOKUP($A30,'Data shares'!$C:$FM,102)</f>
        <v>35.64</v>
      </c>
      <c r="C30" s="50">
        <f>VLOOKUP($A30,'Data shares'!$C:$FM,110)</f>
        <v>35.130000000000003</v>
      </c>
      <c r="D30" s="50">
        <f>VLOOKUP($A30,'Data shares'!$C:$FM,114)</f>
        <v>36.31</v>
      </c>
      <c r="E30" s="50">
        <f>VLOOKUP($A30,'Data shares'!$C:$FM,106)</f>
        <v>35.880000000000003</v>
      </c>
      <c r="F30" s="50">
        <f>VLOOKUP($A30,'Data shares'!$C:$FM,108)</f>
        <v>-0.24</v>
      </c>
      <c r="G30" s="50">
        <f t="shared" si="0"/>
        <v>0.99331103678929755</v>
      </c>
    </row>
    <row r="31" spans="1:7" x14ac:dyDescent="0.25">
      <c r="A31" s="49" t="str">
        <f>'Data Vlaue (Cr)'!C26</f>
        <v>BANDHANBNK</v>
      </c>
      <c r="B31" s="50">
        <f>VLOOKUP($A31,'Data shares'!$C:$FM,102)</f>
        <v>51.52</v>
      </c>
      <c r="C31" s="50">
        <f>VLOOKUP($A31,'Data shares'!$C:$FM,110)</f>
        <v>51.37</v>
      </c>
      <c r="D31" s="50">
        <f>VLOOKUP($A31,'Data shares'!$C:$FM,114)</f>
        <v>51.69</v>
      </c>
      <c r="E31" s="50">
        <f>VLOOKUP($A31,'Data shares'!$C:$FM,106)</f>
        <v>45.61</v>
      </c>
      <c r="F31" s="50">
        <f>VLOOKUP($A31,'Data shares'!$C:$FM,108)</f>
        <v>5.91</v>
      </c>
      <c r="G31" s="50">
        <f t="shared" si="0"/>
        <v>1.1295768471826355</v>
      </c>
    </row>
    <row r="32" spans="1:7" x14ac:dyDescent="0.25">
      <c r="A32" s="49" t="str">
        <f>'Data Vlaue (Cr)'!C27</f>
        <v>BANKBARODA</v>
      </c>
      <c r="B32" s="50">
        <f>VLOOKUP($A32,'Data shares'!$C:$FM,102)</f>
        <v>32.64</v>
      </c>
      <c r="C32" s="50">
        <f>VLOOKUP($A32,'Data shares'!$C:$FM,110)</f>
        <v>32.93</v>
      </c>
      <c r="D32" s="50">
        <f>VLOOKUP($A32,'Data shares'!$C:$FM,114)</f>
        <v>32.29</v>
      </c>
      <c r="E32" s="50">
        <f>VLOOKUP($A32,'Data shares'!$C:$FM,106)</f>
        <v>36.79</v>
      </c>
      <c r="F32" s="50">
        <f>VLOOKUP($A32,'Data shares'!$C:$FM,108)</f>
        <v>-4.1500000000000004</v>
      </c>
      <c r="G32" s="50">
        <f t="shared" si="0"/>
        <v>0.88719760804566461</v>
      </c>
    </row>
    <row r="33" spans="1:7" x14ac:dyDescent="0.25">
      <c r="A33" s="49" t="str">
        <f>'Data Vlaue (Cr)'!C28</f>
        <v>BANKINDIA</v>
      </c>
      <c r="B33" s="50">
        <f>VLOOKUP($A33,'Data shares'!$C:$FM,102)</f>
        <v>39.4</v>
      </c>
      <c r="C33" s="50">
        <f>VLOOKUP($A33,'Data shares'!$C:$FM,110)</f>
        <v>39.61</v>
      </c>
      <c r="D33" s="50">
        <f>VLOOKUP($A33,'Data shares'!$C:$FM,114)</f>
        <v>39.1</v>
      </c>
      <c r="E33" s="50">
        <f>VLOOKUP($A33,'Data shares'!$C:$FM,106)</f>
        <v>42.75</v>
      </c>
      <c r="F33" s="50">
        <f>VLOOKUP($A33,'Data shares'!$C:$FM,108)</f>
        <v>-3.35</v>
      </c>
      <c r="G33" s="50">
        <f t="shared" si="0"/>
        <v>0.92163742690058481</v>
      </c>
    </row>
    <row r="34" spans="1:7" x14ac:dyDescent="0.25">
      <c r="A34" s="49" t="str">
        <f>'Data Vlaue (Cr)'!C29</f>
        <v>BANKNIFTY</v>
      </c>
      <c r="B34" s="50">
        <f>VLOOKUP($A34,'Data shares'!$C:$FM,102)</f>
        <v>19.52</v>
      </c>
      <c r="C34" s="50">
        <f>VLOOKUP($A34,'Data shares'!$C:$FM,110)</f>
        <v>18.010000000000002</v>
      </c>
      <c r="D34" s="50">
        <f>VLOOKUP($A34,'Data shares'!$C:$FM,114)</f>
        <v>21.73</v>
      </c>
      <c r="E34" s="50">
        <f>VLOOKUP($A34,'Data shares'!$C:$FM,106)</f>
        <v>21.34</v>
      </c>
      <c r="F34" s="50">
        <f>VLOOKUP($A34,'Data shares'!$C:$FM,108)</f>
        <v>-1.82</v>
      </c>
      <c r="G34" s="50">
        <f t="shared" si="0"/>
        <v>0.91471415182755389</v>
      </c>
    </row>
    <row r="35" spans="1:7" x14ac:dyDescent="0.25">
      <c r="A35" s="49" t="str">
        <f>'Data Vlaue (Cr)'!C30</f>
        <v>BDL</v>
      </c>
      <c r="B35" s="50">
        <f>VLOOKUP($A35,'Data shares'!$C:$FM,102)</f>
        <v>41.59</v>
      </c>
      <c r="C35" s="50">
        <f>VLOOKUP($A35,'Data shares'!$C:$FM,110)</f>
        <v>41.94</v>
      </c>
      <c r="D35" s="50">
        <f>VLOOKUP($A35,'Data shares'!$C:$FM,114)</f>
        <v>40.86</v>
      </c>
      <c r="E35" s="50">
        <f>VLOOKUP($A35,'Data shares'!$C:$FM,106)</f>
        <v>53.15</v>
      </c>
      <c r="F35" s="50">
        <f>VLOOKUP($A35,'Data shares'!$C:$FM,108)</f>
        <v>-11.56</v>
      </c>
      <c r="G35" s="50">
        <f t="shared" si="0"/>
        <v>0.78250235183443095</v>
      </c>
    </row>
    <row r="36" spans="1:7" x14ac:dyDescent="0.25">
      <c r="A36" s="49" t="str">
        <f>'Data Vlaue (Cr)'!C31</f>
        <v>BEL</v>
      </c>
      <c r="B36" s="50">
        <f>VLOOKUP($A36,'Data shares'!$C:$FM,102)</f>
        <v>31.92</v>
      </c>
      <c r="C36" s="50">
        <f>VLOOKUP($A36,'Data shares'!$C:$FM,110)</f>
        <v>31.93</v>
      </c>
      <c r="D36" s="50">
        <f>VLOOKUP($A36,'Data shares'!$C:$FM,114)</f>
        <v>31.9</v>
      </c>
      <c r="E36" s="50">
        <f>VLOOKUP($A36,'Data shares'!$C:$FM,106)</f>
        <v>36.979999999999997</v>
      </c>
      <c r="F36" s="50">
        <f>VLOOKUP($A36,'Data shares'!$C:$FM,108)</f>
        <v>-5.0599999999999996</v>
      </c>
      <c r="G36" s="50">
        <f t="shared" si="0"/>
        <v>0.86316928069226617</v>
      </c>
    </row>
    <row r="37" spans="1:7" x14ac:dyDescent="0.25">
      <c r="A37" s="49" t="str">
        <f>'Data Vlaue (Cr)'!C32</f>
        <v>BHARATFORG</v>
      </c>
      <c r="B37" s="50">
        <f>VLOOKUP($A37,'Data shares'!$C:$FM,102)</f>
        <v>34.79</v>
      </c>
      <c r="C37" s="50">
        <f>VLOOKUP($A37,'Data shares'!$C:$FM,110)</f>
        <v>34.61</v>
      </c>
      <c r="D37" s="50">
        <f>VLOOKUP($A37,'Data shares'!$C:$FM,114)</f>
        <v>35.08</v>
      </c>
      <c r="E37" s="50">
        <f>VLOOKUP($A37,'Data shares'!$C:$FM,106)</f>
        <v>39.6</v>
      </c>
      <c r="F37" s="50">
        <f>VLOOKUP($A37,'Data shares'!$C:$FM,108)</f>
        <v>-4.8099999999999996</v>
      </c>
      <c r="G37" s="50">
        <f t="shared" si="0"/>
        <v>0.8785353535353535</v>
      </c>
    </row>
    <row r="38" spans="1:7" x14ac:dyDescent="0.25">
      <c r="A38" s="49" t="str">
        <f>'Data Vlaue (Cr)'!C33</f>
        <v>BHARTIARTL</v>
      </c>
      <c r="B38" s="50">
        <f>VLOOKUP($A38,'Data shares'!$C:$FM,102)</f>
        <v>23.94</v>
      </c>
      <c r="C38" s="50">
        <f>VLOOKUP($A38,'Data shares'!$C:$FM,110)</f>
        <v>23.98</v>
      </c>
      <c r="D38" s="50">
        <f>VLOOKUP($A38,'Data shares'!$C:$FM,114)</f>
        <v>23.78</v>
      </c>
      <c r="E38" s="50">
        <f>VLOOKUP($A38,'Data shares'!$C:$FM,106)</f>
        <v>24.07</v>
      </c>
      <c r="F38" s="50">
        <f>VLOOKUP($A38,'Data shares'!$C:$FM,108)</f>
        <v>-0.13</v>
      </c>
      <c r="G38" s="50">
        <f t="shared" si="0"/>
        <v>0.99459908599916913</v>
      </c>
    </row>
    <row r="39" spans="1:7" x14ac:dyDescent="0.25">
      <c r="A39" s="49" t="str">
        <f>'Data Vlaue (Cr)'!C34</f>
        <v>BHEL</v>
      </c>
      <c r="B39" s="50">
        <f>VLOOKUP($A39,'Data shares'!$C:$FM,102)</f>
        <v>44.14</v>
      </c>
      <c r="C39" s="50">
        <f>VLOOKUP($A39,'Data shares'!$C:$FM,110)</f>
        <v>43.62</v>
      </c>
      <c r="D39" s="50">
        <f>VLOOKUP($A39,'Data shares'!$C:$FM,114)</f>
        <v>45.27</v>
      </c>
      <c r="E39" s="50">
        <f>VLOOKUP($A39,'Data shares'!$C:$FM,106)</f>
        <v>47.15</v>
      </c>
      <c r="F39" s="50">
        <f>VLOOKUP($A39,'Data shares'!$C:$FM,108)</f>
        <v>-3.01</v>
      </c>
      <c r="G39" s="50">
        <f t="shared" ref="G39:G70" si="1">B39/E39</f>
        <v>0.9361611876988335</v>
      </c>
    </row>
    <row r="40" spans="1:7" x14ac:dyDescent="0.25">
      <c r="A40" s="49" t="str">
        <f>'Data Vlaue (Cr)'!C35</f>
        <v>BIOCON</v>
      </c>
      <c r="B40" s="50">
        <f>VLOOKUP($A40,'Data shares'!$C:$FM,102)</f>
        <v>35.229999999999997</v>
      </c>
      <c r="C40" s="50">
        <f>VLOOKUP($A40,'Data shares'!$C:$FM,110)</f>
        <v>35.409999999999997</v>
      </c>
      <c r="D40" s="50">
        <f>VLOOKUP($A40,'Data shares'!$C:$FM,114)</f>
        <v>34.72</v>
      </c>
      <c r="E40" s="50">
        <f>VLOOKUP($A40,'Data shares'!$C:$FM,106)</f>
        <v>36.020000000000003</v>
      </c>
      <c r="F40" s="50">
        <f>VLOOKUP($A40,'Data shares'!$C:$FM,108)</f>
        <v>-0.79</v>
      </c>
      <c r="G40" s="50">
        <f t="shared" si="1"/>
        <v>0.97806774014436404</v>
      </c>
    </row>
    <row r="41" spans="1:7" x14ac:dyDescent="0.25">
      <c r="A41" s="49" t="str">
        <f>'Data Vlaue (Cr)'!C36</f>
        <v>BLUESTARCO</v>
      </c>
      <c r="B41" s="50">
        <f>VLOOKUP($A41,'Data shares'!$C:$FM,102)</f>
        <v>40.549999999999997</v>
      </c>
      <c r="C41" s="50">
        <f>VLOOKUP($A41,'Data shares'!$C:$FM,110)</f>
        <v>40.72</v>
      </c>
      <c r="D41" s="50">
        <f>VLOOKUP($A41,'Data shares'!$C:$FM,114)</f>
        <v>40.159999999999997</v>
      </c>
      <c r="E41" s="50">
        <f>VLOOKUP($A41,'Data shares'!$C:$FM,106)</f>
        <v>42.5</v>
      </c>
      <c r="F41" s="50">
        <f>VLOOKUP($A41,'Data shares'!$C:$FM,108)</f>
        <v>-1.95</v>
      </c>
      <c r="G41" s="50">
        <f t="shared" si="1"/>
        <v>0.95411764705882351</v>
      </c>
    </row>
    <row r="42" spans="1:7" x14ac:dyDescent="0.25">
      <c r="A42" s="49" t="str">
        <f>'Data Vlaue (Cr)'!C37</f>
        <v>BOSCHLTD</v>
      </c>
      <c r="B42" s="50">
        <f>VLOOKUP($A42,'Data shares'!$C:$FM,102)</f>
        <v>33.840000000000003</v>
      </c>
      <c r="C42" s="50">
        <f>VLOOKUP($A42,'Data shares'!$C:$FM,110)</f>
        <v>33.86</v>
      </c>
      <c r="D42" s="50">
        <f>VLOOKUP($A42,'Data shares'!$C:$FM,114)</f>
        <v>33.799999999999997</v>
      </c>
      <c r="E42" s="50">
        <f>VLOOKUP($A42,'Data shares'!$C:$FM,106)</f>
        <v>34.770000000000003</v>
      </c>
      <c r="F42" s="50">
        <f>VLOOKUP($A42,'Data shares'!$C:$FM,108)</f>
        <v>-0.93</v>
      </c>
      <c r="G42" s="50">
        <f t="shared" si="1"/>
        <v>0.97325280414150128</v>
      </c>
    </row>
    <row r="43" spans="1:7" x14ac:dyDescent="0.25">
      <c r="A43" s="49" t="str">
        <f>'Data Vlaue (Cr)'!C38</f>
        <v>BPCL</v>
      </c>
      <c r="B43" s="50">
        <f>VLOOKUP($A43,'Data shares'!$C:$FM,102)</f>
        <v>40.909999999999997</v>
      </c>
      <c r="C43" s="50">
        <f>VLOOKUP($A43,'Data shares'!$C:$FM,110)</f>
        <v>40.83</v>
      </c>
      <c r="D43" s="50">
        <f>VLOOKUP($A43,'Data shares'!$C:$FM,114)</f>
        <v>41.08</v>
      </c>
      <c r="E43" s="50">
        <f>VLOOKUP($A43,'Data shares'!$C:$FM,106)</f>
        <v>37.07</v>
      </c>
      <c r="F43" s="50">
        <f>VLOOKUP($A43,'Data shares'!$C:$FM,108)</f>
        <v>3.84</v>
      </c>
      <c r="G43" s="50">
        <f t="shared" si="1"/>
        <v>1.1035878068519016</v>
      </c>
    </row>
    <row r="44" spans="1:7" x14ac:dyDescent="0.25">
      <c r="A44" s="49" t="str">
        <f>'Data Vlaue (Cr)'!C39</f>
        <v>BRITANNIA</v>
      </c>
      <c r="B44" s="50">
        <f>VLOOKUP($A44,'Data shares'!$C:$FM,102)</f>
        <v>30.17</v>
      </c>
      <c r="C44" s="50">
        <f>VLOOKUP($A44,'Data shares'!$C:$FM,110)</f>
        <v>30.34</v>
      </c>
      <c r="D44" s="50">
        <f>VLOOKUP($A44,'Data shares'!$C:$FM,114)</f>
        <v>29.68</v>
      </c>
      <c r="E44" s="50">
        <f>VLOOKUP($A44,'Data shares'!$C:$FM,106)</f>
        <v>24.93</v>
      </c>
      <c r="F44" s="50">
        <f>VLOOKUP($A44,'Data shares'!$C:$FM,108)</f>
        <v>5.24</v>
      </c>
      <c r="G44" s="50">
        <f t="shared" si="1"/>
        <v>1.2101885278780586</v>
      </c>
    </row>
    <row r="45" spans="1:7" x14ac:dyDescent="0.25">
      <c r="A45" s="49" t="str">
        <f>'Data Vlaue (Cr)'!C40</f>
        <v>BSE</v>
      </c>
      <c r="B45" s="50">
        <f>VLOOKUP($A45,'Data shares'!$C:$FM,102)</f>
        <v>43.39</v>
      </c>
      <c r="C45" s="50">
        <f>VLOOKUP($A45,'Data shares'!$C:$FM,110)</f>
        <v>42.08</v>
      </c>
      <c r="D45" s="50">
        <f>VLOOKUP($A45,'Data shares'!$C:$FM,114)</f>
        <v>44.62</v>
      </c>
      <c r="E45" s="50">
        <f>VLOOKUP($A45,'Data shares'!$C:$FM,106)</f>
        <v>58.72</v>
      </c>
      <c r="F45" s="50">
        <f>VLOOKUP($A45,'Data shares'!$C:$FM,108)</f>
        <v>-15.33</v>
      </c>
      <c r="G45" s="50">
        <f t="shared" si="1"/>
        <v>0.73893051771117169</v>
      </c>
    </row>
    <row r="46" spans="1:7" x14ac:dyDescent="0.25">
      <c r="A46" s="49" t="str">
        <f>'Data Vlaue (Cr)'!C41</f>
        <v>CAMS</v>
      </c>
      <c r="B46" s="50">
        <f>VLOOKUP($A46,'Data shares'!$C:$FM,102)</f>
        <v>35.270000000000003</v>
      </c>
      <c r="C46" s="50">
        <f>VLOOKUP($A46,'Data shares'!$C:$FM,110)</f>
        <v>35.67</v>
      </c>
      <c r="D46" s="50">
        <f>VLOOKUP($A46,'Data shares'!$C:$FM,114)</f>
        <v>34.31</v>
      </c>
      <c r="E46" s="50">
        <f>VLOOKUP($A46,'Data shares'!$C:$FM,106)</f>
        <v>40.590000000000003</v>
      </c>
      <c r="F46" s="50">
        <f>VLOOKUP($A46,'Data shares'!$C:$FM,108)</f>
        <v>-5.32</v>
      </c>
      <c r="G46" s="50">
        <f t="shared" si="1"/>
        <v>0.86893323478689333</v>
      </c>
    </row>
    <row r="47" spans="1:7" x14ac:dyDescent="0.25">
      <c r="A47" s="49" t="str">
        <f>'Data Vlaue (Cr)'!C42</f>
        <v>CANBK</v>
      </c>
      <c r="B47" s="50">
        <f>VLOOKUP($A47,'Data shares'!$C:$FM,102)</f>
        <v>36.01</v>
      </c>
      <c r="C47" s="50">
        <f>VLOOKUP($A47,'Data shares'!$C:$FM,110)</f>
        <v>35.869999999999997</v>
      </c>
      <c r="D47" s="50">
        <f>VLOOKUP($A47,'Data shares'!$C:$FM,114)</f>
        <v>36.19</v>
      </c>
      <c r="E47" s="50">
        <f>VLOOKUP($A47,'Data shares'!$C:$FM,106)</f>
        <v>39.01</v>
      </c>
      <c r="F47" s="50">
        <f>VLOOKUP($A47,'Data shares'!$C:$FM,108)</f>
        <v>-3</v>
      </c>
      <c r="G47" s="50">
        <f t="shared" si="1"/>
        <v>0.92309664188669571</v>
      </c>
    </row>
    <row r="48" spans="1:7" x14ac:dyDescent="0.25">
      <c r="A48" s="49" t="str">
        <f>'Data Vlaue (Cr)'!C43</f>
        <v>CDSL</v>
      </c>
      <c r="B48" s="50">
        <f>VLOOKUP($A48,'Data shares'!$C:$FM,102)</f>
        <v>37.090000000000003</v>
      </c>
      <c r="C48" s="50">
        <f>VLOOKUP($A48,'Data shares'!$C:$FM,110)</f>
        <v>36.909999999999997</v>
      </c>
      <c r="D48" s="50">
        <f>VLOOKUP($A48,'Data shares'!$C:$FM,114)</f>
        <v>37.340000000000003</v>
      </c>
      <c r="E48" s="50">
        <f>VLOOKUP($A48,'Data shares'!$C:$FM,106)</f>
        <v>46.62</v>
      </c>
      <c r="F48" s="50">
        <f>VLOOKUP($A48,'Data shares'!$C:$FM,108)</f>
        <v>-9.5299999999999994</v>
      </c>
      <c r="G48" s="50">
        <f t="shared" si="1"/>
        <v>0.79558129558129564</v>
      </c>
    </row>
    <row r="49" spans="1:7" x14ac:dyDescent="0.25">
      <c r="A49" s="49" t="str">
        <f>'Data Vlaue (Cr)'!C44</f>
        <v>CGPOWER</v>
      </c>
      <c r="B49" s="50">
        <f>VLOOKUP($A49,'Data shares'!$C:$FM,102)</f>
        <v>39.6</v>
      </c>
      <c r="C49" s="50">
        <f>VLOOKUP($A49,'Data shares'!$C:$FM,110)</f>
        <v>39.409999999999997</v>
      </c>
      <c r="D49" s="50">
        <f>VLOOKUP($A49,'Data shares'!$C:$FM,114)</f>
        <v>40.24</v>
      </c>
      <c r="E49" s="50">
        <f>VLOOKUP($A49,'Data shares'!$C:$FM,106)</f>
        <v>42.38</v>
      </c>
      <c r="F49" s="50">
        <f>VLOOKUP($A49,'Data shares'!$C:$FM,108)</f>
        <v>-2.78</v>
      </c>
      <c r="G49" s="50">
        <f t="shared" si="1"/>
        <v>0.93440302029259081</v>
      </c>
    </row>
    <row r="50" spans="1:7" x14ac:dyDescent="0.25">
      <c r="A50" s="49" t="str">
        <f>'Data Vlaue (Cr)'!C45</f>
        <v>CHOLAFIN</v>
      </c>
      <c r="B50" s="50">
        <f>VLOOKUP($A50,'Data shares'!$C:$FM,102)</f>
        <v>34.6</v>
      </c>
      <c r="C50" s="50">
        <f>VLOOKUP($A50,'Data shares'!$C:$FM,110)</f>
        <v>34.270000000000003</v>
      </c>
      <c r="D50" s="50">
        <f>VLOOKUP($A50,'Data shares'!$C:$FM,114)</f>
        <v>35.31</v>
      </c>
      <c r="E50" s="50">
        <f>VLOOKUP($A50,'Data shares'!$C:$FM,106)</f>
        <v>40.74</v>
      </c>
      <c r="F50" s="50">
        <f>VLOOKUP($A50,'Data shares'!$C:$FM,108)</f>
        <v>-6.14</v>
      </c>
      <c r="G50" s="50">
        <f t="shared" si="1"/>
        <v>0.84928816887579772</v>
      </c>
    </row>
    <row r="51" spans="1:7" x14ac:dyDescent="0.25">
      <c r="A51" s="49" t="str">
        <f>'Data Vlaue (Cr)'!C46</f>
        <v>CIPLA</v>
      </c>
      <c r="B51" s="50">
        <f>VLOOKUP($A51,'Data shares'!$C:$FM,102)</f>
        <v>27.36</v>
      </c>
      <c r="C51" s="50">
        <f>VLOOKUP($A51,'Data shares'!$C:$FM,110)</f>
        <v>27.16</v>
      </c>
      <c r="D51" s="50">
        <f>VLOOKUP($A51,'Data shares'!$C:$FM,114)</f>
        <v>27.93</v>
      </c>
      <c r="E51" s="50">
        <f>VLOOKUP($A51,'Data shares'!$C:$FM,106)</f>
        <v>25.85</v>
      </c>
      <c r="F51" s="50">
        <f>VLOOKUP($A51,'Data shares'!$C:$FM,108)</f>
        <v>1.51</v>
      </c>
      <c r="G51" s="50">
        <f t="shared" si="1"/>
        <v>1.0584139264990329</v>
      </c>
    </row>
    <row r="52" spans="1:7" x14ac:dyDescent="0.25">
      <c r="A52" s="49" t="str">
        <f>'Data Vlaue (Cr)'!C47</f>
        <v>COALINDIA</v>
      </c>
      <c r="B52" s="50">
        <f>VLOOKUP($A52,'Data shares'!$C:$FM,102)</f>
        <v>28.1</v>
      </c>
      <c r="C52" s="50">
        <f>VLOOKUP($A52,'Data shares'!$C:$FM,110)</f>
        <v>28.31</v>
      </c>
      <c r="D52" s="50">
        <f>VLOOKUP($A52,'Data shares'!$C:$FM,114)</f>
        <v>27.82</v>
      </c>
      <c r="E52" s="50">
        <f>VLOOKUP($A52,'Data shares'!$C:$FM,106)</f>
        <v>30.81</v>
      </c>
      <c r="F52" s="50">
        <f>VLOOKUP($A52,'Data shares'!$C:$FM,108)</f>
        <v>-2.71</v>
      </c>
      <c r="G52" s="50">
        <f t="shared" si="1"/>
        <v>0.91204154495293743</v>
      </c>
    </row>
    <row r="53" spans="1:7" x14ac:dyDescent="0.25">
      <c r="A53" s="49" t="str">
        <f>'Data Vlaue (Cr)'!C48</f>
        <v>COCHINSHIP</v>
      </c>
      <c r="B53" s="50">
        <f>VLOOKUP($A53,'Data shares'!$C:$FM,102)</f>
        <v>53.48</v>
      </c>
      <c r="C53" s="50">
        <f>VLOOKUP($A53,'Data shares'!$C:$FM,110)</f>
        <v>53.29</v>
      </c>
      <c r="D53" s="50">
        <f>VLOOKUP($A53,'Data shares'!$C:$FM,114)</f>
        <v>53.98</v>
      </c>
      <c r="E53" s="50">
        <f>VLOOKUP($A53,'Data shares'!$C:$FM,106)</f>
        <v>54.45</v>
      </c>
      <c r="F53" s="50">
        <f>VLOOKUP($A53,'Data shares'!$C:$FM,108)</f>
        <v>-0.97</v>
      </c>
      <c r="G53" s="50">
        <f t="shared" si="1"/>
        <v>0.98218549127640031</v>
      </c>
    </row>
    <row r="54" spans="1:7" x14ac:dyDescent="0.25">
      <c r="A54" s="49" t="str">
        <f>'Data Vlaue (Cr)'!C49</f>
        <v>COFORGE</v>
      </c>
      <c r="B54" s="50">
        <f>VLOOKUP($A54,'Data shares'!$C:$FM,102)</f>
        <v>49.18</v>
      </c>
      <c r="C54" s="50">
        <f>VLOOKUP($A54,'Data shares'!$C:$FM,110)</f>
        <v>49.1</v>
      </c>
      <c r="D54" s="50">
        <f>VLOOKUP($A54,'Data shares'!$C:$FM,114)</f>
        <v>49.35</v>
      </c>
      <c r="E54" s="50">
        <f>VLOOKUP($A54,'Data shares'!$C:$FM,106)</f>
        <v>43.34</v>
      </c>
      <c r="F54" s="50">
        <f>VLOOKUP($A54,'Data shares'!$C:$FM,108)</f>
        <v>5.84</v>
      </c>
      <c r="G54" s="50">
        <f t="shared" si="1"/>
        <v>1.1347485002307336</v>
      </c>
    </row>
    <row r="55" spans="1:7" x14ac:dyDescent="0.25">
      <c r="A55" s="49" t="str">
        <f>'Data Vlaue (Cr)'!C50</f>
        <v>COLPAL</v>
      </c>
      <c r="B55" s="50">
        <f>VLOOKUP($A55,'Data shares'!$C:$FM,102)</f>
        <v>32.200000000000003</v>
      </c>
      <c r="C55" s="50">
        <f>VLOOKUP($A55,'Data shares'!$C:$FM,110)</f>
        <v>32.22</v>
      </c>
      <c r="D55" s="50">
        <f>VLOOKUP($A55,'Data shares'!$C:$FM,114)</f>
        <v>32.08</v>
      </c>
      <c r="E55" s="50">
        <f>VLOOKUP($A55,'Data shares'!$C:$FM,106)</f>
        <v>30.6</v>
      </c>
      <c r="F55" s="50">
        <f>VLOOKUP($A55,'Data shares'!$C:$FM,108)</f>
        <v>1.6</v>
      </c>
      <c r="G55" s="50">
        <f t="shared" si="1"/>
        <v>1.0522875816993464</v>
      </c>
    </row>
    <row r="56" spans="1:7" x14ac:dyDescent="0.25">
      <c r="A56" s="49" t="str">
        <f>'Data Vlaue (Cr)'!C51</f>
        <v>CONCOR</v>
      </c>
      <c r="B56" s="50">
        <f>VLOOKUP($A56,'Data shares'!$C:$FM,102)</f>
        <v>33.86</v>
      </c>
      <c r="C56" s="50">
        <f>VLOOKUP($A56,'Data shares'!$C:$FM,110)</f>
        <v>33.85</v>
      </c>
      <c r="D56" s="50">
        <f>VLOOKUP($A56,'Data shares'!$C:$FM,114)</f>
        <v>33.869999999999997</v>
      </c>
      <c r="E56" s="50">
        <f>VLOOKUP($A56,'Data shares'!$C:$FM,106)</f>
        <v>34.909999999999997</v>
      </c>
      <c r="F56" s="50">
        <f>VLOOKUP($A56,'Data shares'!$C:$FM,108)</f>
        <v>-1.05</v>
      </c>
      <c r="G56" s="50">
        <f t="shared" si="1"/>
        <v>0.96992265826410773</v>
      </c>
    </row>
    <row r="57" spans="1:7" x14ac:dyDescent="0.25">
      <c r="A57" s="49" t="str">
        <f>'Data Vlaue (Cr)'!C52</f>
        <v>CROMPTON</v>
      </c>
      <c r="B57" s="50">
        <f>VLOOKUP($A57,'Data shares'!$C:$FM,102)</f>
        <v>40.6</v>
      </c>
      <c r="C57" s="50">
        <f>VLOOKUP($A57,'Data shares'!$C:$FM,110)</f>
        <v>40.659999999999997</v>
      </c>
      <c r="D57" s="50">
        <f>VLOOKUP($A57,'Data shares'!$C:$FM,114)</f>
        <v>40.340000000000003</v>
      </c>
      <c r="E57" s="50">
        <f>VLOOKUP($A57,'Data shares'!$C:$FM,106)</f>
        <v>35.4</v>
      </c>
      <c r="F57" s="50">
        <f>VLOOKUP($A57,'Data shares'!$C:$FM,108)</f>
        <v>5.2</v>
      </c>
      <c r="G57" s="50">
        <f t="shared" si="1"/>
        <v>1.1468926553672316</v>
      </c>
    </row>
    <row r="58" spans="1:7" x14ac:dyDescent="0.25">
      <c r="A58" s="49" t="str">
        <f>'Data Vlaue (Cr)'!C53</f>
        <v>CUMMINSIND</v>
      </c>
      <c r="B58" s="50">
        <f>VLOOKUP($A58,'Data shares'!$C:$FM,102)</f>
        <v>34.39</v>
      </c>
      <c r="C58" s="50">
        <f>VLOOKUP($A58,'Data shares'!$C:$FM,110)</f>
        <v>33.83</v>
      </c>
      <c r="D58" s="50">
        <f>VLOOKUP($A58,'Data shares'!$C:$FM,114)</f>
        <v>35.229999999999997</v>
      </c>
      <c r="E58" s="50">
        <f>VLOOKUP($A58,'Data shares'!$C:$FM,106)</f>
        <v>36.03</v>
      </c>
      <c r="F58" s="50">
        <f>VLOOKUP($A58,'Data shares'!$C:$FM,108)</f>
        <v>-1.64</v>
      </c>
      <c r="G58" s="50">
        <f t="shared" si="1"/>
        <v>0.95448237579794615</v>
      </c>
    </row>
    <row r="59" spans="1:7" x14ac:dyDescent="0.25">
      <c r="A59" s="49" t="str">
        <f>'Data Vlaue (Cr)'!C54</f>
        <v>DABUR</v>
      </c>
      <c r="B59" s="50">
        <f>VLOOKUP($A59,'Data shares'!$C:$FM,102)</f>
        <v>29.14</v>
      </c>
      <c r="C59" s="50">
        <f>VLOOKUP($A59,'Data shares'!$C:$FM,110)</f>
        <v>28.93</v>
      </c>
      <c r="D59" s="50">
        <f>VLOOKUP($A59,'Data shares'!$C:$FM,114)</f>
        <v>29.59</v>
      </c>
      <c r="E59" s="50">
        <f>VLOOKUP($A59,'Data shares'!$C:$FM,106)</f>
        <v>27.27</v>
      </c>
      <c r="F59" s="50">
        <f>VLOOKUP($A59,'Data shares'!$C:$FM,108)</f>
        <v>1.87</v>
      </c>
      <c r="G59" s="50">
        <f t="shared" si="1"/>
        <v>1.0685735240190686</v>
      </c>
    </row>
    <row r="60" spans="1:7" x14ac:dyDescent="0.25">
      <c r="A60" s="49" t="str">
        <f>'Data Vlaue (Cr)'!C55</f>
        <v>DALBHARAT</v>
      </c>
      <c r="B60" s="50">
        <f>VLOOKUP($A60,'Data shares'!$C:$FM,102)</f>
        <v>33.11</v>
      </c>
      <c r="C60" s="50">
        <f>VLOOKUP($A60,'Data shares'!$C:$FM,110)</f>
        <v>32.44</v>
      </c>
      <c r="D60" s="50">
        <f>VLOOKUP($A60,'Data shares'!$C:$FM,114)</f>
        <v>35.979999999999997</v>
      </c>
      <c r="E60" s="50">
        <f>VLOOKUP($A60,'Data shares'!$C:$FM,106)</f>
        <v>33.9</v>
      </c>
      <c r="F60" s="50">
        <f>VLOOKUP($A60,'Data shares'!$C:$FM,108)</f>
        <v>-0.79</v>
      </c>
      <c r="G60" s="50">
        <f t="shared" si="1"/>
        <v>0.97669616519174041</v>
      </c>
    </row>
    <row r="61" spans="1:7" x14ac:dyDescent="0.25">
      <c r="A61" s="49" t="str">
        <f>'Data Vlaue (Cr)'!C56</f>
        <v>DELHIVERY</v>
      </c>
      <c r="B61" s="50">
        <f>VLOOKUP($A61,'Data shares'!$C:$FM,102)</f>
        <v>38.369999999999997</v>
      </c>
      <c r="C61" s="50">
        <f>VLOOKUP($A61,'Data shares'!$C:$FM,110)</f>
        <v>38.200000000000003</v>
      </c>
      <c r="D61" s="50">
        <f>VLOOKUP($A61,'Data shares'!$C:$FM,114)</f>
        <v>38.71</v>
      </c>
      <c r="E61" s="50">
        <f>VLOOKUP($A61,'Data shares'!$C:$FM,106)</f>
        <v>39.39</v>
      </c>
      <c r="F61" s="50">
        <f>VLOOKUP($A61,'Data shares'!$C:$FM,108)</f>
        <v>-1.02</v>
      </c>
      <c r="G61" s="50">
        <f t="shared" si="1"/>
        <v>0.97410510281797402</v>
      </c>
    </row>
    <row r="62" spans="1:7" x14ac:dyDescent="0.25">
      <c r="A62" s="49" t="str">
        <f>'Data Vlaue (Cr)'!C57</f>
        <v>DIVISLAB</v>
      </c>
      <c r="B62" s="50">
        <f>VLOOKUP($A62,'Data shares'!$C:$FM,102)</f>
        <v>27.71</v>
      </c>
      <c r="C62" s="50">
        <f>VLOOKUP($A62,'Data shares'!$C:$FM,110)</f>
        <v>27.47</v>
      </c>
      <c r="D62" s="50">
        <f>VLOOKUP($A62,'Data shares'!$C:$FM,114)</f>
        <v>28.55</v>
      </c>
      <c r="E62" s="50">
        <f>VLOOKUP($A62,'Data shares'!$C:$FM,106)</f>
        <v>29.54</v>
      </c>
      <c r="F62" s="50">
        <f>VLOOKUP($A62,'Data shares'!$C:$FM,108)</f>
        <v>-1.83</v>
      </c>
      <c r="G62" s="50">
        <f t="shared" si="1"/>
        <v>0.93805010155721058</v>
      </c>
    </row>
    <row r="63" spans="1:7" x14ac:dyDescent="0.25">
      <c r="A63" s="49" t="str">
        <f>'Data Vlaue (Cr)'!C58</f>
        <v>DIXON</v>
      </c>
      <c r="B63" s="50">
        <f>VLOOKUP($A63,'Data shares'!$C:$FM,102)</f>
        <v>51.63</v>
      </c>
      <c r="C63" s="50">
        <f>VLOOKUP($A63,'Data shares'!$C:$FM,110)</f>
        <v>51.63</v>
      </c>
      <c r="D63" s="50">
        <f>VLOOKUP($A63,'Data shares'!$C:$FM,114)</f>
        <v>51.62</v>
      </c>
      <c r="E63" s="50">
        <f>VLOOKUP($A63,'Data shares'!$C:$FM,106)</f>
        <v>49.22</v>
      </c>
      <c r="F63" s="50">
        <f>VLOOKUP($A63,'Data shares'!$C:$FM,108)</f>
        <v>2.41</v>
      </c>
      <c r="G63" s="50">
        <f t="shared" si="1"/>
        <v>1.0489638358390898</v>
      </c>
    </row>
    <row r="64" spans="1:7" x14ac:dyDescent="0.25">
      <c r="A64" s="49" t="str">
        <f>'Data Vlaue (Cr)'!C59</f>
        <v>DLF</v>
      </c>
      <c r="B64" s="50">
        <f>VLOOKUP($A64,'Data shares'!$C:$FM,102)</f>
        <v>37.31</v>
      </c>
      <c r="C64" s="50">
        <f>VLOOKUP($A64,'Data shares'!$C:$FM,110)</f>
        <v>37.159999999999997</v>
      </c>
      <c r="D64" s="50">
        <f>VLOOKUP($A64,'Data shares'!$C:$FM,114)</f>
        <v>37.56</v>
      </c>
      <c r="E64" s="50">
        <f>VLOOKUP($A64,'Data shares'!$C:$FM,106)</f>
        <v>37.99</v>
      </c>
      <c r="F64" s="50">
        <f>VLOOKUP($A64,'Data shares'!$C:$FM,108)</f>
        <v>-0.68</v>
      </c>
      <c r="G64" s="50">
        <f t="shared" si="1"/>
        <v>0.98210055277704655</v>
      </c>
    </row>
    <row r="65" spans="1:7" x14ac:dyDescent="0.25">
      <c r="A65" s="49" t="str">
        <f>'Data Vlaue (Cr)'!C60</f>
        <v>DMART</v>
      </c>
      <c r="B65" s="50">
        <f>VLOOKUP($A65,'Data shares'!$C:$FM,102)</f>
        <v>32.909999999999997</v>
      </c>
      <c r="C65" s="50">
        <f>VLOOKUP($A65,'Data shares'!$C:$FM,110)</f>
        <v>32.57</v>
      </c>
      <c r="D65" s="50">
        <f>VLOOKUP($A65,'Data shares'!$C:$FM,114)</f>
        <v>33.44</v>
      </c>
      <c r="E65" s="50">
        <f>VLOOKUP($A65,'Data shares'!$C:$FM,106)</f>
        <v>32.979999999999997</v>
      </c>
      <c r="F65" s="50">
        <f>VLOOKUP($A65,'Data shares'!$C:$FM,108)</f>
        <v>-7.0000000000000007E-2</v>
      </c>
      <c r="G65" s="50">
        <f t="shared" si="1"/>
        <v>0.99787750151607035</v>
      </c>
    </row>
    <row r="66" spans="1:7" x14ac:dyDescent="0.25">
      <c r="A66" s="49" t="str">
        <f>'Data Vlaue (Cr)'!C61</f>
        <v>DRREDDY</v>
      </c>
      <c r="B66" s="50">
        <f>VLOOKUP($A66,'Data shares'!$C:$FM,102)</f>
        <v>34.22</v>
      </c>
      <c r="C66" s="50">
        <f>VLOOKUP($A66,'Data shares'!$C:$FM,110)</f>
        <v>34.11</v>
      </c>
      <c r="D66" s="50">
        <f>VLOOKUP($A66,'Data shares'!$C:$FM,114)</f>
        <v>34.51</v>
      </c>
      <c r="E66" s="50">
        <f>VLOOKUP($A66,'Data shares'!$C:$FM,106)</f>
        <v>28.52</v>
      </c>
      <c r="F66" s="50">
        <f>VLOOKUP($A66,'Data shares'!$C:$FM,108)</f>
        <v>5.7</v>
      </c>
      <c r="G66" s="50">
        <f t="shared" si="1"/>
        <v>1.1998597475455821</v>
      </c>
    </row>
    <row r="67" spans="1:7" x14ac:dyDescent="0.25">
      <c r="A67" s="49" t="str">
        <f>'Data Vlaue (Cr)'!C62</f>
        <v>EICHERMOT</v>
      </c>
      <c r="B67" s="50">
        <f>VLOOKUP($A67,'Data shares'!$C:$FM,102)</f>
        <v>33.409999999999997</v>
      </c>
      <c r="C67" s="50">
        <f>VLOOKUP($A67,'Data shares'!$C:$FM,110)</f>
        <v>33.46</v>
      </c>
      <c r="D67" s="50">
        <f>VLOOKUP($A67,'Data shares'!$C:$FM,114)</f>
        <v>33.36</v>
      </c>
      <c r="E67" s="50">
        <f>VLOOKUP($A67,'Data shares'!$C:$FM,106)</f>
        <v>33.64</v>
      </c>
      <c r="F67" s="50">
        <f>VLOOKUP($A67,'Data shares'!$C:$FM,108)</f>
        <v>-0.23</v>
      </c>
      <c r="G67" s="50">
        <f t="shared" si="1"/>
        <v>0.99316290130796658</v>
      </c>
    </row>
    <row r="68" spans="1:7" x14ac:dyDescent="0.25">
      <c r="A68" s="49" t="str">
        <f>'Data Vlaue (Cr)'!C63</f>
        <v>ETERNAL</v>
      </c>
      <c r="B68" s="50">
        <f>VLOOKUP($A68,'Data shares'!$C:$FM,102)</f>
        <v>43.58</v>
      </c>
      <c r="C68" s="50">
        <f>VLOOKUP($A68,'Data shares'!$C:$FM,110)</f>
        <v>43.3</v>
      </c>
      <c r="D68" s="50">
        <f>VLOOKUP($A68,'Data shares'!$C:$FM,114)</f>
        <v>43.86</v>
      </c>
      <c r="E68" s="50">
        <f>VLOOKUP($A68,'Data shares'!$C:$FM,106)</f>
        <v>45.93</v>
      </c>
      <c r="F68" s="50">
        <f>VLOOKUP($A68,'Data shares'!$C:$FM,108)</f>
        <v>-2.35</v>
      </c>
      <c r="G68" s="50">
        <f t="shared" si="1"/>
        <v>0.94883518397561506</v>
      </c>
    </row>
    <row r="69" spans="1:7" x14ac:dyDescent="0.25">
      <c r="A69" s="49" t="str">
        <f>'Data Vlaue (Cr)'!C64</f>
        <v>EXIDEIND</v>
      </c>
      <c r="B69" s="50">
        <f>VLOOKUP($A69,'Data shares'!$C:$FM,102)</f>
        <v>41.57</v>
      </c>
      <c r="C69" s="50">
        <f>VLOOKUP($A69,'Data shares'!$C:$FM,110)</f>
        <v>41.85</v>
      </c>
      <c r="D69" s="50">
        <f>VLOOKUP($A69,'Data shares'!$C:$FM,114)</f>
        <v>40.83</v>
      </c>
      <c r="E69" s="50">
        <f>VLOOKUP($A69,'Data shares'!$C:$FM,106)</f>
        <v>36.229999999999997</v>
      </c>
      <c r="F69" s="50">
        <f>VLOOKUP($A69,'Data shares'!$C:$FM,108)</f>
        <v>5.34</v>
      </c>
      <c r="G69" s="50">
        <f t="shared" si="1"/>
        <v>1.1473916643665472</v>
      </c>
    </row>
    <row r="70" spans="1:7" x14ac:dyDescent="0.25">
      <c r="A70" s="49" t="str">
        <f>'Data Vlaue (Cr)'!C65</f>
        <v>FEDERALBNK</v>
      </c>
      <c r="B70" s="50">
        <f>VLOOKUP($A70,'Data shares'!$C:$FM,102)</f>
        <v>31.66</v>
      </c>
      <c r="C70" s="50">
        <f>VLOOKUP($A70,'Data shares'!$C:$FM,110)</f>
        <v>31.08</v>
      </c>
      <c r="D70" s="50">
        <f>VLOOKUP($A70,'Data shares'!$C:$FM,114)</f>
        <v>32.46</v>
      </c>
      <c r="E70" s="50">
        <f>VLOOKUP($A70,'Data shares'!$C:$FM,106)</f>
        <v>32.090000000000003</v>
      </c>
      <c r="F70" s="50">
        <f>VLOOKUP($A70,'Data shares'!$C:$FM,108)</f>
        <v>-0.43</v>
      </c>
      <c r="G70" s="50">
        <f t="shared" si="1"/>
        <v>0.9866001869741351</v>
      </c>
    </row>
    <row r="71" spans="1:7" x14ac:dyDescent="0.25">
      <c r="A71" s="49" t="str">
        <f>'Data Vlaue (Cr)'!C66</f>
        <v>FINNIFTY</v>
      </c>
      <c r="B71" s="50">
        <f>VLOOKUP($A71,'Data shares'!$C:$FM,102)</f>
        <v>17.86</v>
      </c>
      <c r="C71" s="50">
        <f>VLOOKUP($A71,'Data shares'!$C:$FM,110)</f>
        <v>17.86</v>
      </c>
      <c r="D71" s="50">
        <f>VLOOKUP($A71,'Data shares'!$C:$FM,114)</f>
        <v>17.86</v>
      </c>
      <c r="E71" s="50">
        <f>VLOOKUP($A71,'Data shares'!$C:$FM,106)</f>
        <v>21.72</v>
      </c>
      <c r="F71" s="50">
        <f>VLOOKUP($A71,'Data shares'!$C:$FM,108)</f>
        <v>-3.86</v>
      </c>
      <c r="G71" s="50">
        <f t="shared" ref="G71:G102" si="2">B71/E71</f>
        <v>0.82228360957642732</v>
      </c>
    </row>
    <row r="72" spans="1:7" x14ac:dyDescent="0.25">
      <c r="A72" s="49" t="str">
        <f>'Data Vlaue (Cr)'!C67</f>
        <v>FORCEMOT</v>
      </c>
      <c r="B72" s="50">
        <f>VLOOKUP($A72,'Data shares'!$C:$FM,102)</f>
        <v>64.61</v>
      </c>
      <c r="C72" s="50">
        <f>VLOOKUP($A72,'Data shares'!$C:$FM,110)</f>
        <v>64.599999999999994</v>
      </c>
      <c r="D72" s="50">
        <f>VLOOKUP($A72,'Data shares'!$C:$FM,114)</f>
        <v>64.650000000000006</v>
      </c>
      <c r="E72" s="50">
        <f>VLOOKUP($A72,'Data shares'!$C:$FM,106)</f>
        <v>65.52</v>
      </c>
      <c r="F72" s="50">
        <f>VLOOKUP($A72,'Data shares'!$C:$FM,108)</f>
        <v>-0.91</v>
      </c>
      <c r="G72" s="50">
        <f t="shared" si="2"/>
        <v>0.98611111111111116</v>
      </c>
    </row>
    <row r="73" spans="1:7" x14ac:dyDescent="0.25">
      <c r="A73" s="49" t="str">
        <f>'Data Vlaue (Cr)'!C68</f>
        <v>FORTIS</v>
      </c>
      <c r="B73" s="50">
        <f>VLOOKUP($A73,'Data shares'!$C:$FM,102)</f>
        <v>31.73</v>
      </c>
      <c r="C73" s="50">
        <f>VLOOKUP($A73,'Data shares'!$C:$FM,110)</f>
        <v>31.34</v>
      </c>
      <c r="D73" s="50">
        <f>VLOOKUP($A73,'Data shares'!$C:$FM,114)</f>
        <v>32.99</v>
      </c>
      <c r="E73" s="50">
        <f>VLOOKUP($A73,'Data shares'!$C:$FM,106)</f>
        <v>35.270000000000003</v>
      </c>
      <c r="F73" s="50">
        <f>VLOOKUP($A73,'Data shares'!$C:$FM,108)</f>
        <v>-3.54</v>
      </c>
      <c r="G73" s="50">
        <f t="shared" si="2"/>
        <v>0.89963141480011333</v>
      </c>
    </row>
    <row r="74" spans="1:7" x14ac:dyDescent="0.25">
      <c r="A74" s="49" t="str">
        <f>'Data Vlaue (Cr)'!C69</f>
        <v>GAIL</v>
      </c>
      <c r="B74" s="50">
        <f>VLOOKUP($A74,'Data shares'!$C:$FM,102)</f>
        <v>29.55</v>
      </c>
      <c r="C74" s="50">
        <f>VLOOKUP($A74,'Data shares'!$C:$FM,110)</f>
        <v>29.02</v>
      </c>
      <c r="D74" s="50">
        <f>VLOOKUP($A74,'Data shares'!$C:$FM,114)</f>
        <v>30.93</v>
      </c>
      <c r="E74" s="50">
        <f>VLOOKUP($A74,'Data shares'!$C:$FM,106)</f>
        <v>35.61</v>
      </c>
      <c r="F74" s="50">
        <f>VLOOKUP($A74,'Data shares'!$C:$FM,108)</f>
        <v>-6.06</v>
      </c>
      <c r="G74" s="50">
        <f t="shared" si="2"/>
        <v>0.82982308340353839</v>
      </c>
    </row>
    <row r="75" spans="1:7" x14ac:dyDescent="0.25">
      <c r="A75" s="49" t="str">
        <f>'Data Vlaue (Cr)'!C70</f>
        <v>GLENMARK</v>
      </c>
      <c r="B75" s="50">
        <f>VLOOKUP($A75,'Data shares'!$C:$FM,102)</f>
        <v>38.47</v>
      </c>
      <c r="C75" s="50">
        <f>VLOOKUP($A75,'Data shares'!$C:$FM,110)</f>
        <v>38.36</v>
      </c>
      <c r="D75" s="50">
        <f>VLOOKUP($A75,'Data shares'!$C:$FM,114)</f>
        <v>38.979999999999997</v>
      </c>
      <c r="E75" s="50">
        <f>VLOOKUP($A75,'Data shares'!$C:$FM,106)</f>
        <v>36.15</v>
      </c>
      <c r="F75" s="50">
        <f>VLOOKUP($A75,'Data shares'!$C:$FM,108)</f>
        <v>2.3199999999999998</v>
      </c>
      <c r="G75" s="50">
        <f t="shared" si="2"/>
        <v>1.0641770401106501</v>
      </c>
    </row>
    <row r="76" spans="1:7" x14ac:dyDescent="0.25">
      <c r="A76" s="49" t="str">
        <f>'Data Vlaue (Cr)'!C71</f>
        <v>GMRAIRPORT</v>
      </c>
      <c r="B76" s="50">
        <f>VLOOKUP($A76,'Data shares'!$C:$FM,102)</f>
        <v>41.15</v>
      </c>
      <c r="C76" s="50">
        <f>VLOOKUP($A76,'Data shares'!$C:$FM,110)</f>
        <v>41.07</v>
      </c>
      <c r="D76" s="50">
        <f>VLOOKUP($A76,'Data shares'!$C:$FM,114)</f>
        <v>41.26</v>
      </c>
      <c r="E76" s="50">
        <f>VLOOKUP($A76,'Data shares'!$C:$FM,106)</f>
        <v>41.13</v>
      </c>
      <c r="F76" s="50">
        <f>VLOOKUP($A76,'Data shares'!$C:$FM,108)</f>
        <v>0.02</v>
      </c>
      <c r="G76" s="50">
        <f t="shared" si="2"/>
        <v>1.0004862630683198</v>
      </c>
    </row>
    <row r="77" spans="1:7" x14ac:dyDescent="0.25">
      <c r="A77" s="49" t="str">
        <f>'Data Vlaue (Cr)'!C72</f>
        <v>GODFRYPHLP</v>
      </c>
      <c r="B77" s="50">
        <f>VLOOKUP($A77,'Data shares'!$C:$FM,102)</f>
        <v>61.76</v>
      </c>
      <c r="C77" s="50">
        <f>VLOOKUP($A77,'Data shares'!$C:$FM,110)</f>
        <v>62.02</v>
      </c>
      <c r="D77" s="50">
        <f>VLOOKUP($A77,'Data shares'!$C:$FM,114)</f>
        <v>59.75</v>
      </c>
      <c r="E77" s="50">
        <f>VLOOKUP($A77,'Data shares'!$C:$FM,106)</f>
        <v>70.790000000000006</v>
      </c>
      <c r="F77" s="50">
        <f>VLOOKUP($A77,'Data shares'!$C:$FM,108)</f>
        <v>-9.0299999999999994</v>
      </c>
      <c r="G77" s="50">
        <f t="shared" si="2"/>
        <v>0.87243961011442284</v>
      </c>
    </row>
    <row r="78" spans="1:7" x14ac:dyDescent="0.25">
      <c r="A78" s="49" t="str">
        <f>'Data Vlaue (Cr)'!C73</f>
        <v>GODREJCP</v>
      </c>
      <c r="B78" s="50">
        <f>VLOOKUP($A78,'Data shares'!$C:$FM,102)</f>
        <v>29</v>
      </c>
      <c r="C78" s="50">
        <f>VLOOKUP($A78,'Data shares'!$C:$FM,110)</f>
        <v>29</v>
      </c>
      <c r="D78" s="50">
        <f>VLOOKUP($A78,'Data shares'!$C:$FM,114)</f>
        <v>29</v>
      </c>
      <c r="E78" s="50">
        <f>VLOOKUP($A78,'Data shares'!$C:$FM,106)</f>
        <v>30.25</v>
      </c>
      <c r="F78" s="50">
        <f>VLOOKUP($A78,'Data shares'!$C:$FM,108)</f>
        <v>-1.25</v>
      </c>
      <c r="G78" s="50">
        <f t="shared" si="2"/>
        <v>0.95867768595041325</v>
      </c>
    </row>
    <row r="79" spans="1:7" x14ac:dyDescent="0.25">
      <c r="A79" s="49" t="str">
        <f>'Data Vlaue (Cr)'!C74</f>
        <v>GODREJPROP</v>
      </c>
      <c r="B79" s="50">
        <f>VLOOKUP($A79,'Data shares'!$C:$FM,102)</f>
        <v>41.15</v>
      </c>
      <c r="C79" s="50">
        <f>VLOOKUP($A79,'Data shares'!$C:$FM,110)</f>
        <v>40.47</v>
      </c>
      <c r="D79" s="50">
        <f>VLOOKUP($A79,'Data shares'!$C:$FM,114)</f>
        <v>42.74</v>
      </c>
      <c r="E79" s="50">
        <f>VLOOKUP($A79,'Data shares'!$C:$FM,106)</f>
        <v>45.61</v>
      </c>
      <c r="F79" s="50">
        <f>VLOOKUP($A79,'Data shares'!$C:$FM,108)</f>
        <v>-4.46</v>
      </c>
      <c r="G79" s="50">
        <f t="shared" si="2"/>
        <v>0.90221442666081997</v>
      </c>
    </row>
    <row r="80" spans="1:7" x14ac:dyDescent="0.25">
      <c r="A80" s="49" t="str">
        <f>'Data Vlaue (Cr)'!C75</f>
        <v>GRASIM</v>
      </c>
      <c r="B80" s="50">
        <f>VLOOKUP($A80,'Data shares'!$C:$FM,102)</f>
        <v>27.25</v>
      </c>
      <c r="C80" s="50">
        <f>VLOOKUP($A80,'Data shares'!$C:$FM,110)</f>
        <v>27.42</v>
      </c>
      <c r="D80" s="50">
        <f>VLOOKUP($A80,'Data shares'!$C:$FM,114)</f>
        <v>27.11</v>
      </c>
      <c r="E80" s="50">
        <f>VLOOKUP($A80,'Data shares'!$C:$FM,106)</f>
        <v>28.24</v>
      </c>
      <c r="F80" s="50">
        <f>VLOOKUP($A80,'Data shares'!$C:$FM,108)</f>
        <v>-0.99</v>
      </c>
      <c r="G80" s="50">
        <f t="shared" si="2"/>
        <v>0.96494334277620397</v>
      </c>
    </row>
    <row r="81" spans="1:7" x14ac:dyDescent="0.25">
      <c r="A81" s="49" t="str">
        <f>'Data Vlaue (Cr)'!C76</f>
        <v>HAL</v>
      </c>
      <c r="B81" s="50">
        <f>VLOOKUP($A81,'Data shares'!$C:$FM,102)</f>
        <v>33.47</v>
      </c>
      <c r="C81" s="50">
        <f>VLOOKUP($A81,'Data shares'!$C:$FM,110)</f>
        <v>33.75</v>
      </c>
      <c r="D81" s="50">
        <f>VLOOKUP($A81,'Data shares'!$C:$FM,114)</f>
        <v>33</v>
      </c>
      <c r="E81" s="50">
        <f>VLOOKUP($A81,'Data shares'!$C:$FM,106)</f>
        <v>38.86</v>
      </c>
      <c r="F81" s="50">
        <f>VLOOKUP($A81,'Data shares'!$C:$FM,108)</f>
        <v>-5.39</v>
      </c>
      <c r="G81" s="50">
        <f t="shared" si="2"/>
        <v>0.86129696345856921</v>
      </c>
    </row>
    <row r="82" spans="1:7" x14ac:dyDescent="0.25">
      <c r="A82" s="49" t="str">
        <f>'Data Vlaue (Cr)'!C77</f>
        <v>HAVELLS</v>
      </c>
      <c r="B82" s="50">
        <f>VLOOKUP($A82,'Data shares'!$C:$FM,102)</f>
        <v>34.01</v>
      </c>
      <c r="C82" s="50">
        <f>VLOOKUP($A82,'Data shares'!$C:$FM,110)</f>
        <v>34.4</v>
      </c>
      <c r="D82" s="50">
        <f>VLOOKUP($A82,'Data shares'!$C:$FM,114)</f>
        <v>33.11</v>
      </c>
      <c r="E82" s="50">
        <f>VLOOKUP($A82,'Data shares'!$C:$FM,106)</f>
        <v>31.25</v>
      </c>
      <c r="F82" s="50">
        <f>VLOOKUP($A82,'Data shares'!$C:$FM,108)</f>
        <v>2.76</v>
      </c>
      <c r="G82" s="50">
        <f t="shared" si="2"/>
        <v>1.08832</v>
      </c>
    </row>
    <row r="83" spans="1:7" x14ac:dyDescent="0.25">
      <c r="A83" s="49" t="str">
        <f>'Data Vlaue (Cr)'!C78</f>
        <v>HCLTECH</v>
      </c>
      <c r="B83" s="50">
        <f>VLOOKUP($A83,'Data shares'!$C:$FM,102)</f>
        <v>33.42</v>
      </c>
      <c r="C83" s="50">
        <f>VLOOKUP($A83,'Data shares'!$C:$FM,110)</f>
        <v>33.78</v>
      </c>
      <c r="D83" s="50">
        <f>VLOOKUP($A83,'Data shares'!$C:$FM,114)</f>
        <v>32.54</v>
      </c>
      <c r="E83" s="50">
        <f>VLOOKUP($A83,'Data shares'!$C:$FM,106)</f>
        <v>32.950000000000003</v>
      </c>
      <c r="F83" s="50">
        <f>VLOOKUP($A83,'Data shares'!$C:$FM,108)</f>
        <v>0.47</v>
      </c>
      <c r="G83" s="50">
        <f t="shared" si="2"/>
        <v>1.0142640364188165</v>
      </c>
    </row>
    <row r="84" spans="1:7" x14ac:dyDescent="0.25">
      <c r="A84" s="49" t="str">
        <f>'Data Vlaue (Cr)'!C79</f>
        <v>HDFCAMC</v>
      </c>
      <c r="B84" s="50">
        <f>VLOOKUP($A84,'Data shares'!$C:$FM,102)</f>
        <v>30.35</v>
      </c>
      <c r="C84" s="50">
        <f>VLOOKUP($A84,'Data shares'!$C:$FM,110)</f>
        <v>29.86</v>
      </c>
      <c r="D84" s="50">
        <f>VLOOKUP($A84,'Data shares'!$C:$FM,114)</f>
        <v>30.92</v>
      </c>
      <c r="E84" s="50">
        <f>VLOOKUP($A84,'Data shares'!$C:$FM,106)</f>
        <v>39.19</v>
      </c>
      <c r="F84" s="50">
        <f>VLOOKUP($A84,'Data shares'!$C:$FM,108)</f>
        <v>-8.84</v>
      </c>
      <c r="G84" s="50">
        <f t="shared" si="2"/>
        <v>0.77443225312579744</v>
      </c>
    </row>
    <row r="85" spans="1:7" x14ac:dyDescent="0.25">
      <c r="A85" s="49" t="str">
        <f>'Data Vlaue (Cr)'!C80</f>
        <v>HDFCBANK</v>
      </c>
      <c r="B85" s="50">
        <f>VLOOKUP($A85,'Data shares'!$C:$FM,102)</f>
        <v>27.25</v>
      </c>
      <c r="C85" s="50">
        <f>VLOOKUP($A85,'Data shares'!$C:$FM,110)</f>
        <v>27.51</v>
      </c>
      <c r="D85" s="50">
        <f>VLOOKUP($A85,'Data shares'!$C:$FM,114)</f>
        <v>26.77</v>
      </c>
      <c r="E85" s="50">
        <f>VLOOKUP($A85,'Data shares'!$C:$FM,106)</f>
        <v>25.47</v>
      </c>
      <c r="F85" s="50">
        <f>VLOOKUP($A85,'Data shares'!$C:$FM,108)</f>
        <v>1.78</v>
      </c>
      <c r="G85" s="50">
        <f t="shared" si="2"/>
        <v>1.0698861405575186</v>
      </c>
    </row>
    <row r="86" spans="1:7" x14ac:dyDescent="0.25">
      <c r="A86" s="49" t="str">
        <f>'Data Vlaue (Cr)'!C81</f>
        <v>HDFCLIFE</v>
      </c>
      <c r="B86" s="50">
        <f>VLOOKUP($A86,'Data shares'!$C:$FM,102)</f>
        <v>27.59</v>
      </c>
      <c r="C86" s="50">
        <f>VLOOKUP($A86,'Data shares'!$C:$FM,110)</f>
        <v>27.67</v>
      </c>
      <c r="D86" s="50">
        <f>VLOOKUP($A86,'Data shares'!$C:$FM,114)</f>
        <v>27.31</v>
      </c>
      <c r="E86" s="50">
        <f>VLOOKUP($A86,'Data shares'!$C:$FM,106)</f>
        <v>27.68</v>
      </c>
      <c r="F86" s="50">
        <f>VLOOKUP($A86,'Data shares'!$C:$FM,108)</f>
        <v>-0.09</v>
      </c>
      <c r="G86" s="50">
        <f t="shared" si="2"/>
        <v>0.99674855491329484</v>
      </c>
    </row>
    <row r="87" spans="1:7" x14ac:dyDescent="0.25">
      <c r="A87" s="49" t="str">
        <f>'Data Vlaue (Cr)'!C82</f>
        <v>HEROMOTOCO</v>
      </c>
      <c r="B87" s="50">
        <f>VLOOKUP($A87,'Data shares'!$C:$FM,102)</f>
        <v>35.78</v>
      </c>
      <c r="C87" s="50">
        <f>VLOOKUP($A87,'Data shares'!$C:$FM,110)</f>
        <v>35.75</v>
      </c>
      <c r="D87" s="50">
        <f>VLOOKUP($A87,'Data shares'!$C:$FM,114)</f>
        <v>35.869999999999997</v>
      </c>
      <c r="E87" s="50">
        <f>VLOOKUP($A87,'Data shares'!$C:$FM,106)</f>
        <v>33.61</v>
      </c>
      <c r="F87" s="50">
        <f>VLOOKUP($A87,'Data shares'!$C:$FM,108)</f>
        <v>2.17</v>
      </c>
      <c r="G87" s="50">
        <f t="shared" si="2"/>
        <v>1.0645641178220768</v>
      </c>
    </row>
    <row r="88" spans="1:7" x14ac:dyDescent="0.25">
      <c r="A88" s="49" t="str">
        <f>'Data Vlaue (Cr)'!C83</f>
        <v>HINDALCO</v>
      </c>
      <c r="B88" s="50">
        <f>VLOOKUP($A88,'Data shares'!$C:$FM,102)</f>
        <v>35.47</v>
      </c>
      <c r="C88" s="50">
        <f>VLOOKUP($A88,'Data shares'!$C:$FM,110)</f>
        <v>35.44</v>
      </c>
      <c r="D88" s="50">
        <f>VLOOKUP($A88,'Data shares'!$C:$FM,114)</f>
        <v>35.549999999999997</v>
      </c>
      <c r="E88" s="50">
        <f>VLOOKUP($A88,'Data shares'!$C:$FM,106)</f>
        <v>36.44</v>
      </c>
      <c r="F88" s="50">
        <f>VLOOKUP($A88,'Data shares'!$C:$FM,108)</f>
        <v>-0.97</v>
      </c>
      <c r="G88" s="50">
        <f t="shared" si="2"/>
        <v>0.97338090010976952</v>
      </c>
    </row>
    <row r="89" spans="1:7" x14ac:dyDescent="0.25">
      <c r="A89" s="49" t="str">
        <f>'Data Vlaue (Cr)'!C84</f>
        <v>HINDPETRO</v>
      </c>
      <c r="B89" s="50">
        <f>VLOOKUP($A89,'Data shares'!$C:$FM,102)</f>
        <v>41.19</v>
      </c>
      <c r="C89" s="50">
        <f>VLOOKUP($A89,'Data shares'!$C:$FM,110)</f>
        <v>41.1</v>
      </c>
      <c r="D89" s="50">
        <f>VLOOKUP($A89,'Data shares'!$C:$FM,114)</f>
        <v>41.26</v>
      </c>
      <c r="E89" s="50">
        <f>VLOOKUP($A89,'Data shares'!$C:$FM,106)</f>
        <v>44.04</v>
      </c>
      <c r="F89" s="50">
        <f>VLOOKUP($A89,'Data shares'!$C:$FM,108)</f>
        <v>-2.85</v>
      </c>
      <c r="G89" s="50">
        <f t="shared" si="2"/>
        <v>0.93528610354223429</v>
      </c>
    </row>
    <row r="90" spans="1:7" x14ac:dyDescent="0.25">
      <c r="A90" s="49" t="str">
        <f>'Data Vlaue (Cr)'!C85</f>
        <v>HINDUNILVR</v>
      </c>
      <c r="B90" s="50">
        <f>VLOOKUP($A90,'Data shares'!$C:$FM,102)</f>
        <v>27.34</v>
      </c>
      <c r="C90" s="50">
        <f>VLOOKUP($A90,'Data shares'!$C:$FM,110)</f>
        <v>26.77</v>
      </c>
      <c r="D90" s="50">
        <f>VLOOKUP($A90,'Data shares'!$C:$FM,114)</f>
        <v>28.3</v>
      </c>
      <c r="E90" s="50">
        <f>VLOOKUP($A90,'Data shares'!$C:$FM,106)</f>
        <v>24.39</v>
      </c>
      <c r="F90" s="50">
        <f>VLOOKUP($A90,'Data shares'!$C:$FM,108)</f>
        <v>2.95</v>
      </c>
      <c r="G90" s="50">
        <f t="shared" si="2"/>
        <v>1.120951209512095</v>
      </c>
    </row>
    <row r="91" spans="1:7" x14ac:dyDescent="0.25">
      <c r="A91" s="49" t="str">
        <f>'Data Vlaue (Cr)'!C86</f>
        <v>HINDZINC</v>
      </c>
      <c r="B91" s="50">
        <f>VLOOKUP($A91,'Data shares'!$C:$FM,102)</f>
        <v>40.520000000000003</v>
      </c>
      <c r="C91" s="50">
        <f>VLOOKUP($A91,'Data shares'!$C:$FM,110)</f>
        <v>40.75</v>
      </c>
      <c r="D91" s="50">
        <f>VLOOKUP($A91,'Data shares'!$C:$FM,114)</f>
        <v>40.14</v>
      </c>
      <c r="E91" s="50">
        <f>VLOOKUP($A91,'Data shares'!$C:$FM,106)</f>
        <v>50.26</v>
      </c>
      <c r="F91" s="50">
        <f>VLOOKUP($A91,'Data shares'!$C:$FM,108)</f>
        <v>-9.74</v>
      </c>
      <c r="G91" s="50">
        <f t="shared" si="2"/>
        <v>0.806207719856745</v>
      </c>
    </row>
    <row r="92" spans="1:7" x14ac:dyDescent="0.25">
      <c r="A92" s="49" t="str">
        <f>'Data Vlaue (Cr)'!C87</f>
        <v>HUDCO</v>
      </c>
      <c r="B92" s="50">
        <f>VLOOKUP($A92,'Data shares'!$C:$FM,102)</f>
        <v>49.98</v>
      </c>
      <c r="C92" s="50">
        <f>VLOOKUP($A92,'Data shares'!$C:$FM,110)</f>
        <v>49.98</v>
      </c>
      <c r="D92" s="50">
        <f>VLOOKUP($A92,'Data shares'!$C:$FM,114)</f>
        <v>49.98</v>
      </c>
      <c r="E92" s="50">
        <f>VLOOKUP($A92,'Data shares'!$C:$FM,106)</f>
        <v>49.98</v>
      </c>
      <c r="F92" s="50">
        <f>VLOOKUP($A92,'Data shares'!$C:$FM,108)</f>
        <v>0</v>
      </c>
      <c r="G92" s="50">
        <f t="shared" si="2"/>
        <v>1</v>
      </c>
    </row>
    <row r="93" spans="1:7" x14ac:dyDescent="0.25">
      <c r="A93" s="49" t="str">
        <f>'Data Vlaue (Cr)'!C88</f>
        <v>HYUNDAI</v>
      </c>
      <c r="B93" s="50">
        <f>VLOOKUP($A93,'Data shares'!$C:$FM,102)</f>
        <v>40.200000000000003</v>
      </c>
      <c r="C93" s="50">
        <f>VLOOKUP($A93,'Data shares'!$C:$FM,110)</f>
        <v>40.53</v>
      </c>
      <c r="D93" s="50">
        <f>VLOOKUP($A93,'Data shares'!$C:$FM,114)</f>
        <v>39.42</v>
      </c>
      <c r="E93" s="50">
        <f>VLOOKUP($A93,'Data shares'!$C:$FM,106)</f>
        <v>33.450000000000003</v>
      </c>
      <c r="F93" s="50">
        <f>VLOOKUP($A93,'Data shares'!$C:$FM,108)</f>
        <v>6.75</v>
      </c>
      <c r="G93" s="50">
        <f t="shared" si="2"/>
        <v>1.2017937219730941</v>
      </c>
    </row>
    <row r="94" spans="1:7" x14ac:dyDescent="0.25">
      <c r="A94" s="49" t="str">
        <f>'Data Vlaue (Cr)'!C89</f>
        <v>ICICIBANK</v>
      </c>
      <c r="B94" s="50">
        <f>VLOOKUP($A94,'Data shares'!$C:$FM,102)</f>
        <v>23.52</v>
      </c>
      <c r="C94" s="50">
        <f>VLOOKUP($A94,'Data shares'!$C:$FM,110)</f>
        <v>23.45</v>
      </c>
      <c r="D94" s="50">
        <f>VLOOKUP($A94,'Data shares'!$C:$FM,114)</f>
        <v>23.63</v>
      </c>
      <c r="E94" s="50">
        <f>VLOOKUP($A94,'Data shares'!$C:$FM,106)</f>
        <v>24.04</v>
      </c>
      <c r="F94" s="50">
        <f>VLOOKUP($A94,'Data shares'!$C:$FM,108)</f>
        <v>-0.52</v>
      </c>
      <c r="G94" s="50">
        <f t="shared" si="2"/>
        <v>0.97836938435940102</v>
      </c>
    </row>
    <row r="95" spans="1:7" x14ac:dyDescent="0.25">
      <c r="A95" s="49" t="str">
        <f>'Data Vlaue (Cr)'!C90</f>
        <v>ICICIGI</v>
      </c>
      <c r="B95" s="50">
        <f>VLOOKUP($A95,'Data shares'!$C:$FM,102)</f>
        <v>25.05</v>
      </c>
      <c r="C95" s="50">
        <f>VLOOKUP($A95,'Data shares'!$C:$FM,110)</f>
        <v>25.07</v>
      </c>
      <c r="D95" s="50">
        <f>VLOOKUP($A95,'Data shares'!$C:$FM,114)</f>
        <v>24.86</v>
      </c>
      <c r="E95" s="50">
        <f>VLOOKUP($A95,'Data shares'!$C:$FM,106)</f>
        <v>27.1</v>
      </c>
      <c r="F95" s="50">
        <f>VLOOKUP($A95,'Data shares'!$C:$FM,108)</f>
        <v>-2.0499999999999998</v>
      </c>
      <c r="G95" s="50">
        <f t="shared" si="2"/>
        <v>0.92435424354243545</v>
      </c>
    </row>
    <row r="96" spans="1:7" x14ac:dyDescent="0.25">
      <c r="A96" s="49" t="str">
        <f>'Data Vlaue (Cr)'!C91</f>
        <v>ICICIPRULI</v>
      </c>
      <c r="B96" s="50">
        <f>VLOOKUP($A96,'Data shares'!$C:$FM,102)</f>
        <v>30.24</v>
      </c>
      <c r="C96" s="50">
        <f>VLOOKUP($A96,'Data shares'!$C:$FM,110)</f>
        <v>30.06</v>
      </c>
      <c r="D96" s="50">
        <f>VLOOKUP($A96,'Data shares'!$C:$FM,114)</f>
        <v>30.76</v>
      </c>
      <c r="E96" s="50">
        <f>VLOOKUP($A96,'Data shares'!$C:$FM,106)</f>
        <v>28.85</v>
      </c>
      <c r="F96" s="50">
        <f>VLOOKUP($A96,'Data shares'!$C:$FM,108)</f>
        <v>1.39</v>
      </c>
      <c r="G96" s="50">
        <f t="shared" si="2"/>
        <v>1.0481802426343154</v>
      </c>
    </row>
    <row r="97" spans="1:7" x14ac:dyDescent="0.25">
      <c r="A97" s="49" t="str">
        <f>'Data Vlaue (Cr)'!C92</f>
        <v>IDEA</v>
      </c>
      <c r="B97" s="50">
        <f>VLOOKUP($A97,'Data shares'!$C:$FM,102)</f>
        <v>52.25</v>
      </c>
      <c r="C97" s="50">
        <f>VLOOKUP($A97,'Data shares'!$C:$FM,110)</f>
        <v>52.95</v>
      </c>
      <c r="D97" s="50">
        <f>VLOOKUP($A97,'Data shares'!$C:$FM,114)</f>
        <v>49.49</v>
      </c>
      <c r="E97" s="50">
        <f>VLOOKUP($A97,'Data shares'!$C:$FM,106)</f>
        <v>64.06</v>
      </c>
      <c r="F97" s="50">
        <f>VLOOKUP($A97,'Data shares'!$C:$FM,108)</f>
        <v>-11.81</v>
      </c>
      <c r="G97" s="50">
        <f t="shared" si="2"/>
        <v>0.81564158601311265</v>
      </c>
    </row>
    <row r="98" spans="1:7" x14ac:dyDescent="0.25">
      <c r="A98" s="49" t="str">
        <f>'Data Vlaue (Cr)'!C93</f>
        <v>IDFCFIRSTB</v>
      </c>
      <c r="B98" s="50">
        <f>VLOOKUP($A98,'Data shares'!$C:$FM,102)</f>
        <v>37.97</v>
      </c>
      <c r="C98" s="50">
        <f>VLOOKUP($A98,'Data shares'!$C:$FM,110)</f>
        <v>38.01</v>
      </c>
      <c r="D98" s="50">
        <f>VLOOKUP($A98,'Data shares'!$C:$FM,114)</f>
        <v>37.93</v>
      </c>
      <c r="E98" s="50">
        <f>VLOOKUP($A98,'Data shares'!$C:$FM,106)</f>
        <v>41.25</v>
      </c>
      <c r="F98" s="50">
        <f>VLOOKUP($A98,'Data shares'!$C:$FM,108)</f>
        <v>-3.28</v>
      </c>
      <c r="G98" s="50">
        <f t="shared" si="2"/>
        <v>0.92048484848484846</v>
      </c>
    </row>
    <row r="99" spans="1:7" x14ac:dyDescent="0.25">
      <c r="A99" s="49" t="str">
        <f>'Data Vlaue (Cr)'!C94</f>
        <v>IEX</v>
      </c>
      <c r="B99" s="50">
        <f>VLOOKUP($A99,'Data shares'!$C:$FM,102)</f>
        <v>41.92</v>
      </c>
      <c r="C99" s="50">
        <f>VLOOKUP($A99,'Data shares'!$C:$FM,110)</f>
        <v>41.64</v>
      </c>
      <c r="D99" s="50">
        <f>VLOOKUP($A99,'Data shares'!$C:$FM,114)</f>
        <v>42.49</v>
      </c>
      <c r="E99" s="50">
        <f>VLOOKUP($A99,'Data shares'!$C:$FM,106)</f>
        <v>52.37</v>
      </c>
      <c r="F99" s="50">
        <f>VLOOKUP($A99,'Data shares'!$C:$FM,108)</f>
        <v>-10.45</v>
      </c>
      <c r="G99" s="50">
        <f t="shared" si="2"/>
        <v>0.80045827763987021</v>
      </c>
    </row>
    <row r="100" spans="1:7" x14ac:dyDescent="0.25">
      <c r="A100" s="49" t="str">
        <f>'Data Vlaue (Cr)'!C95</f>
        <v>INDHOTEL</v>
      </c>
      <c r="B100" s="50">
        <f>VLOOKUP($A100,'Data shares'!$C:$FM,102)</f>
        <v>30.24</v>
      </c>
      <c r="C100" s="50">
        <f>VLOOKUP($A100,'Data shares'!$C:$FM,110)</f>
        <v>30.25</v>
      </c>
      <c r="D100" s="50">
        <f>VLOOKUP($A100,'Data shares'!$C:$FM,114)</f>
        <v>30.23</v>
      </c>
      <c r="E100" s="50">
        <f>VLOOKUP($A100,'Data shares'!$C:$FM,106)</f>
        <v>35.130000000000003</v>
      </c>
      <c r="F100" s="50">
        <f>VLOOKUP($A100,'Data shares'!$C:$FM,108)</f>
        <v>-4.8899999999999997</v>
      </c>
      <c r="G100" s="50">
        <f t="shared" si="2"/>
        <v>0.86080273270708785</v>
      </c>
    </row>
    <row r="101" spans="1:7" x14ac:dyDescent="0.25">
      <c r="A101" s="49" t="str">
        <f>'Data Vlaue (Cr)'!C96</f>
        <v>INDIANB</v>
      </c>
      <c r="B101" s="50">
        <f>VLOOKUP($A101,'Data shares'!$C:$FM,102)</f>
        <v>38.119999999999997</v>
      </c>
      <c r="C101" s="50">
        <f>VLOOKUP($A101,'Data shares'!$C:$FM,110)</f>
        <v>37.82</v>
      </c>
      <c r="D101" s="50">
        <f>VLOOKUP($A101,'Data shares'!$C:$FM,114)</f>
        <v>38.619999999999997</v>
      </c>
      <c r="E101" s="50">
        <f>VLOOKUP($A101,'Data shares'!$C:$FM,106)</f>
        <v>41.46</v>
      </c>
      <c r="F101" s="50">
        <f>VLOOKUP($A101,'Data shares'!$C:$FM,108)</f>
        <v>-3.34</v>
      </c>
      <c r="G101" s="50">
        <f t="shared" si="2"/>
        <v>0.91944042450554742</v>
      </c>
    </row>
    <row r="102" spans="1:7" x14ac:dyDescent="0.25">
      <c r="A102" s="49" t="str">
        <f>'Data Vlaue (Cr)'!C97</f>
        <v>INDIAVIX</v>
      </c>
      <c r="B102" s="50">
        <f>VLOOKUP($A102,'Data shares'!$C:$FM,102)</f>
        <v>0</v>
      </c>
      <c r="C102" s="50">
        <f>VLOOKUP($A102,'Data shares'!$C:$FM,110)</f>
        <v>0</v>
      </c>
      <c r="D102" s="50">
        <f>VLOOKUP($A102,'Data shares'!$C:$FM,114)</f>
        <v>0</v>
      </c>
      <c r="E102" s="50">
        <f>VLOOKUP($A102,'Data shares'!$C:$FM,106)</f>
        <v>0</v>
      </c>
      <c r="F102" s="50">
        <f>VLOOKUP($A102,'Data shares'!$C:$FM,108)</f>
        <v>0</v>
      </c>
      <c r="G102" s="50" t="e">
        <f t="shared" si="2"/>
        <v>#DIV/0!</v>
      </c>
    </row>
    <row r="103" spans="1:7" x14ac:dyDescent="0.25">
      <c r="A103" s="49" t="str">
        <f>'Data Vlaue (Cr)'!C98</f>
        <v>INDIGO</v>
      </c>
      <c r="B103" s="50">
        <f>VLOOKUP($A103,'Data shares'!$C:$FM,102)</f>
        <v>39.06</v>
      </c>
      <c r="C103" s="50">
        <f>VLOOKUP($A103,'Data shares'!$C:$FM,110)</f>
        <v>38.299999999999997</v>
      </c>
      <c r="D103" s="50">
        <f>VLOOKUP($A103,'Data shares'!$C:$FM,114)</f>
        <v>39.590000000000003</v>
      </c>
      <c r="E103" s="50">
        <f>VLOOKUP($A103,'Data shares'!$C:$FM,106)</f>
        <v>39.97</v>
      </c>
      <c r="F103" s="50">
        <f>VLOOKUP($A103,'Data shares'!$C:$FM,108)</f>
        <v>-0.91</v>
      </c>
      <c r="G103" s="50">
        <f t="shared" ref="G103:G134" si="3">B103/E103</f>
        <v>0.97723292469352019</v>
      </c>
    </row>
    <row r="104" spans="1:7" x14ac:dyDescent="0.25">
      <c r="A104" s="49" t="str">
        <f>'Data Vlaue (Cr)'!C99</f>
        <v>INDUSINDBK</v>
      </c>
      <c r="B104" s="50">
        <f>VLOOKUP($A104,'Data shares'!$C:$FM,102)</f>
        <v>35.24</v>
      </c>
      <c r="C104" s="50">
        <f>VLOOKUP($A104,'Data shares'!$C:$FM,110)</f>
        <v>35.270000000000003</v>
      </c>
      <c r="D104" s="50">
        <f>VLOOKUP($A104,'Data shares'!$C:$FM,114)</f>
        <v>35.200000000000003</v>
      </c>
      <c r="E104" s="50">
        <f>VLOOKUP($A104,'Data shares'!$C:$FM,106)</f>
        <v>43.02</v>
      </c>
      <c r="F104" s="50">
        <f>VLOOKUP($A104,'Data shares'!$C:$FM,108)</f>
        <v>-7.78</v>
      </c>
      <c r="G104" s="50">
        <f t="shared" si="3"/>
        <v>0.81915388191538818</v>
      </c>
    </row>
    <row r="105" spans="1:7" x14ac:dyDescent="0.25">
      <c r="A105" s="49" t="str">
        <f>'Data Vlaue (Cr)'!C100</f>
        <v>INDUSTOWER</v>
      </c>
      <c r="B105" s="50">
        <f>VLOOKUP($A105,'Data shares'!$C:$FM,102)</f>
        <v>37.020000000000003</v>
      </c>
      <c r="C105" s="50">
        <f>VLOOKUP($A105,'Data shares'!$C:$FM,110)</f>
        <v>36.9</v>
      </c>
      <c r="D105" s="50">
        <f>VLOOKUP($A105,'Data shares'!$C:$FM,114)</f>
        <v>37.26</v>
      </c>
      <c r="E105" s="50">
        <f>VLOOKUP($A105,'Data shares'!$C:$FM,106)</f>
        <v>37.630000000000003</v>
      </c>
      <c r="F105" s="50">
        <f>VLOOKUP($A105,'Data shares'!$C:$FM,108)</f>
        <v>-0.61</v>
      </c>
      <c r="G105" s="50">
        <f t="shared" si="3"/>
        <v>0.98378952963061383</v>
      </c>
    </row>
    <row r="106" spans="1:7" x14ac:dyDescent="0.25">
      <c r="A106" s="49" t="str">
        <f>'Data Vlaue (Cr)'!C101</f>
        <v>INFY</v>
      </c>
      <c r="B106" s="50">
        <f>VLOOKUP($A106,'Data shares'!$C:$FM,102)</f>
        <v>38.36</v>
      </c>
      <c r="C106" s="50">
        <f>VLOOKUP($A106,'Data shares'!$C:$FM,110)</f>
        <v>38.65</v>
      </c>
      <c r="D106" s="50">
        <f>VLOOKUP($A106,'Data shares'!$C:$FM,114)</f>
        <v>37.94</v>
      </c>
      <c r="E106" s="50">
        <f>VLOOKUP($A106,'Data shares'!$C:$FM,106)</f>
        <v>31.14</v>
      </c>
      <c r="F106" s="50">
        <f>VLOOKUP($A106,'Data shares'!$C:$FM,108)</f>
        <v>7.22</v>
      </c>
      <c r="G106" s="50">
        <f t="shared" si="3"/>
        <v>1.2318561335902376</v>
      </c>
    </row>
    <row r="107" spans="1:7" x14ac:dyDescent="0.25">
      <c r="A107" s="49" t="str">
        <f>'Data Vlaue (Cr)'!C102</f>
        <v>INOXWIND</v>
      </c>
      <c r="B107" s="50">
        <f>VLOOKUP($A107,'Data shares'!$C:$FM,102)</f>
        <v>54.63</v>
      </c>
      <c r="C107" s="50">
        <f>VLOOKUP($A107,'Data shares'!$C:$FM,110)</f>
        <v>54.81</v>
      </c>
      <c r="D107" s="50">
        <f>VLOOKUP($A107,'Data shares'!$C:$FM,114)</f>
        <v>54.27</v>
      </c>
      <c r="E107" s="50">
        <f>VLOOKUP($A107,'Data shares'!$C:$FM,106)</f>
        <v>54.22</v>
      </c>
      <c r="F107" s="50">
        <f>VLOOKUP($A107,'Data shares'!$C:$FM,108)</f>
        <v>0.41</v>
      </c>
      <c r="G107" s="50">
        <f t="shared" si="3"/>
        <v>1.0075617853190706</v>
      </c>
    </row>
    <row r="108" spans="1:7" x14ac:dyDescent="0.25">
      <c r="A108" s="49" t="str">
        <f>'Data Vlaue (Cr)'!C103</f>
        <v>IOC</v>
      </c>
      <c r="B108" s="50">
        <f>VLOOKUP($A108,'Data shares'!$C:$FM,102)</f>
        <v>34.9</v>
      </c>
      <c r="C108" s="50">
        <f>VLOOKUP($A108,'Data shares'!$C:$FM,110)</f>
        <v>34.56</v>
      </c>
      <c r="D108" s="50">
        <f>VLOOKUP($A108,'Data shares'!$C:$FM,114)</f>
        <v>35.43</v>
      </c>
      <c r="E108" s="50">
        <f>VLOOKUP($A108,'Data shares'!$C:$FM,106)</f>
        <v>33.83</v>
      </c>
      <c r="F108" s="50">
        <f>VLOOKUP($A108,'Data shares'!$C:$FM,108)</f>
        <v>1.07</v>
      </c>
      <c r="G108" s="50">
        <f t="shared" si="3"/>
        <v>1.0316287318947679</v>
      </c>
    </row>
    <row r="109" spans="1:7" x14ac:dyDescent="0.25">
      <c r="A109" s="49" t="str">
        <f>'Data Vlaue (Cr)'!C104</f>
        <v>IREDA</v>
      </c>
      <c r="B109" s="50">
        <f>VLOOKUP($A109,'Data shares'!$C:$FM,102)</f>
        <v>41.78</v>
      </c>
      <c r="C109" s="50">
        <f>VLOOKUP($A109,'Data shares'!$C:$FM,110)</f>
        <v>41.72</v>
      </c>
      <c r="D109" s="50">
        <f>VLOOKUP($A109,'Data shares'!$C:$FM,114)</f>
        <v>41.98</v>
      </c>
      <c r="E109" s="50">
        <f>VLOOKUP($A109,'Data shares'!$C:$FM,106)</f>
        <v>49.79</v>
      </c>
      <c r="F109" s="50">
        <f>VLOOKUP($A109,'Data shares'!$C:$FM,108)</f>
        <v>-8.01</v>
      </c>
      <c r="G109" s="50">
        <f t="shared" si="3"/>
        <v>0.83912432215304278</v>
      </c>
    </row>
    <row r="110" spans="1:7" x14ac:dyDescent="0.25">
      <c r="A110" s="49" t="str">
        <f>'Data Vlaue (Cr)'!C105</f>
        <v>IRFC</v>
      </c>
      <c r="B110" s="50">
        <f>VLOOKUP($A110,'Data shares'!$C:$FM,102)</f>
        <v>45.1</v>
      </c>
      <c r="C110" s="50">
        <f>VLOOKUP($A110,'Data shares'!$C:$FM,110)</f>
        <v>45.35</v>
      </c>
      <c r="D110" s="50">
        <f>VLOOKUP($A110,'Data shares'!$C:$FM,114)</f>
        <v>44.57</v>
      </c>
      <c r="E110" s="50">
        <f>VLOOKUP($A110,'Data shares'!$C:$FM,106)</f>
        <v>45.54</v>
      </c>
      <c r="F110" s="50">
        <f>VLOOKUP($A110,'Data shares'!$C:$FM,108)</f>
        <v>-0.44</v>
      </c>
      <c r="G110" s="50">
        <f t="shared" si="3"/>
        <v>0.9903381642512078</v>
      </c>
    </row>
    <row r="111" spans="1:7" x14ac:dyDescent="0.25">
      <c r="A111" s="49" t="str">
        <f>'Data Vlaue (Cr)'!C106</f>
        <v>ITC</v>
      </c>
      <c r="B111" s="50">
        <f>VLOOKUP($A111,'Data shares'!$C:$FM,102)</f>
        <v>24.07</v>
      </c>
      <c r="C111" s="50">
        <f>VLOOKUP($A111,'Data shares'!$C:$FM,110)</f>
        <v>24.25</v>
      </c>
      <c r="D111" s="50">
        <f>VLOOKUP($A111,'Data shares'!$C:$FM,114)</f>
        <v>23.79</v>
      </c>
      <c r="E111" s="50">
        <f>VLOOKUP($A111,'Data shares'!$C:$FM,106)</f>
        <v>24.39</v>
      </c>
      <c r="F111" s="50">
        <f>VLOOKUP($A111,'Data shares'!$C:$FM,108)</f>
        <v>-0.32</v>
      </c>
      <c r="G111" s="50">
        <f t="shared" si="3"/>
        <v>0.98687986879868794</v>
      </c>
    </row>
    <row r="112" spans="1:7" x14ac:dyDescent="0.25">
      <c r="A112" s="49" t="str">
        <f>'Data Vlaue (Cr)'!C107</f>
        <v>JINDALSTEL</v>
      </c>
      <c r="B112" s="50">
        <f>VLOOKUP($A112,'Data shares'!$C:$FM,102)</f>
        <v>32.99</v>
      </c>
      <c r="C112" s="50">
        <f>VLOOKUP($A112,'Data shares'!$C:$FM,110)</f>
        <v>33.01</v>
      </c>
      <c r="D112" s="50">
        <f>VLOOKUP($A112,'Data shares'!$C:$FM,114)</f>
        <v>32.96</v>
      </c>
      <c r="E112" s="50">
        <f>VLOOKUP($A112,'Data shares'!$C:$FM,106)</f>
        <v>37.840000000000003</v>
      </c>
      <c r="F112" s="50">
        <f>VLOOKUP($A112,'Data shares'!$C:$FM,108)</f>
        <v>-4.8499999999999996</v>
      </c>
      <c r="G112" s="50">
        <f t="shared" si="3"/>
        <v>0.8718287526427061</v>
      </c>
    </row>
    <row r="113" spans="1:7" x14ac:dyDescent="0.25">
      <c r="A113" s="49" t="str">
        <f>'Data Vlaue (Cr)'!C108</f>
        <v>JIOFIN</v>
      </c>
      <c r="B113" s="50">
        <f>VLOOKUP($A113,'Data shares'!$C:$FM,102)</f>
        <v>36.700000000000003</v>
      </c>
      <c r="C113" s="50">
        <f>VLOOKUP($A113,'Data shares'!$C:$FM,110)</f>
        <v>36.799999999999997</v>
      </c>
      <c r="D113" s="50">
        <f>VLOOKUP($A113,'Data shares'!$C:$FM,114)</f>
        <v>36.39</v>
      </c>
      <c r="E113" s="50">
        <f>VLOOKUP($A113,'Data shares'!$C:$FM,106)</f>
        <v>37.76</v>
      </c>
      <c r="F113" s="50">
        <f>VLOOKUP($A113,'Data shares'!$C:$FM,108)</f>
        <v>-1.06</v>
      </c>
      <c r="G113" s="50">
        <f t="shared" si="3"/>
        <v>0.97192796610169507</v>
      </c>
    </row>
    <row r="114" spans="1:7" x14ac:dyDescent="0.25">
      <c r="A114" s="49" t="str">
        <f>'Data Vlaue (Cr)'!C109</f>
        <v>JSWENERGY</v>
      </c>
      <c r="B114" s="50">
        <f>VLOOKUP($A114,'Data shares'!$C:$FM,102)</f>
        <v>37.729999999999997</v>
      </c>
      <c r="C114" s="50">
        <f>VLOOKUP($A114,'Data shares'!$C:$FM,110)</f>
        <v>37.29</v>
      </c>
      <c r="D114" s="50">
        <f>VLOOKUP($A114,'Data shares'!$C:$FM,114)</f>
        <v>38.93</v>
      </c>
      <c r="E114" s="50">
        <f>VLOOKUP($A114,'Data shares'!$C:$FM,106)</f>
        <v>42.63</v>
      </c>
      <c r="F114" s="50">
        <f>VLOOKUP($A114,'Data shares'!$C:$FM,108)</f>
        <v>-4.9000000000000004</v>
      </c>
      <c r="G114" s="50">
        <f t="shared" si="3"/>
        <v>0.88505747126436773</v>
      </c>
    </row>
    <row r="115" spans="1:7" x14ac:dyDescent="0.25">
      <c r="A115" s="49" t="str">
        <f>'Data Vlaue (Cr)'!C110</f>
        <v>JSWSTEEL</v>
      </c>
      <c r="B115" s="50">
        <f>VLOOKUP($A115,'Data shares'!$C:$FM,102)</f>
        <v>29.04</v>
      </c>
      <c r="C115" s="50">
        <f>VLOOKUP($A115,'Data shares'!$C:$FM,110)</f>
        <v>28.77</v>
      </c>
      <c r="D115" s="50">
        <f>VLOOKUP($A115,'Data shares'!$C:$FM,114)</f>
        <v>29.54</v>
      </c>
      <c r="E115" s="50">
        <f>VLOOKUP($A115,'Data shares'!$C:$FM,106)</f>
        <v>32.01</v>
      </c>
      <c r="F115" s="50">
        <f>VLOOKUP($A115,'Data shares'!$C:$FM,108)</f>
        <v>-2.97</v>
      </c>
      <c r="G115" s="50">
        <f t="shared" si="3"/>
        <v>0.90721649484536082</v>
      </c>
    </row>
    <row r="116" spans="1:7" x14ac:dyDescent="0.25">
      <c r="A116" s="49" t="str">
        <f>'Data Vlaue (Cr)'!C111</f>
        <v>JUBLFOOD</v>
      </c>
      <c r="B116" s="50">
        <f>VLOOKUP($A116,'Data shares'!$C:$FM,102)</f>
        <v>38.97</v>
      </c>
      <c r="C116" s="50">
        <f>VLOOKUP($A116,'Data shares'!$C:$FM,110)</f>
        <v>38.799999999999997</v>
      </c>
      <c r="D116" s="50">
        <f>VLOOKUP($A116,'Data shares'!$C:$FM,114)</f>
        <v>39.6</v>
      </c>
      <c r="E116" s="50">
        <f>VLOOKUP($A116,'Data shares'!$C:$FM,106)</f>
        <v>38.479999999999997</v>
      </c>
      <c r="F116" s="50">
        <f>VLOOKUP($A116,'Data shares'!$C:$FM,108)</f>
        <v>0.49</v>
      </c>
      <c r="G116" s="50">
        <f t="shared" si="3"/>
        <v>1.0127338877338878</v>
      </c>
    </row>
    <row r="117" spans="1:7" x14ac:dyDescent="0.25">
      <c r="A117" s="49" t="str">
        <f>'Data Vlaue (Cr)'!C112</f>
        <v>KALYANKJIL</v>
      </c>
      <c r="B117" s="50">
        <f>VLOOKUP($A117,'Data shares'!$C:$FM,102)</f>
        <v>47.11</v>
      </c>
      <c r="C117" s="50">
        <f>VLOOKUP($A117,'Data shares'!$C:$FM,110)</f>
        <v>46.41</v>
      </c>
      <c r="D117" s="50">
        <f>VLOOKUP($A117,'Data shares'!$C:$FM,114)</f>
        <v>48.17</v>
      </c>
      <c r="E117" s="50">
        <f>VLOOKUP($A117,'Data shares'!$C:$FM,106)</f>
        <v>52.03</v>
      </c>
      <c r="F117" s="50">
        <f>VLOOKUP($A117,'Data shares'!$C:$FM,108)</f>
        <v>-4.92</v>
      </c>
      <c r="G117" s="50">
        <f t="shared" si="3"/>
        <v>0.90543916970978278</v>
      </c>
    </row>
    <row r="118" spans="1:7" x14ac:dyDescent="0.25">
      <c r="A118" s="49" t="str">
        <f>'Data Vlaue (Cr)'!C113</f>
        <v>KAYNES</v>
      </c>
      <c r="B118" s="50">
        <f>VLOOKUP($A118,'Data shares'!$C:$FM,102)</f>
        <v>49.58</v>
      </c>
      <c r="C118" s="50">
        <f>VLOOKUP($A118,'Data shares'!$C:$FM,110)</f>
        <v>49.51</v>
      </c>
      <c r="D118" s="50">
        <f>VLOOKUP($A118,'Data shares'!$C:$FM,114)</f>
        <v>49.76</v>
      </c>
      <c r="E118" s="50">
        <f>VLOOKUP($A118,'Data shares'!$C:$FM,106)</f>
        <v>61</v>
      </c>
      <c r="F118" s="50">
        <f>VLOOKUP($A118,'Data shares'!$C:$FM,108)</f>
        <v>-11.42</v>
      </c>
      <c r="G118" s="50">
        <f t="shared" si="3"/>
        <v>0.81278688524590159</v>
      </c>
    </row>
    <row r="119" spans="1:7" x14ac:dyDescent="0.25">
      <c r="A119" s="49" t="str">
        <f>'Data Vlaue (Cr)'!C114</f>
        <v>KEI</v>
      </c>
      <c r="B119" s="50">
        <f>VLOOKUP($A119,'Data shares'!$C:$FM,102)</f>
        <v>40.76</v>
      </c>
      <c r="C119" s="50">
        <f>VLOOKUP($A119,'Data shares'!$C:$FM,110)</f>
        <v>40.32</v>
      </c>
      <c r="D119" s="50">
        <f>VLOOKUP($A119,'Data shares'!$C:$FM,114)</f>
        <v>41.84</v>
      </c>
      <c r="E119" s="50">
        <f>VLOOKUP($A119,'Data shares'!$C:$FM,106)</f>
        <v>46.28</v>
      </c>
      <c r="F119" s="50">
        <f>VLOOKUP($A119,'Data shares'!$C:$FM,108)</f>
        <v>-5.52</v>
      </c>
      <c r="G119" s="50">
        <f t="shared" si="3"/>
        <v>0.88072601555747621</v>
      </c>
    </row>
    <row r="120" spans="1:7" x14ac:dyDescent="0.25">
      <c r="A120" s="49" t="str">
        <f>'Data Vlaue (Cr)'!C115</f>
        <v>KFINTECH</v>
      </c>
      <c r="B120" s="50">
        <f>VLOOKUP($A120,'Data shares'!$C:$FM,102)</f>
        <v>41.64</v>
      </c>
      <c r="C120" s="50">
        <f>VLOOKUP($A120,'Data shares'!$C:$FM,110)</f>
        <v>41.97</v>
      </c>
      <c r="D120" s="50">
        <f>VLOOKUP($A120,'Data shares'!$C:$FM,114)</f>
        <v>41.12</v>
      </c>
      <c r="E120" s="50">
        <f>VLOOKUP($A120,'Data shares'!$C:$FM,106)</f>
        <v>49.97</v>
      </c>
      <c r="F120" s="50">
        <f>VLOOKUP($A120,'Data shares'!$C:$FM,108)</f>
        <v>-8.33</v>
      </c>
      <c r="G120" s="50">
        <f t="shared" si="3"/>
        <v>0.83329997998799288</v>
      </c>
    </row>
    <row r="121" spans="1:7" x14ac:dyDescent="0.25">
      <c r="A121" s="49" t="str">
        <f>'Data Vlaue (Cr)'!C116</f>
        <v>KOTAKBANK</v>
      </c>
      <c r="B121" s="50">
        <f>VLOOKUP($A121,'Data shares'!$C:$FM,102)</f>
        <v>29.53</v>
      </c>
      <c r="C121" s="50">
        <f>VLOOKUP($A121,'Data shares'!$C:$FM,110)</f>
        <v>30.1</v>
      </c>
      <c r="D121" s="50">
        <f>VLOOKUP($A121,'Data shares'!$C:$FM,114)</f>
        <v>28.66</v>
      </c>
      <c r="E121" s="50">
        <f>VLOOKUP($A121,'Data shares'!$C:$FM,106)</f>
        <v>27.3</v>
      </c>
      <c r="F121" s="50">
        <f>VLOOKUP($A121,'Data shares'!$C:$FM,108)</f>
        <v>2.23</v>
      </c>
      <c r="G121" s="50">
        <f t="shared" si="3"/>
        <v>1.0816849816849816</v>
      </c>
    </row>
    <row r="122" spans="1:7" x14ac:dyDescent="0.25">
      <c r="A122" s="49" t="str">
        <f>'Data Vlaue (Cr)'!C117</f>
        <v>KPITTECH</v>
      </c>
      <c r="B122" s="50">
        <f>VLOOKUP($A122,'Data shares'!$C:$FM,102)</f>
        <v>45.38</v>
      </c>
      <c r="C122" s="50">
        <f>VLOOKUP($A122,'Data shares'!$C:$FM,110)</f>
        <v>43.59</v>
      </c>
      <c r="D122" s="50">
        <f>VLOOKUP($A122,'Data shares'!$C:$FM,114)</f>
        <v>47.9</v>
      </c>
      <c r="E122" s="50">
        <f>VLOOKUP($A122,'Data shares'!$C:$FM,106)</f>
        <v>44.76</v>
      </c>
      <c r="F122" s="50">
        <f>VLOOKUP($A122,'Data shares'!$C:$FM,108)</f>
        <v>0.62</v>
      </c>
      <c r="G122" s="50">
        <f t="shared" si="3"/>
        <v>1.0138516532618411</v>
      </c>
    </row>
    <row r="123" spans="1:7" x14ac:dyDescent="0.25">
      <c r="A123" s="49" t="str">
        <f>'Data Vlaue (Cr)'!C118</f>
        <v>LAURUSLABS</v>
      </c>
      <c r="B123" s="50">
        <f>VLOOKUP($A123,'Data shares'!$C:$FM,102)</f>
        <v>35.99</v>
      </c>
      <c r="C123" s="50">
        <f>VLOOKUP($A123,'Data shares'!$C:$FM,110)</f>
        <v>35.65</v>
      </c>
      <c r="D123" s="50">
        <f>VLOOKUP($A123,'Data shares'!$C:$FM,114)</f>
        <v>37.200000000000003</v>
      </c>
      <c r="E123" s="50">
        <f>VLOOKUP($A123,'Data shares'!$C:$FM,106)</f>
        <v>39.380000000000003</v>
      </c>
      <c r="F123" s="50">
        <f>VLOOKUP($A123,'Data shares'!$C:$FM,108)</f>
        <v>-3.39</v>
      </c>
      <c r="G123" s="50">
        <f t="shared" si="3"/>
        <v>0.9139156932453022</v>
      </c>
    </row>
    <row r="124" spans="1:7" x14ac:dyDescent="0.25">
      <c r="A124" s="49" t="str">
        <f>'Data Vlaue (Cr)'!C119</f>
        <v>LICHSGFIN</v>
      </c>
      <c r="B124" s="50">
        <f>VLOOKUP($A124,'Data shares'!$C:$FM,102)</f>
        <v>30.13</v>
      </c>
      <c r="C124" s="50">
        <f>VLOOKUP($A124,'Data shares'!$C:$FM,110)</f>
        <v>30.19</v>
      </c>
      <c r="D124" s="50">
        <f>VLOOKUP($A124,'Data shares'!$C:$FM,114)</f>
        <v>29.94</v>
      </c>
      <c r="E124" s="50">
        <f>VLOOKUP($A124,'Data shares'!$C:$FM,106)</f>
        <v>33.76</v>
      </c>
      <c r="F124" s="50">
        <f>VLOOKUP($A124,'Data shares'!$C:$FM,108)</f>
        <v>-3.63</v>
      </c>
      <c r="G124" s="50">
        <f t="shared" si="3"/>
        <v>0.89247630331753558</v>
      </c>
    </row>
    <row r="125" spans="1:7" x14ac:dyDescent="0.25">
      <c r="A125" s="49" t="str">
        <f>'Data Vlaue (Cr)'!C120</f>
        <v>LICI</v>
      </c>
      <c r="B125" s="50">
        <f>VLOOKUP($A125,'Data shares'!$C:$FM,102)</f>
        <v>31.57</v>
      </c>
      <c r="C125" s="50">
        <f>VLOOKUP($A125,'Data shares'!$C:$FM,110)</f>
        <v>32.130000000000003</v>
      </c>
      <c r="D125" s="50">
        <f>VLOOKUP($A125,'Data shares'!$C:$FM,114)</f>
        <v>30.39</v>
      </c>
      <c r="E125" s="50">
        <f>VLOOKUP($A125,'Data shares'!$C:$FM,106)</f>
        <v>33.130000000000003</v>
      </c>
      <c r="F125" s="50">
        <f>VLOOKUP($A125,'Data shares'!$C:$FM,108)</f>
        <v>-1.56</v>
      </c>
      <c r="G125" s="50">
        <f t="shared" si="3"/>
        <v>0.95291276788409285</v>
      </c>
    </row>
    <row r="126" spans="1:7" x14ac:dyDescent="0.25">
      <c r="A126" s="49" t="str">
        <f>'Data Vlaue (Cr)'!C121</f>
        <v>LODHA</v>
      </c>
      <c r="B126" s="50">
        <f>VLOOKUP($A126,'Data shares'!$C:$FM,102)</f>
        <v>44.42</v>
      </c>
      <c r="C126" s="50">
        <f>VLOOKUP($A126,'Data shares'!$C:$FM,110)</f>
        <v>44.14</v>
      </c>
      <c r="D126" s="50">
        <f>VLOOKUP($A126,'Data shares'!$C:$FM,114)</f>
        <v>45.11</v>
      </c>
      <c r="E126" s="50">
        <f>VLOOKUP($A126,'Data shares'!$C:$FM,106)</f>
        <v>47.69</v>
      </c>
      <c r="F126" s="50">
        <f>VLOOKUP($A126,'Data shares'!$C:$FM,108)</f>
        <v>-3.27</v>
      </c>
      <c r="G126" s="50">
        <f t="shared" si="3"/>
        <v>0.93143216607255197</v>
      </c>
    </row>
    <row r="127" spans="1:7" x14ac:dyDescent="0.25">
      <c r="A127" s="49" t="str">
        <f>'Data Vlaue (Cr)'!C122</f>
        <v>LT</v>
      </c>
      <c r="B127" s="50">
        <f>VLOOKUP($A127,'Data shares'!$C:$FM,102)</f>
        <v>32.380000000000003</v>
      </c>
      <c r="C127" s="50">
        <f>VLOOKUP($A127,'Data shares'!$C:$FM,110)</f>
        <v>31.6</v>
      </c>
      <c r="D127" s="50">
        <f>VLOOKUP($A127,'Data shares'!$C:$FM,114)</f>
        <v>33.159999999999997</v>
      </c>
      <c r="E127" s="50">
        <f>VLOOKUP($A127,'Data shares'!$C:$FM,106)</f>
        <v>33.79</v>
      </c>
      <c r="F127" s="50">
        <f>VLOOKUP($A127,'Data shares'!$C:$FM,108)</f>
        <v>-1.41</v>
      </c>
      <c r="G127" s="50">
        <f t="shared" si="3"/>
        <v>0.95827167801124602</v>
      </c>
    </row>
    <row r="128" spans="1:7" x14ac:dyDescent="0.25">
      <c r="A128" s="49" t="str">
        <f>'Data Vlaue (Cr)'!C123</f>
        <v>LTF</v>
      </c>
      <c r="B128" s="50">
        <f>VLOOKUP($A128,'Data shares'!$C:$FM,102)</f>
        <v>42.13</v>
      </c>
      <c r="C128" s="50">
        <f>VLOOKUP($A128,'Data shares'!$C:$FM,110)</f>
        <v>41.88</v>
      </c>
      <c r="D128" s="50">
        <f>VLOOKUP($A128,'Data shares'!$C:$FM,114)</f>
        <v>42.69</v>
      </c>
      <c r="E128" s="50">
        <f>VLOOKUP($A128,'Data shares'!$C:$FM,106)</f>
        <v>41.34</v>
      </c>
      <c r="F128" s="50">
        <f>VLOOKUP($A128,'Data shares'!$C:$FM,108)</f>
        <v>0.79</v>
      </c>
      <c r="G128" s="50">
        <f t="shared" si="3"/>
        <v>1.0191098209966134</v>
      </c>
    </row>
    <row r="129" spans="1:7" x14ac:dyDescent="0.25">
      <c r="A129" s="49" t="str">
        <f>'Data Vlaue (Cr)'!C124</f>
        <v>LTM</v>
      </c>
      <c r="B129" s="50">
        <f>VLOOKUP($A129,'Data shares'!$C:$FM,102)</f>
        <v>39.549999999999997</v>
      </c>
      <c r="C129" s="50">
        <f>VLOOKUP($A129,'Data shares'!$C:$FM,110)</f>
        <v>39.35</v>
      </c>
      <c r="D129" s="50">
        <f>VLOOKUP($A129,'Data shares'!$C:$FM,114)</f>
        <v>40.03</v>
      </c>
      <c r="E129" s="50">
        <f>VLOOKUP($A129,'Data shares'!$C:$FM,106)</f>
        <v>35.909999999999997</v>
      </c>
      <c r="F129" s="50">
        <f>VLOOKUP($A129,'Data shares'!$C:$FM,108)</f>
        <v>3.64</v>
      </c>
      <c r="G129" s="50">
        <f t="shared" si="3"/>
        <v>1.101364522417154</v>
      </c>
    </row>
    <row r="130" spans="1:7" x14ac:dyDescent="0.25">
      <c r="A130" s="49" t="str">
        <f>'Data Vlaue (Cr)'!C125</f>
        <v>LUPIN</v>
      </c>
      <c r="B130" s="50">
        <f>VLOOKUP($A130,'Data shares'!$C:$FM,102)</f>
        <v>31.71</v>
      </c>
      <c r="C130" s="50">
        <f>VLOOKUP($A130,'Data shares'!$C:$FM,110)</f>
        <v>31.8</v>
      </c>
      <c r="D130" s="50">
        <f>VLOOKUP($A130,'Data shares'!$C:$FM,114)</f>
        <v>31.42</v>
      </c>
      <c r="E130" s="50">
        <f>VLOOKUP($A130,'Data shares'!$C:$FM,106)</f>
        <v>27.71</v>
      </c>
      <c r="F130" s="50">
        <f>VLOOKUP($A130,'Data shares'!$C:$FM,108)</f>
        <v>4</v>
      </c>
      <c r="G130" s="50">
        <f t="shared" si="3"/>
        <v>1.1443522194153735</v>
      </c>
    </row>
    <row r="131" spans="1:7" x14ac:dyDescent="0.25">
      <c r="A131" s="49" t="str">
        <f>'Data Vlaue (Cr)'!C126</f>
        <v>M&amp;M</v>
      </c>
      <c r="B131" s="50">
        <f>VLOOKUP($A131,'Data shares'!$C:$FM,102)</f>
        <v>35.99</v>
      </c>
      <c r="C131" s="50">
        <f>VLOOKUP($A131,'Data shares'!$C:$FM,110)</f>
        <v>36.29</v>
      </c>
      <c r="D131" s="50">
        <f>VLOOKUP($A131,'Data shares'!$C:$FM,114)</f>
        <v>35.42</v>
      </c>
      <c r="E131" s="50">
        <f>VLOOKUP($A131,'Data shares'!$C:$FM,106)</f>
        <v>35.83</v>
      </c>
      <c r="F131" s="50">
        <f>VLOOKUP($A131,'Data shares'!$C:$FM,108)</f>
        <v>0.16</v>
      </c>
      <c r="G131" s="50">
        <f t="shared" si="3"/>
        <v>1.0044655316773654</v>
      </c>
    </row>
    <row r="132" spans="1:7" x14ac:dyDescent="0.25">
      <c r="A132" s="49" t="str">
        <f>'Data Vlaue (Cr)'!C127</f>
        <v>MANAPPURAM</v>
      </c>
      <c r="B132" s="50">
        <f>VLOOKUP($A132,'Data shares'!$C:$FM,102)</f>
        <v>42.09</v>
      </c>
      <c r="C132" s="50">
        <f>VLOOKUP($A132,'Data shares'!$C:$FM,110)</f>
        <v>42.11</v>
      </c>
      <c r="D132" s="50">
        <f>VLOOKUP($A132,'Data shares'!$C:$FM,114)</f>
        <v>42.06</v>
      </c>
      <c r="E132" s="50">
        <f>VLOOKUP($A132,'Data shares'!$C:$FM,106)</f>
        <v>43.09</v>
      </c>
      <c r="F132" s="50">
        <f>VLOOKUP($A132,'Data shares'!$C:$FM,108)</f>
        <v>-1</v>
      </c>
      <c r="G132" s="50">
        <f t="shared" si="3"/>
        <v>0.97679275934091436</v>
      </c>
    </row>
    <row r="133" spans="1:7" x14ac:dyDescent="0.25">
      <c r="A133" s="49" t="str">
        <f>'Data Vlaue (Cr)'!C128</f>
        <v>MANKIND</v>
      </c>
      <c r="B133" s="50">
        <f>VLOOKUP($A133,'Data shares'!$C:$FM,102)</f>
        <v>34.85</v>
      </c>
      <c r="C133" s="50">
        <f>VLOOKUP($A133,'Data shares'!$C:$FM,110)</f>
        <v>34.880000000000003</v>
      </c>
      <c r="D133" s="50">
        <f>VLOOKUP($A133,'Data shares'!$C:$FM,114)</f>
        <v>34.64</v>
      </c>
      <c r="E133" s="50">
        <f>VLOOKUP($A133,'Data shares'!$C:$FM,106)</f>
        <v>33.9</v>
      </c>
      <c r="F133" s="50">
        <f>VLOOKUP($A133,'Data shares'!$C:$FM,108)</f>
        <v>0.95</v>
      </c>
      <c r="G133" s="50">
        <f t="shared" si="3"/>
        <v>1.028023598820059</v>
      </c>
    </row>
    <row r="134" spans="1:7" x14ac:dyDescent="0.25">
      <c r="A134" s="49" t="str">
        <f>'Data Vlaue (Cr)'!C129</f>
        <v>MARICO</v>
      </c>
      <c r="B134" s="50">
        <f>VLOOKUP($A134,'Data shares'!$C:$FM,102)</f>
        <v>28.89</v>
      </c>
      <c r="C134" s="50">
        <f>VLOOKUP($A134,'Data shares'!$C:$FM,110)</f>
        <v>28.88</v>
      </c>
      <c r="D134" s="50">
        <f>VLOOKUP($A134,'Data shares'!$C:$FM,114)</f>
        <v>28.98</v>
      </c>
      <c r="E134" s="50">
        <f>VLOOKUP($A134,'Data shares'!$C:$FM,106)</f>
        <v>24.64</v>
      </c>
      <c r="F134" s="50">
        <f>VLOOKUP($A134,'Data shares'!$C:$FM,108)</f>
        <v>4.25</v>
      </c>
      <c r="G134" s="50">
        <f t="shared" si="3"/>
        <v>1.1724837662337662</v>
      </c>
    </row>
    <row r="135" spans="1:7" x14ac:dyDescent="0.25">
      <c r="A135" s="49" t="str">
        <f>'Data Vlaue (Cr)'!C130</f>
        <v>MARUTI</v>
      </c>
      <c r="B135" s="50">
        <f>VLOOKUP($A135,'Data shares'!$C:$FM,102)</f>
        <v>31.08</v>
      </c>
      <c r="C135" s="50">
        <f>VLOOKUP($A135,'Data shares'!$C:$FM,110)</f>
        <v>30.95</v>
      </c>
      <c r="D135" s="50">
        <f>VLOOKUP($A135,'Data shares'!$C:$FM,114)</f>
        <v>31.36</v>
      </c>
      <c r="E135" s="50">
        <f>VLOOKUP($A135,'Data shares'!$C:$FM,106)</f>
        <v>28.78</v>
      </c>
      <c r="F135" s="50">
        <f>VLOOKUP($A135,'Data shares'!$C:$FM,108)</f>
        <v>2.2999999999999998</v>
      </c>
      <c r="G135" s="50">
        <f t="shared" ref="G135:G166" si="4">B135/E135</f>
        <v>1.0799166087560805</v>
      </c>
    </row>
    <row r="136" spans="1:7" x14ac:dyDescent="0.25">
      <c r="A136" s="49" t="str">
        <f>'Data Vlaue (Cr)'!C131</f>
        <v>MAXHEALTH</v>
      </c>
      <c r="B136" s="50">
        <f>VLOOKUP($A136,'Data shares'!$C:$FM,102)</f>
        <v>29.98</v>
      </c>
      <c r="C136" s="50">
        <f>VLOOKUP($A136,'Data shares'!$C:$FM,110)</f>
        <v>29.96</v>
      </c>
      <c r="D136" s="50">
        <f>VLOOKUP($A136,'Data shares'!$C:$FM,114)</f>
        <v>30.11</v>
      </c>
      <c r="E136" s="50">
        <f>VLOOKUP($A136,'Data shares'!$C:$FM,106)</f>
        <v>36.020000000000003</v>
      </c>
      <c r="F136" s="50">
        <f>VLOOKUP($A136,'Data shares'!$C:$FM,108)</f>
        <v>-6.04</v>
      </c>
      <c r="G136" s="50">
        <f t="shared" si="4"/>
        <v>0.83231538034425312</v>
      </c>
    </row>
    <row r="137" spans="1:7" x14ac:dyDescent="0.25">
      <c r="A137" s="49" t="str">
        <f>'Data Vlaue (Cr)'!C132</f>
        <v>MAZDOCK</v>
      </c>
      <c r="B137" s="50">
        <f>VLOOKUP($A137,'Data shares'!$C:$FM,102)</f>
        <v>44.35</v>
      </c>
      <c r="C137" s="50">
        <f>VLOOKUP($A137,'Data shares'!$C:$FM,110)</f>
        <v>44.37</v>
      </c>
      <c r="D137" s="50">
        <f>VLOOKUP($A137,'Data shares'!$C:$FM,114)</f>
        <v>44.26</v>
      </c>
      <c r="E137" s="50">
        <f>VLOOKUP($A137,'Data shares'!$C:$FM,106)</f>
        <v>55.7</v>
      </c>
      <c r="F137" s="50">
        <f>VLOOKUP($A137,'Data shares'!$C:$FM,108)</f>
        <v>-11.35</v>
      </c>
      <c r="G137" s="50">
        <f t="shared" si="4"/>
        <v>0.79622980251346498</v>
      </c>
    </row>
    <row r="138" spans="1:7" x14ac:dyDescent="0.25">
      <c r="A138" s="49" t="str">
        <f>'Data Vlaue (Cr)'!C133</f>
        <v>MCX</v>
      </c>
      <c r="B138" s="50">
        <f>VLOOKUP($A138,'Data shares'!$C:$FM,102)</f>
        <v>43.79</v>
      </c>
      <c r="C138" s="50">
        <f>VLOOKUP($A138,'Data shares'!$C:$FM,110)</f>
        <v>43.64</v>
      </c>
      <c r="D138" s="50">
        <f>VLOOKUP($A138,'Data shares'!$C:$FM,114)</f>
        <v>44.02</v>
      </c>
      <c r="E138" s="50">
        <f>VLOOKUP($A138,'Data shares'!$C:$FM,106)</f>
        <v>49.57</v>
      </c>
      <c r="F138" s="50">
        <f>VLOOKUP($A138,'Data shares'!$C:$FM,108)</f>
        <v>-5.78</v>
      </c>
      <c r="G138" s="50">
        <f t="shared" si="4"/>
        <v>0.88339721605809962</v>
      </c>
    </row>
    <row r="139" spans="1:7" x14ac:dyDescent="0.25">
      <c r="A139" s="49" t="str">
        <f>'Data Vlaue (Cr)'!C134</f>
        <v>MFSL</v>
      </c>
      <c r="B139" s="50">
        <f>VLOOKUP($A139,'Data shares'!$C:$FM,102)</f>
        <v>33.200000000000003</v>
      </c>
      <c r="C139" s="50">
        <f>VLOOKUP($A139,'Data shares'!$C:$FM,110)</f>
        <v>32.82</v>
      </c>
      <c r="D139" s="50">
        <f>VLOOKUP($A139,'Data shares'!$C:$FM,114)</f>
        <v>33.630000000000003</v>
      </c>
      <c r="E139" s="50">
        <f>VLOOKUP($A139,'Data shares'!$C:$FM,106)</f>
        <v>31.95</v>
      </c>
      <c r="F139" s="50">
        <f>VLOOKUP($A139,'Data shares'!$C:$FM,108)</f>
        <v>1.25</v>
      </c>
      <c r="G139" s="50">
        <f t="shared" si="4"/>
        <v>1.0391236306729266</v>
      </c>
    </row>
    <row r="140" spans="1:7" x14ac:dyDescent="0.25">
      <c r="A140" s="49" t="str">
        <f>'Data Vlaue (Cr)'!C135</f>
        <v>MIDCPNIFTY</v>
      </c>
      <c r="B140" s="50">
        <f>VLOOKUP($A140,'Data shares'!$C:$FM,102)</f>
        <v>26.5</v>
      </c>
      <c r="C140" s="50">
        <f>VLOOKUP($A140,'Data shares'!$C:$FM,110)</f>
        <v>22.37</v>
      </c>
      <c r="D140" s="50">
        <f>VLOOKUP($A140,'Data shares'!$C:$FM,114)</f>
        <v>28.25</v>
      </c>
      <c r="E140" s="50">
        <f>VLOOKUP($A140,'Data shares'!$C:$FM,106)</f>
        <v>25.09</v>
      </c>
      <c r="F140" s="50">
        <f>VLOOKUP($A140,'Data shares'!$C:$FM,108)</f>
        <v>1.41</v>
      </c>
      <c r="G140" s="50">
        <f t="shared" si="4"/>
        <v>1.0561976883220408</v>
      </c>
    </row>
    <row r="141" spans="1:7" x14ac:dyDescent="0.25">
      <c r="A141" s="49" t="str">
        <f>'Data Vlaue (Cr)'!C136</f>
        <v>MOTHERSON</v>
      </c>
      <c r="B141" s="50">
        <f>VLOOKUP($A141,'Data shares'!$C:$FM,102)</f>
        <v>39.72</v>
      </c>
      <c r="C141" s="50">
        <f>VLOOKUP($A141,'Data shares'!$C:$FM,110)</f>
        <v>39.53</v>
      </c>
      <c r="D141" s="50">
        <f>VLOOKUP($A141,'Data shares'!$C:$FM,114)</f>
        <v>40.47</v>
      </c>
      <c r="E141" s="50">
        <f>VLOOKUP($A141,'Data shares'!$C:$FM,106)</f>
        <v>43.75</v>
      </c>
      <c r="F141" s="50">
        <f>VLOOKUP($A141,'Data shares'!$C:$FM,108)</f>
        <v>-4.03</v>
      </c>
      <c r="G141" s="50">
        <f t="shared" si="4"/>
        <v>0.9078857142857143</v>
      </c>
    </row>
    <row r="142" spans="1:7" x14ac:dyDescent="0.25">
      <c r="A142" s="49" t="str">
        <f>'Data Vlaue (Cr)'!C137</f>
        <v>MOTILALOFS</v>
      </c>
      <c r="B142" s="50">
        <f>VLOOKUP($A142,'Data shares'!$C:$FM,102)</f>
        <v>40.380000000000003</v>
      </c>
      <c r="C142" s="50">
        <f>VLOOKUP($A142,'Data shares'!$C:$FM,110)</f>
        <v>41.84</v>
      </c>
      <c r="D142" s="50">
        <f>VLOOKUP($A142,'Data shares'!$C:$FM,114)</f>
        <v>39.99</v>
      </c>
      <c r="E142" s="50">
        <f>VLOOKUP($A142,'Data shares'!$C:$FM,106)</f>
        <v>54.5</v>
      </c>
      <c r="F142" s="50">
        <f>VLOOKUP($A142,'Data shares'!$C:$FM,108)</f>
        <v>-14.12</v>
      </c>
      <c r="G142" s="50">
        <f t="shared" si="4"/>
        <v>0.74091743119266062</v>
      </c>
    </row>
    <row r="143" spans="1:7" x14ac:dyDescent="0.25">
      <c r="A143" s="49" t="str">
        <f>'Data Vlaue (Cr)'!C138</f>
        <v>MPHASIS</v>
      </c>
      <c r="B143" s="50">
        <f>VLOOKUP($A143,'Data shares'!$C:$FM,102)</f>
        <v>39.770000000000003</v>
      </c>
      <c r="C143" s="50">
        <f>VLOOKUP($A143,'Data shares'!$C:$FM,110)</f>
        <v>39.21</v>
      </c>
      <c r="D143" s="50">
        <f>VLOOKUP($A143,'Data shares'!$C:$FM,114)</f>
        <v>41</v>
      </c>
      <c r="E143" s="50">
        <f>VLOOKUP($A143,'Data shares'!$C:$FM,106)</f>
        <v>36.65</v>
      </c>
      <c r="F143" s="50">
        <f>VLOOKUP($A143,'Data shares'!$C:$FM,108)</f>
        <v>3.12</v>
      </c>
      <c r="G143" s="50">
        <f t="shared" si="4"/>
        <v>1.0851296043656209</v>
      </c>
    </row>
    <row r="144" spans="1:7" x14ac:dyDescent="0.25">
      <c r="A144" s="49" t="str">
        <f>'Data Vlaue (Cr)'!C139</f>
        <v>MUTHOOTFIN</v>
      </c>
      <c r="B144" s="233">
        <f>VLOOKUP($A144,'Data shares'!$C:$FM,102)</f>
        <v>39.04</v>
      </c>
      <c r="C144" s="233">
        <f>VLOOKUP($A144,'Data shares'!$C:$FM,110)</f>
        <v>38.049999999999997</v>
      </c>
      <c r="D144" s="233">
        <f>VLOOKUP($A144,'Data shares'!$C:$FM,114)</f>
        <v>40.270000000000003</v>
      </c>
      <c r="E144" s="233">
        <f>VLOOKUP($A144,'Data shares'!$C:$FM,106)</f>
        <v>43.96</v>
      </c>
      <c r="F144" s="233">
        <f>VLOOKUP($A144,'Data shares'!$C:$FM,108)</f>
        <v>-4.92</v>
      </c>
      <c r="G144" s="233">
        <f t="shared" si="4"/>
        <v>0.88808007279344858</v>
      </c>
    </row>
    <row r="145" spans="1:7" x14ac:dyDescent="0.25">
      <c r="A145" s="49" t="str">
        <f>'Data Vlaue (Cr)'!C140</f>
        <v>NAM-INDIA</v>
      </c>
      <c r="B145" s="50">
        <f>VLOOKUP($A145,'Data shares'!$C:$FM,102)</f>
        <v>52.14</v>
      </c>
      <c r="C145" s="50">
        <f>VLOOKUP($A145,'Data shares'!$C:$FM,110)</f>
        <v>52.48</v>
      </c>
      <c r="D145" s="50">
        <f>VLOOKUP($A145,'Data shares'!$C:$FM,114)</f>
        <v>51.74</v>
      </c>
      <c r="E145" s="50">
        <f>VLOOKUP($A145,'Data shares'!$C:$FM,106)</f>
        <v>50.12</v>
      </c>
      <c r="F145" s="50">
        <f>VLOOKUP($A145,'Data shares'!$C:$FM,108)</f>
        <v>2.02</v>
      </c>
      <c r="G145" s="50">
        <f t="shared" si="4"/>
        <v>1.0403032721468477</v>
      </c>
    </row>
    <row r="146" spans="1:7" x14ac:dyDescent="0.25">
      <c r="A146" s="49" t="str">
        <f>'Data Vlaue (Cr)'!C141</f>
        <v>NATIONALUM</v>
      </c>
      <c r="B146" s="50">
        <f>VLOOKUP($A146,'Data shares'!$C:$FM,102)</f>
        <v>41.35</v>
      </c>
      <c r="C146" s="50">
        <f>VLOOKUP($A146,'Data shares'!$C:$FM,110)</f>
        <v>41.05</v>
      </c>
      <c r="D146" s="50">
        <f>VLOOKUP($A146,'Data shares'!$C:$FM,114)</f>
        <v>42.03</v>
      </c>
      <c r="E146" s="50">
        <f>VLOOKUP($A146,'Data shares'!$C:$FM,106)</f>
        <v>51.49</v>
      </c>
      <c r="F146" s="50">
        <f>VLOOKUP($A146,'Data shares'!$C:$FM,108)</f>
        <v>-10.14</v>
      </c>
      <c r="G146" s="50">
        <f t="shared" si="4"/>
        <v>0.80306855700135948</v>
      </c>
    </row>
    <row r="147" spans="1:7" x14ac:dyDescent="0.25">
      <c r="A147" s="49" t="str">
        <f>'Data Vlaue (Cr)'!C142</f>
        <v>NAUKRI</v>
      </c>
      <c r="B147" s="50">
        <f>VLOOKUP($A147,'Data shares'!$C:$FM,102)</f>
        <v>32.86</v>
      </c>
      <c r="C147" s="50">
        <f>VLOOKUP($A147,'Data shares'!$C:$FM,110)</f>
        <v>32.58</v>
      </c>
      <c r="D147" s="50">
        <f>VLOOKUP($A147,'Data shares'!$C:$FM,114)</f>
        <v>33.869999999999997</v>
      </c>
      <c r="E147" s="50">
        <f>VLOOKUP($A147,'Data shares'!$C:$FM,106)</f>
        <v>36.72</v>
      </c>
      <c r="F147" s="50">
        <f>VLOOKUP($A147,'Data shares'!$C:$FM,108)</f>
        <v>-3.86</v>
      </c>
      <c r="G147" s="50">
        <f t="shared" si="4"/>
        <v>0.894880174291939</v>
      </c>
    </row>
    <row r="148" spans="1:7" x14ac:dyDescent="0.25">
      <c r="A148" s="49" t="str">
        <f>'Data Vlaue (Cr)'!C143</f>
        <v>NBCC</v>
      </c>
      <c r="B148" s="50">
        <f>VLOOKUP($A148,'Data shares'!$C:$FM,102)</f>
        <v>43.1</v>
      </c>
      <c r="C148" s="50">
        <f>VLOOKUP($A148,'Data shares'!$C:$FM,110)</f>
        <v>42.55</v>
      </c>
      <c r="D148" s="50">
        <f>VLOOKUP($A148,'Data shares'!$C:$FM,114)</f>
        <v>45.31</v>
      </c>
      <c r="E148" s="50">
        <f>VLOOKUP($A148,'Data shares'!$C:$FM,106)</f>
        <v>51.4</v>
      </c>
      <c r="F148" s="50">
        <f>VLOOKUP($A148,'Data shares'!$C:$FM,108)</f>
        <v>-8.3000000000000007</v>
      </c>
      <c r="G148" s="50">
        <f t="shared" si="4"/>
        <v>0.83852140077821014</v>
      </c>
    </row>
    <row r="149" spans="1:7" x14ac:dyDescent="0.25">
      <c r="A149" s="49" t="str">
        <f>'Data Vlaue (Cr)'!C144</f>
        <v>NESTLEIND</v>
      </c>
      <c r="B149" s="50">
        <f>VLOOKUP($A149,'Data shares'!$C:$FM,102)</f>
        <v>25.05</v>
      </c>
      <c r="C149" s="50">
        <f>VLOOKUP($A149,'Data shares'!$C:$FM,110)</f>
        <v>24.75</v>
      </c>
      <c r="D149" s="50">
        <f>VLOOKUP($A149,'Data shares'!$C:$FM,114)</f>
        <v>25.61</v>
      </c>
      <c r="E149" s="50">
        <f>VLOOKUP($A149,'Data shares'!$C:$FM,106)</f>
        <v>25.26</v>
      </c>
      <c r="F149" s="50">
        <f>VLOOKUP($A149,'Data shares'!$C:$FM,108)</f>
        <v>-0.21</v>
      </c>
      <c r="G149" s="50">
        <f t="shared" si="4"/>
        <v>0.99168646080760092</v>
      </c>
    </row>
    <row r="150" spans="1:7" x14ac:dyDescent="0.25">
      <c r="A150" s="49" t="str">
        <f>'Data Vlaue (Cr)'!C145</f>
        <v>NHPC</v>
      </c>
      <c r="B150" s="50">
        <f>VLOOKUP($A150,'Data shares'!$C:$FM,102)</f>
        <v>35.99</v>
      </c>
      <c r="C150" s="50">
        <f>VLOOKUP($A150,'Data shares'!$C:$FM,110)</f>
        <v>35.619999999999997</v>
      </c>
      <c r="D150" s="50">
        <f>VLOOKUP($A150,'Data shares'!$C:$FM,114)</f>
        <v>36.49</v>
      </c>
      <c r="E150" s="50">
        <f>VLOOKUP($A150,'Data shares'!$C:$FM,106)</f>
        <v>34.69</v>
      </c>
      <c r="F150" s="50">
        <f>VLOOKUP($A150,'Data shares'!$C:$FM,108)</f>
        <v>1.3</v>
      </c>
      <c r="G150" s="50">
        <f t="shared" si="4"/>
        <v>1.0374747765926782</v>
      </c>
    </row>
    <row r="151" spans="1:7" x14ac:dyDescent="0.25">
      <c r="A151" s="49" t="str">
        <f>'Data Vlaue (Cr)'!C146</f>
        <v>NIFTY</v>
      </c>
      <c r="B151" s="50">
        <f>VLOOKUP($A151,'Data shares'!$C:$FM,102)</f>
        <v>18.309999999999999</v>
      </c>
      <c r="C151" s="50">
        <f>VLOOKUP($A151,'Data shares'!$C:$FM,110)</f>
        <v>17.03</v>
      </c>
      <c r="D151" s="50">
        <f>VLOOKUP($A151,'Data shares'!$C:$FM,114)</f>
        <v>19.809999999999999</v>
      </c>
      <c r="E151" s="50">
        <f>VLOOKUP($A151,'Data shares'!$C:$FM,106)</f>
        <v>17.66</v>
      </c>
      <c r="F151" s="50">
        <f>VLOOKUP($A151,'Data shares'!$C:$FM,108)</f>
        <v>0.65</v>
      </c>
      <c r="G151" s="50">
        <f t="shared" si="4"/>
        <v>1.0368063420158549</v>
      </c>
    </row>
    <row r="152" spans="1:7" x14ac:dyDescent="0.25">
      <c r="A152" s="49" t="str">
        <f>'Data Vlaue (Cr)'!C147</f>
        <v>NIFTYNXT50</v>
      </c>
      <c r="B152" s="50">
        <f>VLOOKUP($A152,'Data shares'!$C:$FM,102)</f>
        <v>23.16</v>
      </c>
      <c r="C152" s="50">
        <f>VLOOKUP($A152,'Data shares'!$C:$FM,110)</f>
        <v>23.16</v>
      </c>
      <c r="D152" s="50">
        <f>VLOOKUP($A152,'Data shares'!$C:$FM,114)</f>
        <v>23.16</v>
      </c>
      <c r="E152" s="50">
        <f>VLOOKUP($A152,'Data shares'!$C:$FM,106)</f>
        <v>23.16</v>
      </c>
      <c r="F152" s="50">
        <f>VLOOKUP($A152,'Data shares'!$C:$FM,108)</f>
        <v>0</v>
      </c>
      <c r="G152" s="50">
        <f t="shared" si="4"/>
        <v>1</v>
      </c>
    </row>
    <row r="153" spans="1:7" x14ac:dyDescent="0.25">
      <c r="A153" s="49" t="str">
        <f>'Data Vlaue (Cr)'!C148</f>
        <v>NMDC</v>
      </c>
      <c r="B153" s="50">
        <f>VLOOKUP($A153,'Data shares'!$C:$FM,102)</f>
        <v>37.22</v>
      </c>
      <c r="C153" s="50">
        <f>VLOOKUP($A153,'Data shares'!$C:$FM,110)</f>
        <v>37.17</v>
      </c>
      <c r="D153" s="50">
        <f>VLOOKUP($A153,'Data shares'!$C:$FM,114)</f>
        <v>37.340000000000003</v>
      </c>
      <c r="E153" s="50">
        <f>VLOOKUP($A153,'Data shares'!$C:$FM,106)</f>
        <v>38.78</v>
      </c>
      <c r="F153" s="50">
        <f>VLOOKUP($A153,'Data shares'!$C:$FM,108)</f>
        <v>-1.56</v>
      </c>
      <c r="G153" s="50">
        <f t="shared" si="4"/>
        <v>0.95977307890665287</v>
      </c>
    </row>
    <row r="154" spans="1:7" x14ac:dyDescent="0.25">
      <c r="A154" s="49" t="str">
        <f>'Data Vlaue (Cr)'!C149</f>
        <v>NTPC</v>
      </c>
      <c r="B154" s="50">
        <f>VLOOKUP($A154,'Data shares'!$C:$FM,102)</f>
        <v>26.32</v>
      </c>
      <c r="C154" s="50">
        <f>VLOOKUP($A154,'Data shares'!$C:$FM,110)</f>
        <v>26.44</v>
      </c>
      <c r="D154" s="50">
        <f>VLOOKUP($A154,'Data shares'!$C:$FM,114)</f>
        <v>25.93</v>
      </c>
      <c r="E154" s="50">
        <f>VLOOKUP($A154,'Data shares'!$C:$FM,106)</f>
        <v>27.39</v>
      </c>
      <c r="F154" s="50">
        <f>VLOOKUP($A154,'Data shares'!$C:$FM,108)</f>
        <v>-1.07</v>
      </c>
      <c r="G154" s="50">
        <f t="shared" si="4"/>
        <v>0.96093464768163561</v>
      </c>
    </row>
    <row r="155" spans="1:7" x14ac:dyDescent="0.25">
      <c r="A155" s="49" t="str">
        <f>'Data Vlaue (Cr)'!C150</f>
        <v>NUVAMA</v>
      </c>
      <c r="B155" s="50">
        <f>VLOOKUP($A155,'Data shares'!$C:$FM,102)</f>
        <v>36.369999999999997</v>
      </c>
      <c r="C155" s="50">
        <f>VLOOKUP($A155,'Data shares'!$C:$FM,110)</f>
        <v>35.979999999999997</v>
      </c>
      <c r="D155" s="50">
        <f>VLOOKUP($A155,'Data shares'!$C:$FM,114)</f>
        <v>41.52</v>
      </c>
      <c r="E155" s="50">
        <f>VLOOKUP($A155,'Data shares'!$C:$FM,106)</f>
        <v>50.56</v>
      </c>
      <c r="F155" s="50">
        <f>VLOOKUP($A155,'Data shares'!$C:$FM,108)</f>
        <v>-14.19</v>
      </c>
      <c r="G155" s="50">
        <f t="shared" si="4"/>
        <v>0.71934335443037967</v>
      </c>
    </row>
    <row r="156" spans="1:7" x14ac:dyDescent="0.25">
      <c r="A156" s="49" t="str">
        <f>'Data Vlaue (Cr)'!C151</f>
        <v>NYKAA</v>
      </c>
      <c r="B156" s="50">
        <f>VLOOKUP($A156,'Data shares'!$C:$FM,102)</f>
        <v>32.01</v>
      </c>
      <c r="C156" s="50">
        <f>VLOOKUP($A156,'Data shares'!$C:$FM,110)</f>
        <v>32.01</v>
      </c>
      <c r="D156" s="50">
        <f>VLOOKUP($A156,'Data shares'!$C:$FM,114)</f>
        <v>32.03</v>
      </c>
      <c r="E156" s="50">
        <f>VLOOKUP($A156,'Data shares'!$C:$FM,106)</f>
        <v>35.86</v>
      </c>
      <c r="F156" s="50">
        <f>VLOOKUP($A156,'Data shares'!$C:$FM,108)</f>
        <v>-3.85</v>
      </c>
      <c r="G156" s="50">
        <f t="shared" si="4"/>
        <v>0.8926380368098159</v>
      </c>
    </row>
    <row r="157" spans="1:7" x14ac:dyDescent="0.25">
      <c r="A157" s="49" t="str">
        <f>'Data Vlaue (Cr)'!C152</f>
        <v>OBEROIRLTY</v>
      </c>
      <c r="B157" s="50">
        <f>VLOOKUP($A157,'Data shares'!$C:$FM,102)</f>
        <v>34.57</v>
      </c>
      <c r="C157" s="50">
        <f>VLOOKUP($A157,'Data shares'!$C:$FM,110)</f>
        <v>34.340000000000003</v>
      </c>
      <c r="D157" s="50">
        <f>VLOOKUP($A157,'Data shares'!$C:$FM,114)</f>
        <v>34.68</v>
      </c>
      <c r="E157" s="50">
        <f>VLOOKUP($A157,'Data shares'!$C:$FM,106)</f>
        <v>36.74</v>
      </c>
      <c r="F157" s="50">
        <f>VLOOKUP($A157,'Data shares'!$C:$FM,108)</f>
        <v>-2.17</v>
      </c>
      <c r="G157" s="50">
        <f t="shared" si="4"/>
        <v>0.94093630919978222</v>
      </c>
    </row>
    <row r="158" spans="1:7" x14ac:dyDescent="0.25">
      <c r="A158" s="49" t="str">
        <f>'Data Vlaue (Cr)'!C153</f>
        <v>OFSS</v>
      </c>
      <c r="B158" s="50">
        <f>VLOOKUP($A158,'Data shares'!$C:$FM,102)</f>
        <v>38.5</v>
      </c>
      <c r="C158" s="50">
        <f>VLOOKUP($A158,'Data shares'!$C:$FM,110)</f>
        <v>38.229999999999997</v>
      </c>
      <c r="D158" s="50">
        <f>VLOOKUP($A158,'Data shares'!$C:$FM,114)</f>
        <v>39.26</v>
      </c>
      <c r="E158" s="50">
        <f>VLOOKUP($A158,'Data shares'!$C:$FM,106)</f>
        <v>41.31</v>
      </c>
      <c r="F158" s="50">
        <f>VLOOKUP($A158,'Data shares'!$C:$FM,108)</f>
        <v>-2.81</v>
      </c>
      <c r="G158" s="50">
        <f t="shared" si="4"/>
        <v>0.93197772936335022</v>
      </c>
    </row>
    <row r="159" spans="1:7" x14ac:dyDescent="0.25">
      <c r="A159" s="49" t="str">
        <f>'Data Vlaue (Cr)'!C154</f>
        <v>OIL</v>
      </c>
      <c r="B159" s="50">
        <f>VLOOKUP($A159,'Data shares'!$C:$FM,102)</f>
        <v>35.26</v>
      </c>
      <c r="C159" s="50">
        <f>VLOOKUP($A159,'Data shares'!$C:$FM,110)</f>
        <v>35.56</v>
      </c>
      <c r="D159" s="50">
        <f>VLOOKUP($A159,'Data shares'!$C:$FM,114)</f>
        <v>34.590000000000003</v>
      </c>
      <c r="E159" s="50">
        <f>VLOOKUP($A159,'Data shares'!$C:$FM,106)</f>
        <v>41.3</v>
      </c>
      <c r="F159" s="50">
        <f>VLOOKUP($A159,'Data shares'!$C:$FM,108)</f>
        <v>-6.04</v>
      </c>
      <c r="G159" s="50">
        <f t="shared" si="4"/>
        <v>0.85375302663438257</v>
      </c>
    </row>
    <row r="160" spans="1:7" x14ac:dyDescent="0.25">
      <c r="A160" s="49" t="str">
        <f>'Data Vlaue (Cr)'!C155</f>
        <v>ONGC</v>
      </c>
      <c r="B160" s="50">
        <f>VLOOKUP($A160,'Data shares'!$C:$FM,102)</f>
        <v>28.21</v>
      </c>
      <c r="C160" s="50">
        <f>VLOOKUP($A160,'Data shares'!$C:$FM,110)</f>
        <v>27.84</v>
      </c>
      <c r="D160" s="50">
        <f>VLOOKUP($A160,'Data shares'!$C:$FM,114)</f>
        <v>29.81</v>
      </c>
      <c r="E160" s="50">
        <f>VLOOKUP($A160,'Data shares'!$C:$FM,106)</f>
        <v>31.44</v>
      </c>
      <c r="F160" s="50">
        <f>VLOOKUP($A160,'Data shares'!$C:$FM,108)</f>
        <v>-3.23</v>
      </c>
      <c r="G160" s="50">
        <f t="shared" si="4"/>
        <v>0.89726463104325693</v>
      </c>
    </row>
    <row r="161" spans="1:7" x14ac:dyDescent="0.25">
      <c r="A161" s="49" t="str">
        <f>'Data Vlaue (Cr)'!C156</f>
        <v>PAGEIND</v>
      </c>
      <c r="B161" s="50">
        <f>VLOOKUP($A161,'Data shares'!$C:$FM,102)</f>
        <v>31.2</v>
      </c>
      <c r="C161" s="50">
        <f>VLOOKUP($A161,'Data shares'!$C:$FM,110)</f>
        <v>29.63</v>
      </c>
      <c r="D161" s="50">
        <f>VLOOKUP($A161,'Data shares'!$C:$FM,114)</f>
        <v>37.090000000000003</v>
      </c>
      <c r="E161" s="50">
        <f>VLOOKUP($A161,'Data shares'!$C:$FM,106)</f>
        <v>28.74</v>
      </c>
      <c r="F161" s="50">
        <f>VLOOKUP($A161,'Data shares'!$C:$FM,108)</f>
        <v>2.46</v>
      </c>
      <c r="G161" s="50">
        <f t="shared" si="4"/>
        <v>1.0855949895615866</v>
      </c>
    </row>
    <row r="162" spans="1:7" x14ac:dyDescent="0.25">
      <c r="A162" s="49" t="str">
        <f>'Data Vlaue (Cr)'!C157</f>
        <v>PATANJALI</v>
      </c>
      <c r="B162" s="50">
        <f>VLOOKUP($A162,'Data shares'!$C:$FM,102)</f>
        <v>34.04</v>
      </c>
      <c r="C162" s="50">
        <f>VLOOKUP($A162,'Data shares'!$C:$FM,110)</f>
        <v>33.83</v>
      </c>
      <c r="D162" s="50">
        <f>VLOOKUP($A162,'Data shares'!$C:$FM,114)</f>
        <v>34.96</v>
      </c>
      <c r="E162" s="50">
        <f>VLOOKUP($A162,'Data shares'!$C:$FM,106)</f>
        <v>32.15</v>
      </c>
      <c r="F162" s="50">
        <f>VLOOKUP($A162,'Data shares'!$C:$FM,108)</f>
        <v>1.89</v>
      </c>
      <c r="G162" s="50">
        <f t="shared" si="4"/>
        <v>1.058786936236392</v>
      </c>
    </row>
    <row r="163" spans="1:7" x14ac:dyDescent="0.25">
      <c r="A163" s="49" t="str">
        <f>'Data Vlaue (Cr)'!C158</f>
        <v>PAYTM</v>
      </c>
      <c r="B163" s="50">
        <f>VLOOKUP($A163,'Data shares'!$C:$FM,102)</f>
        <v>40.04</v>
      </c>
      <c r="C163" s="50">
        <f>VLOOKUP($A163,'Data shares'!$C:$FM,110)</f>
        <v>39.19</v>
      </c>
      <c r="D163" s="50">
        <f>VLOOKUP($A163,'Data shares'!$C:$FM,114)</f>
        <v>41.5</v>
      </c>
      <c r="E163" s="50">
        <f>VLOOKUP($A163,'Data shares'!$C:$FM,106)</f>
        <v>52.23</v>
      </c>
      <c r="F163" s="50">
        <f>VLOOKUP($A163,'Data shares'!$C:$FM,108)</f>
        <v>-12.19</v>
      </c>
      <c r="G163" s="50">
        <f t="shared" si="4"/>
        <v>0.76660922841278967</v>
      </c>
    </row>
    <row r="164" spans="1:7" x14ac:dyDescent="0.25">
      <c r="A164" s="49" t="str">
        <f>'Data Vlaue (Cr)'!C159</f>
        <v>PERSISTENT</v>
      </c>
      <c r="B164" s="50">
        <f>VLOOKUP($A164,'Data shares'!$C:$FM,102)</f>
        <v>38.950000000000003</v>
      </c>
      <c r="C164" s="50">
        <f>VLOOKUP($A164,'Data shares'!$C:$FM,110)</f>
        <v>38.9</v>
      </c>
      <c r="D164" s="50">
        <f>VLOOKUP($A164,'Data shares'!$C:$FM,114)</f>
        <v>39.049999999999997</v>
      </c>
      <c r="E164" s="50">
        <f>VLOOKUP($A164,'Data shares'!$C:$FM,106)</f>
        <v>40.369999999999997</v>
      </c>
      <c r="F164" s="50">
        <f>VLOOKUP($A164,'Data shares'!$C:$FM,108)</f>
        <v>-1.42</v>
      </c>
      <c r="G164" s="50">
        <f t="shared" si="4"/>
        <v>0.96482536537032459</v>
      </c>
    </row>
    <row r="165" spans="1:7" x14ac:dyDescent="0.25">
      <c r="A165" s="49" t="str">
        <f>'Data Vlaue (Cr)'!C160</f>
        <v>PETRONET</v>
      </c>
      <c r="B165" s="50">
        <f>VLOOKUP($A165,'Data shares'!$C:$FM,102)</f>
        <v>33.79</v>
      </c>
      <c r="C165" s="50">
        <f>VLOOKUP($A165,'Data shares'!$C:$FM,110)</f>
        <v>34.17</v>
      </c>
      <c r="D165" s="50">
        <f>VLOOKUP($A165,'Data shares'!$C:$FM,114)</f>
        <v>33.33</v>
      </c>
      <c r="E165" s="50">
        <f>VLOOKUP($A165,'Data shares'!$C:$FM,106)</f>
        <v>38.93</v>
      </c>
      <c r="F165" s="50">
        <f>VLOOKUP($A165,'Data shares'!$C:$FM,108)</f>
        <v>-5.14</v>
      </c>
      <c r="G165" s="50">
        <f t="shared" si="4"/>
        <v>0.86796814795787314</v>
      </c>
    </row>
    <row r="166" spans="1:7" x14ac:dyDescent="0.25">
      <c r="A166" s="49" t="str">
        <f>'Data Vlaue (Cr)'!C161</f>
        <v>PFC</v>
      </c>
      <c r="B166" s="50">
        <f>VLOOKUP($A166,'Data shares'!$C:$FM,102)</f>
        <v>34.340000000000003</v>
      </c>
      <c r="C166" s="50">
        <f>VLOOKUP($A166,'Data shares'!$C:$FM,110)</f>
        <v>34.549999999999997</v>
      </c>
      <c r="D166" s="50">
        <f>VLOOKUP($A166,'Data shares'!$C:$FM,114)</f>
        <v>33.9</v>
      </c>
      <c r="E166" s="50">
        <f>VLOOKUP($A166,'Data shares'!$C:$FM,106)</f>
        <v>42.01</v>
      </c>
      <c r="F166" s="50">
        <f>VLOOKUP($A166,'Data shares'!$C:$FM,108)</f>
        <v>-7.67</v>
      </c>
      <c r="G166" s="50">
        <f t="shared" si="4"/>
        <v>0.81742442275648663</v>
      </c>
    </row>
    <row r="167" spans="1:7" x14ac:dyDescent="0.25">
      <c r="A167" s="49" t="str">
        <f>'Data Vlaue (Cr)'!C162</f>
        <v>PGEL</v>
      </c>
      <c r="B167" s="50">
        <f>VLOOKUP($A167,'Data shares'!$C:$FM,102)</f>
        <v>58.47</v>
      </c>
      <c r="C167" s="50">
        <f>VLOOKUP($A167,'Data shares'!$C:$FM,110)</f>
        <v>58.49</v>
      </c>
      <c r="D167" s="50">
        <f>VLOOKUP($A167,'Data shares'!$C:$FM,114)</f>
        <v>58.42</v>
      </c>
      <c r="E167" s="50">
        <f>VLOOKUP($A167,'Data shares'!$C:$FM,106)</f>
        <v>67.709999999999994</v>
      </c>
      <c r="F167" s="50">
        <f>VLOOKUP($A167,'Data shares'!$C:$FM,108)</f>
        <v>-9.24</v>
      </c>
      <c r="G167" s="50">
        <f t="shared" ref="G167:G187" si="5">B167/E167</f>
        <v>0.86353566681435545</v>
      </c>
    </row>
    <row r="168" spans="1:7" x14ac:dyDescent="0.25">
      <c r="A168" s="49" t="str">
        <f>'Data Vlaue (Cr)'!C163</f>
        <v>PHOENIXLTD</v>
      </c>
      <c r="B168" s="50">
        <f>VLOOKUP($A168,'Data shares'!$C:$FM,102)</f>
        <v>32.33</v>
      </c>
      <c r="C168" s="50">
        <f>VLOOKUP($A168,'Data shares'!$C:$FM,110)</f>
        <v>30.97</v>
      </c>
      <c r="D168" s="50">
        <f>VLOOKUP($A168,'Data shares'!$C:$FM,114)</f>
        <v>36.659999999999997</v>
      </c>
      <c r="E168" s="50">
        <f>VLOOKUP($A168,'Data shares'!$C:$FM,106)</f>
        <v>39.82</v>
      </c>
      <c r="F168" s="50">
        <f>VLOOKUP($A168,'Data shares'!$C:$FM,108)</f>
        <v>-7.49</v>
      </c>
      <c r="G168" s="50">
        <f t="shared" si="5"/>
        <v>0.81190356604721237</v>
      </c>
    </row>
    <row r="169" spans="1:7" x14ac:dyDescent="0.25">
      <c r="A169" s="49" t="str">
        <f>'Data Vlaue (Cr)'!C164</f>
        <v>PIDILITIND</v>
      </c>
      <c r="B169" s="50">
        <f>VLOOKUP($A169,'Data shares'!$C:$FM,102)</f>
        <v>25.22</v>
      </c>
      <c r="C169" s="50">
        <f>VLOOKUP($A169,'Data shares'!$C:$FM,110)</f>
        <v>25.48</v>
      </c>
      <c r="D169" s="50">
        <f>VLOOKUP($A169,'Data shares'!$C:$FM,114)</f>
        <v>24.89</v>
      </c>
      <c r="E169" s="50">
        <f>VLOOKUP($A169,'Data shares'!$C:$FM,106)</f>
        <v>26.1</v>
      </c>
      <c r="F169" s="50">
        <f>VLOOKUP($A169,'Data shares'!$C:$FM,108)</f>
        <v>-0.88</v>
      </c>
      <c r="G169" s="50">
        <f t="shared" si="5"/>
        <v>0.96628352490421443</v>
      </c>
    </row>
    <row r="170" spans="1:7" x14ac:dyDescent="0.25">
      <c r="A170" s="49" t="str">
        <f>'Data Vlaue (Cr)'!C165</f>
        <v>PIIND</v>
      </c>
      <c r="B170" s="50">
        <f>VLOOKUP($A170,'Data shares'!$C:$FM,102)</f>
        <v>34.76</v>
      </c>
      <c r="C170" s="50">
        <f>VLOOKUP($A170,'Data shares'!$C:$FM,110)</f>
        <v>34.590000000000003</v>
      </c>
      <c r="D170" s="50">
        <f>VLOOKUP($A170,'Data shares'!$C:$FM,114)</f>
        <v>34.97</v>
      </c>
      <c r="E170" s="50">
        <f>VLOOKUP($A170,'Data shares'!$C:$FM,106)</f>
        <v>31.64</v>
      </c>
      <c r="F170" s="50">
        <f>VLOOKUP($A170,'Data shares'!$C:$FM,108)</f>
        <v>3.12</v>
      </c>
      <c r="G170" s="50">
        <f t="shared" si="5"/>
        <v>1.0986093552465233</v>
      </c>
    </row>
    <row r="171" spans="1:7" x14ac:dyDescent="0.25">
      <c r="A171" s="49" t="str">
        <f>'Data Vlaue (Cr)'!C166</f>
        <v>PNB</v>
      </c>
      <c r="B171" s="50">
        <f>VLOOKUP($A171,'Data shares'!$C:$FM,102)</f>
        <v>34.299999999999997</v>
      </c>
      <c r="C171" s="50">
        <f>VLOOKUP($A171,'Data shares'!$C:$FM,110)</f>
        <v>34.200000000000003</v>
      </c>
      <c r="D171" s="50">
        <f>VLOOKUP($A171,'Data shares'!$C:$FM,114)</f>
        <v>34.450000000000003</v>
      </c>
      <c r="E171" s="50">
        <f>VLOOKUP($A171,'Data shares'!$C:$FM,106)</f>
        <v>37.68</v>
      </c>
      <c r="F171" s="50">
        <f>VLOOKUP($A171,'Data shares'!$C:$FM,108)</f>
        <v>-3.38</v>
      </c>
      <c r="G171" s="50">
        <f t="shared" si="5"/>
        <v>0.91029723991507427</v>
      </c>
    </row>
    <row r="172" spans="1:7" x14ac:dyDescent="0.25">
      <c r="A172" s="49" t="str">
        <f>'Data Vlaue (Cr)'!C167</f>
        <v>PNBHOUSING</v>
      </c>
      <c r="B172" s="50">
        <f>VLOOKUP($A172,'Data shares'!$C:$FM,102)</f>
        <v>34.159999999999997</v>
      </c>
      <c r="C172" s="50">
        <f>VLOOKUP($A172,'Data shares'!$C:$FM,110)</f>
        <v>33.64</v>
      </c>
      <c r="D172" s="50">
        <f>VLOOKUP($A172,'Data shares'!$C:$FM,114)</f>
        <v>35.9</v>
      </c>
      <c r="E172" s="50">
        <f>VLOOKUP($A172,'Data shares'!$C:$FM,106)</f>
        <v>48.06</v>
      </c>
      <c r="F172" s="50">
        <f>VLOOKUP($A172,'Data shares'!$C:$FM,108)</f>
        <v>-13.9</v>
      </c>
      <c r="G172" s="50">
        <f t="shared" si="5"/>
        <v>0.71077819392426123</v>
      </c>
    </row>
    <row r="173" spans="1:7" x14ac:dyDescent="0.25">
      <c r="A173" s="49" t="str">
        <f>'Data Vlaue (Cr)'!C168</f>
        <v>POLICYBZR</v>
      </c>
      <c r="B173" s="50">
        <f>VLOOKUP($A173,'Data shares'!$C:$FM,102)</f>
        <v>40.090000000000003</v>
      </c>
      <c r="C173" s="50">
        <f>VLOOKUP($A173,'Data shares'!$C:$FM,110)</f>
        <v>39.840000000000003</v>
      </c>
      <c r="D173" s="50">
        <f>VLOOKUP($A173,'Data shares'!$C:$FM,114)</f>
        <v>40.56</v>
      </c>
      <c r="E173" s="50">
        <f>VLOOKUP($A173,'Data shares'!$C:$FM,106)</f>
        <v>45.61</v>
      </c>
      <c r="F173" s="50">
        <f>VLOOKUP($A173,'Data shares'!$C:$FM,108)</f>
        <v>-5.52</v>
      </c>
      <c r="G173" s="50">
        <f t="shared" si="5"/>
        <v>0.87897390923043206</v>
      </c>
    </row>
    <row r="174" spans="1:7" x14ac:dyDescent="0.25">
      <c r="A174" s="49" t="str">
        <f>'Data Vlaue (Cr)'!C169</f>
        <v>POLYCAB</v>
      </c>
      <c r="B174" s="50">
        <f>VLOOKUP($A174,'Data shares'!$C:$FM,102)</f>
        <v>39.36</v>
      </c>
      <c r="C174" s="50">
        <f>VLOOKUP($A174,'Data shares'!$C:$FM,110)</f>
        <v>36.57</v>
      </c>
      <c r="D174" s="50">
        <f>VLOOKUP($A174,'Data shares'!$C:$FM,114)</f>
        <v>41.32</v>
      </c>
      <c r="E174" s="50">
        <f>VLOOKUP($A174,'Data shares'!$C:$FM,106)</f>
        <v>41.54</v>
      </c>
      <c r="F174" s="50">
        <f>VLOOKUP($A174,'Data shares'!$C:$FM,108)</f>
        <v>-2.1800000000000002</v>
      </c>
      <c r="G174" s="50">
        <f t="shared" si="5"/>
        <v>0.94752046220510355</v>
      </c>
    </row>
    <row r="175" spans="1:7" x14ac:dyDescent="0.25">
      <c r="A175" s="49" t="str">
        <f>'Data Vlaue (Cr)'!C170</f>
        <v>POWERGRID</v>
      </c>
      <c r="B175" s="50">
        <f>VLOOKUP($A175,'Data shares'!$C:$FM,102)</f>
        <v>28.65</v>
      </c>
      <c r="C175" s="50">
        <f>VLOOKUP($A175,'Data shares'!$C:$FM,110)</f>
        <v>28.77</v>
      </c>
      <c r="D175" s="50">
        <f>VLOOKUP($A175,'Data shares'!$C:$FM,114)</f>
        <v>28.37</v>
      </c>
      <c r="E175" s="50">
        <f>VLOOKUP($A175,'Data shares'!$C:$FM,106)</f>
        <v>28.75</v>
      </c>
      <c r="F175" s="50">
        <f>VLOOKUP($A175,'Data shares'!$C:$FM,108)</f>
        <v>-0.1</v>
      </c>
      <c r="G175" s="50">
        <f t="shared" si="5"/>
        <v>0.99652173913043474</v>
      </c>
    </row>
    <row r="176" spans="1:7" x14ac:dyDescent="0.25">
      <c r="A176" s="49" t="str">
        <f>'Data Vlaue (Cr)'!C171</f>
        <v>POWERINDIA</v>
      </c>
      <c r="B176" s="50">
        <f>VLOOKUP($A176,'Data shares'!$C:$FM,102)</f>
        <v>44.51</v>
      </c>
      <c r="C176" s="50">
        <f>VLOOKUP($A176,'Data shares'!$C:$FM,110)</f>
        <v>43.06</v>
      </c>
      <c r="D176" s="50">
        <f>VLOOKUP($A176,'Data shares'!$C:$FM,114)</f>
        <v>46.68</v>
      </c>
      <c r="E176" s="50">
        <f>VLOOKUP($A176,'Data shares'!$C:$FM,106)</f>
        <v>57.36</v>
      </c>
      <c r="F176" s="50">
        <f>VLOOKUP($A176,'Data shares'!$C:$FM,108)</f>
        <v>-12.85</v>
      </c>
      <c r="G176" s="50">
        <f t="shared" si="5"/>
        <v>0.77597629009762903</v>
      </c>
    </row>
    <row r="177" spans="1:7" x14ac:dyDescent="0.25">
      <c r="A177" s="49" t="str">
        <f>'Data Vlaue (Cr)'!C172</f>
        <v>PPLPHARMA</v>
      </c>
      <c r="B177" s="50">
        <f>VLOOKUP($A177,'Data shares'!$C:$FM,102)</f>
        <v>43.93</v>
      </c>
      <c r="C177" s="50">
        <f>VLOOKUP($A177,'Data shares'!$C:$FM,110)</f>
        <v>43.93</v>
      </c>
      <c r="D177" s="50">
        <f>VLOOKUP($A177,'Data shares'!$C:$FM,114)</f>
        <v>43.93</v>
      </c>
      <c r="E177" s="50">
        <f>VLOOKUP($A177,'Data shares'!$C:$FM,106)</f>
        <v>43.93</v>
      </c>
      <c r="F177" s="50">
        <f>VLOOKUP($A177,'Data shares'!$C:$FM,108)</f>
        <v>0</v>
      </c>
      <c r="G177" s="50">
        <f t="shared" si="5"/>
        <v>1</v>
      </c>
    </row>
    <row r="178" spans="1:7" x14ac:dyDescent="0.25">
      <c r="A178" s="49" t="str">
        <f>'Data Vlaue (Cr)'!C173</f>
        <v>PREMIERENE</v>
      </c>
      <c r="B178" s="50">
        <f>VLOOKUP($A178,'Data shares'!$C:$FM,102)</f>
        <v>44.74</v>
      </c>
      <c r="C178" s="50">
        <f>VLOOKUP($A178,'Data shares'!$C:$FM,110)</f>
        <v>45.09</v>
      </c>
      <c r="D178" s="50">
        <f>VLOOKUP($A178,'Data shares'!$C:$FM,114)</f>
        <v>43.92</v>
      </c>
      <c r="E178" s="50">
        <f>VLOOKUP($A178,'Data shares'!$C:$FM,106)</f>
        <v>48.47</v>
      </c>
      <c r="F178" s="50">
        <f>VLOOKUP($A178,'Data shares'!$C:$FM,108)</f>
        <v>-3.73</v>
      </c>
      <c r="G178" s="50">
        <f t="shared" si="5"/>
        <v>0.92304518258716739</v>
      </c>
    </row>
    <row r="179" spans="1:7" x14ac:dyDescent="0.25">
      <c r="A179" s="49" t="str">
        <f>'Data Vlaue (Cr)'!C174</f>
        <v>PRESTIGE</v>
      </c>
      <c r="B179" s="50">
        <f>VLOOKUP($A179,'Data shares'!$C:$FM,102)</f>
        <v>38.04</v>
      </c>
      <c r="C179" s="50">
        <f>VLOOKUP($A179,'Data shares'!$C:$FM,110)</f>
        <v>37.32</v>
      </c>
      <c r="D179" s="50">
        <f>VLOOKUP($A179,'Data shares'!$C:$FM,114)</f>
        <v>40.75</v>
      </c>
      <c r="E179" s="50">
        <f>VLOOKUP($A179,'Data shares'!$C:$FM,106)</f>
        <v>44.61</v>
      </c>
      <c r="F179" s="50">
        <f>VLOOKUP($A179,'Data shares'!$C:$FM,108)</f>
        <v>-6.57</v>
      </c>
      <c r="G179" s="50">
        <f t="shared" si="5"/>
        <v>0.8527236045729657</v>
      </c>
    </row>
    <row r="180" spans="1:7" x14ac:dyDescent="0.25">
      <c r="A180" s="49" t="str">
        <f>'Data Vlaue (Cr)'!C175</f>
        <v>RBLBANK</v>
      </c>
      <c r="B180" s="50">
        <f>VLOOKUP($A180,'Data shares'!$C:$FM,102)</f>
        <v>33.08</v>
      </c>
      <c r="C180" s="50">
        <f>VLOOKUP($A180,'Data shares'!$C:$FM,110)</f>
        <v>32.71</v>
      </c>
      <c r="D180" s="50">
        <f>VLOOKUP($A180,'Data shares'!$C:$FM,114)</f>
        <v>33.57</v>
      </c>
      <c r="E180" s="50">
        <f>VLOOKUP($A180,'Data shares'!$C:$FM,106)</f>
        <v>42.86</v>
      </c>
      <c r="F180" s="50">
        <f>VLOOKUP($A180,'Data shares'!$C:$FM,108)</f>
        <v>-9.7799999999999994</v>
      </c>
      <c r="G180" s="50">
        <f t="shared" si="5"/>
        <v>0.77181521231917871</v>
      </c>
    </row>
    <row r="181" spans="1:7" x14ac:dyDescent="0.25">
      <c r="A181" s="49" t="str">
        <f>'Data Vlaue (Cr)'!C176</f>
        <v>RECLTD</v>
      </c>
      <c r="B181" s="50">
        <f>VLOOKUP($A181,'Data shares'!$C:$FM,102)</f>
        <v>32.700000000000003</v>
      </c>
      <c r="C181" s="50">
        <f>VLOOKUP($A181,'Data shares'!$C:$FM,110)</f>
        <v>32.74</v>
      </c>
      <c r="D181" s="50">
        <f>VLOOKUP($A181,'Data shares'!$C:$FM,114)</f>
        <v>32.64</v>
      </c>
      <c r="E181" s="50">
        <f>VLOOKUP($A181,'Data shares'!$C:$FM,106)</f>
        <v>42.54</v>
      </c>
      <c r="F181" s="50">
        <f>VLOOKUP($A181,'Data shares'!$C:$FM,108)</f>
        <v>-9.84</v>
      </c>
      <c r="G181" s="50">
        <f t="shared" si="5"/>
        <v>0.76868829337094513</v>
      </c>
    </row>
    <row r="182" spans="1:7" x14ac:dyDescent="0.25">
      <c r="A182" s="49" t="str">
        <f>'Data Vlaue (Cr)'!C177</f>
        <v>RELIANCE</v>
      </c>
      <c r="B182" s="50">
        <f>VLOOKUP($A182,'Data shares'!$C:$FM,102)</f>
        <v>28.3</v>
      </c>
      <c r="C182" s="50">
        <f>VLOOKUP($A182,'Data shares'!$C:$FM,110)</f>
        <v>28.34</v>
      </c>
      <c r="D182" s="50">
        <f>VLOOKUP($A182,'Data shares'!$C:$FM,114)</f>
        <v>28.23</v>
      </c>
      <c r="E182" s="50">
        <f>VLOOKUP($A182,'Data shares'!$C:$FM,106)</f>
        <v>26.31</v>
      </c>
      <c r="F182" s="50">
        <f>VLOOKUP($A182,'Data shares'!$C:$FM,108)</f>
        <v>1.99</v>
      </c>
      <c r="G182" s="50">
        <f t="shared" si="5"/>
        <v>1.0756366400608135</v>
      </c>
    </row>
    <row r="183" spans="1:7" x14ac:dyDescent="0.25">
      <c r="A183" s="49" t="str">
        <f>'Data Vlaue (Cr)'!C178</f>
        <v>RVNL</v>
      </c>
      <c r="B183" s="50">
        <f>VLOOKUP($A183,'Data shares'!$C:$FM,102)</f>
        <v>54.04</v>
      </c>
      <c r="C183" s="50">
        <f>VLOOKUP($A183,'Data shares'!$C:$FM,110)</f>
        <v>54.49</v>
      </c>
      <c r="D183" s="50">
        <f>VLOOKUP($A183,'Data shares'!$C:$FM,114)</f>
        <v>52.52</v>
      </c>
      <c r="E183" s="50">
        <f>VLOOKUP($A183,'Data shares'!$C:$FM,106)</f>
        <v>57.98</v>
      </c>
      <c r="F183" s="50">
        <f>VLOOKUP($A183,'Data shares'!$C:$FM,108)</f>
        <v>-3.94</v>
      </c>
      <c r="G183" s="50">
        <f t="shared" si="5"/>
        <v>0.93204553294239401</v>
      </c>
    </row>
    <row r="184" spans="1:7" x14ac:dyDescent="0.25">
      <c r="A184" s="49" t="str">
        <f>'Data Vlaue (Cr)'!C179</f>
        <v>SAIL</v>
      </c>
      <c r="B184" s="50">
        <f>VLOOKUP($A184,'Data shares'!$C:$FM,102)</f>
        <v>30.47</v>
      </c>
      <c r="C184" s="50">
        <f>VLOOKUP($A184,'Data shares'!$C:$FM,110)</f>
        <v>30.47</v>
      </c>
      <c r="D184" s="50">
        <f>VLOOKUP($A184,'Data shares'!$C:$FM,114)</f>
        <v>30.47</v>
      </c>
      <c r="E184" s="50">
        <f>VLOOKUP($A184,'Data shares'!$C:$FM,106)</f>
        <v>44.2</v>
      </c>
      <c r="F184" s="50">
        <f>VLOOKUP($A184,'Data shares'!$C:$FM,108)</f>
        <v>-13.73</v>
      </c>
      <c r="G184" s="50">
        <f t="shared" si="5"/>
        <v>0.68936651583710395</v>
      </c>
    </row>
    <row r="185" spans="1:7" x14ac:dyDescent="0.25">
      <c r="A185" s="49" t="str">
        <f>'Data Vlaue (Cr)'!C180</f>
        <v>SAMMAANCAP</v>
      </c>
      <c r="B185" s="50">
        <f>VLOOKUP($A185,'Data shares'!$C:$FM,102)</f>
        <v>34.42</v>
      </c>
      <c r="C185" s="50">
        <f>VLOOKUP($A185,'Data shares'!$C:$FM,110)</f>
        <v>34.36</v>
      </c>
      <c r="D185" s="50">
        <f>VLOOKUP($A185,'Data shares'!$C:$FM,114)</f>
        <v>34.46</v>
      </c>
      <c r="E185" s="50">
        <f>VLOOKUP($A185,'Data shares'!$C:$FM,106)</f>
        <v>53.11</v>
      </c>
      <c r="F185" s="50">
        <f>VLOOKUP($A185,'Data shares'!$C:$FM,108)</f>
        <v>-18.690000000000001</v>
      </c>
      <c r="G185" s="50">
        <f t="shared" si="5"/>
        <v>0.64808887215213706</v>
      </c>
    </row>
    <row r="186" spans="1:7" x14ac:dyDescent="0.25">
      <c r="A186" s="49" t="str">
        <f>'Data Vlaue (Cr)'!C181</f>
        <v>SBICARD</v>
      </c>
      <c r="B186" s="50">
        <f>VLOOKUP($A186,'Data shares'!$C:$FM,102)</f>
        <v>36.01</v>
      </c>
      <c r="C186" s="50">
        <f>VLOOKUP($A186,'Data shares'!$C:$FM,110)</f>
        <v>36.19</v>
      </c>
      <c r="D186" s="50">
        <f>VLOOKUP($A186,'Data shares'!$C:$FM,114)</f>
        <v>35.71</v>
      </c>
      <c r="E186" s="50">
        <f>VLOOKUP($A186,'Data shares'!$C:$FM,106)</f>
        <v>32.15</v>
      </c>
      <c r="F186" s="50">
        <f>VLOOKUP($A186,'Data shares'!$C:$FM,108)</f>
        <v>3.86</v>
      </c>
      <c r="G186" s="50">
        <f t="shared" si="5"/>
        <v>1.1200622083981338</v>
      </c>
    </row>
    <row r="187" spans="1:7" x14ac:dyDescent="0.25">
      <c r="A187" s="49" t="str">
        <f>'Data Vlaue (Cr)'!C182</f>
        <v>SBILIFE</v>
      </c>
      <c r="B187" s="50">
        <f>VLOOKUP($A187,'Data shares'!$C:$FM,102)</f>
        <v>28.63</v>
      </c>
      <c r="C187" s="50">
        <f>VLOOKUP($A187,'Data shares'!$C:$FM,110)</f>
        <v>28.75</v>
      </c>
      <c r="D187" s="50">
        <f>VLOOKUP($A187,'Data shares'!$C:$FM,114)</f>
        <v>28.37</v>
      </c>
      <c r="E187" s="50">
        <f>VLOOKUP($A187,'Data shares'!$C:$FM,106)</f>
        <v>26.53</v>
      </c>
      <c r="F187" s="50">
        <f>VLOOKUP($A187,'Data shares'!$C:$FM,108)</f>
        <v>2.1</v>
      </c>
      <c r="G187" s="50">
        <f t="shared" si="5"/>
        <v>1.079155672823219</v>
      </c>
    </row>
    <row r="188" spans="1:7" x14ac:dyDescent="0.25">
      <c r="A188" s="49" t="str">
        <f>'Data Vlaue (Cr)'!C183</f>
        <v>SBIN</v>
      </c>
      <c r="B188" s="50">
        <f>VLOOKUP($A188,'Data shares'!$C:$FM,102)</f>
        <v>28.64</v>
      </c>
      <c r="C188" s="50">
        <f>VLOOKUP($A188,'Data shares'!$C:$FM,110)</f>
        <v>28.5</v>
      </c>
      <c r="D188" s="50">
        <f>VLOOKUP($A188,'Data shares'!$C:$FM,114)</f>
        <v>28.89</v>
      </c>
      <c r="E188" s="50">
        <f>VLOOKUP($A188,'Data shares'!$C:$FM,106)</f>
        <v>29.13</v>
      </c>
      <c r="F188" s="50">
        <f>VLOOKUP($A188,'Data shares'!$C:$FM,108)</f>
        <v>-0.49</v>
      </c>
      <c r="G188" s="50">
        <f t="shared" ref="G188:G204" si="6">B188/E188</f>
        <v>0.98317885341572264</v>
      </c>
    </row>
    <row r="189" spans="1:7" x14ac:dyDescent="0.25">
      <c r="A189" s="49" t="str">
        <f>'Data Vlaue (Cr)'!C184</f>
        <v>SHREECEM</v>
      </c>
      <c r="B189" s="50">
        <f>VLOOKUP($A189,'Data shares'!$C:$FM,102)</f>
        <v>32.33</v>
      </c>
      <c r="C189" s="50">
        <f>VLOOKUP($A189,'Data shares'!$C:$FM,110)</f>
        <v>33.1</v>
      </c>
      <c r="D189" s="50">
        <f>VLOOKUP($A189,'Data shares'!$C:$FM,114)</f>
        <v>28.42</v>
      </c>
      <c r="E189" s="50">
        <f>VLOOKUP($A189,'Data shares'!$C:$FM,106)</f>
        <v>27.62</v>
      </c>
      <c r="F189" s="50">
        <f>VLOOKUP($A189,'Data shares'!$C:$FM,108)</f>
        <v>4.71</v>
      </c>
      <c r="G189" s="50">
        <f t="shared" si="6"/>
        <v>1.1705286024619839</v>
      </c>
    </row>
    <row r="190" spans="1:7" x14ac:dyDescent="0.25">
      <c r="A190" s="49" t="str">
        <f>'Data Vlaue (Cr)'!C185</f>
        <v>SHRIRAMFIN</v>
      </c>
      <c r="B190" s="50">
        <f>VLOOKUP($A190,'Data shares'!$C:$FM,102)</f>
        <v>43.63</v>
      </c>
      <c r="C190" s="50">
        <f>VLOOKUP($A190,'Data shares'!$C:$FM,110)</f>
        <v>43.71</v>
      </c>
      <c r="D190" s="50">
        <f>VLOOKUP($A190,'Data shares'!$C:$FM,114)</f>
        <v>43.52</v>
      </c>
      <c r="E190" s="50">
        <f>VLOOKUP($A190,'Data shares'!$C:$FM,106)</f>
        <v>44.92</v>
      </c>
      <c r="F190" s="50">
        <f>VLOOKUP($A190,'Data shares'!$C:$FM,108)</f>
        <v>-1.29</v>
      </c>
      <c r="G190" s="50">
        <f t="shared" si="6"/>
        <v>0.97128227960819236</v>
      </c>
    </row>
    <row r="191" spans="1:7" x14ac:dyDescent="0.25">
      <c r="A191" s="49" t="str">
        <f>'Data Vlaue (Cr)'!C186</f>
        <v>SIEMENS</v>
      </c>
      <c r="B191" s="50">
        <f>VLOOKUP($A191,'Data shares'!$C:$FM,102)</f>
        <v>41.29</v>
      </c>
      <c r="C191" s="50">
        <f>VLOOKUP($A191,'Data shares'!$C:$FM,110)</f>
        <v>40.93</v>
      </c>
      <c r="D191" s="50">
        <f>VLOOKUP($A191,'Data shares'!$C:$FM,114)</f>
        <v>42.19</v>
      </c>
      <c r="E191" s="50">
        <f>VLOOKUP($A191,'Data shares'!$C:$FM,106)</f>
        <v>41.01</v>
      </c>
      <c r="F191" s="50">
        <f>VLOOKUP($A191,'Data shares'!$C:$FM,108)</f>
        <v>0.28000000000000003</v>
      </c>
      <c r="G191" s="50">
        <f t="shared" si="6"/>
        <v>1.0068276030236527</v>
      </c>
    </row>
    <row r="192" spans="1:7" x14ac:dyDescent="0.25">
      <c r="A192" s="49" t="str">
        <f>'Data Vlaue (Cr)'!C187</f>
        <v>SOLARINDS</v>
      </c>
      <c r="B192" s="50">
        <f>VLOOKUP($A192,'Data shares'!$C:$FM,102)</f>
        <v>38.33</v>
      </c>
      <c r="C192" s="50">
        <f>VLOOKUP($A192,'Data shares'!$C:$FM,110)</f>
        <v>37.840000000000003</v>
      </c>
      <c r="D192" s="50">
        <f>VLOOKUP($A192,'Data shares'!$C:$FM,114)</f>
        <v>39.770000000000003</v>
      </c>
      <c r="E192" s="50">
        <f>VLOOKUP($A192,'Data shares'!$C:$FM,106)</f>
        <v>41.51</v>
      </c>
      <c r="F192" s="50">
        <f>VLOOKUP($A192,'Data shares'!$C:$FM,108)</f>
        <v>-3.18</v>
      </c>
      <c r="G192" s="50">
        <f t="shared" si="6"/>
        <v>0.92339195374608529</v>
      </c>
    </row>
    <row r="193" spans="1:7" x14ac:dyDescent="0.25">
      <c r="A193" s="49" t="str">
        <f>'Data Vlaue (Cr)'!C188</f>
        <v>SONACOMS</v>
      </c>
      <c r="B193" s="50">
        <f>VLOOKUP($A193,'Data shares'!$C:$FM,102)</f>
        <v>39.5</v>
      </c>
      <c r="C193" s="50">
        <f>VLOOKUP($A193,'Data shares'!$C:$FM,110)</f>
        <v>39.17</v>
      </c>
      <c r="D193" s="50">
        <f>VLOOKUP($A193,'Data shares'!$C:$FM,114)</f>
        <v>40.14</v>
      </c>
      <c r="E193" s="50">
        <f>VLOOKUP($A193,'Data shares'!$C:$FM,106)</f>
        <v>41.39</v>
      </c>
      <c r="F193" s="50">
        <f>VLOOKUP($A193,'Data shares'!$C:$FM,108)</f>
        <v>-1.89</v>
      </c>
      <c r="G193" s="50">
        <f t="shared" si="6"/>
        <v>0.95433679632761537</v>
      </c>
    </row>
    <row r="194" spans="1:7" x14ac:dyDescent="0.25">
      <c r="A194" s="49" t="str">
        <f>'Data Vlaue (Cr)'!C189</f>
        <v>SRF</v>
      </c>
      <c r="B194" s="50">
        <f>VLOOKUP($A194,'Data shares'!$C:$FM,102)</f>
        <v>37.58</v>
      </c>
      <c r="C194" s="50">
        <f>VLOOKUP($A194,'Data shares'!$C:$FM,110)</f>
        <v>37.86</v>
      </c>
      <c r="D194" s="50">
        <f>VLOOKUP($A194,'Data shares'!$C:$FM,114)</f>
        <v>36.82</v>
      </c>
      <c r="E194" s="50">
        <f>VLOOKUP($A194,'Data shares'!$C:$FM,106)</f>
        <v>36.4</v>
      </c>
      <c r="F194" s="50">
        <f>VLOOKUP($A194,'Data shares'!$C:$FM,108)</f>
        <v>1.18</v>
      </c>
      <c r="G194" s="50">
        <f t="shared" si="6"/>
        <v>1.0324175824175823</v>
      </c>
    </row>
    <row r="195" spans="1:7" x14ac:dyDescent="0.25">
      <c r="A195" s="49" t="str">
        <f>'Data Vlaue (Cr)'!C190</f>
        <v>SUNPHARMA</v>
      </c>
      <c r="B195" s="50">
        <f>VLOOKUP($A195,'Data shares'!$C:$FM,102)</f>
        <v>27.34</v>
      </c>
      <c r="C195" s="50">
        <f>VLOOKUP($A195,'Data shares'!$C:$FM,110)</f>
        <v>27.22</v>
      </c>
      <c r="D195" s="50">
        <f>VLOOKUP($A195,'Data shares'!$C:$FM,114)</f>
        <v>27.73</v>
      </c>
      <c r="E195" s="50">
        <f>VLOOKUP($A195,'Data shares'!$C:$FM,106)</f>
        <v>23.53</v>
      </c>
      <c r="F195" s="50">
        <f>VLOOKUP($A195,'Data shares'!$C:$FM,108)</f>
        <v>3.81</v>
      </c>
      <c r="G195" s="50">
        <f t="shared" si="6"/>
        <v>1.1619209519762006</v>
      </c>
    </row>
    <row r="196" spans="1:7" x14ac:dyDescent="0.25">
      <c r="A196" s="49" t="str">
        <f>'Data Vlaue (Cr)'!C191</f>
        <v>SUPREMEIND</v>
      </c>
      <c r="B196" s="50">
        <f>VLOOKUP($A196,'Data shares'!$C:$FM,102)</f>
        <v>36.6</v>
      </c>
      <c r="C196" s="50">
        <f>VLOOKUP($A196,'Data shares'!$C:$FM,110)</f>
        <v>36.44</v>
      </c>
      <c r="D196" s="50">
        <f>VLOOKUP($A196,'Data shares'!$C:$FM,114)</f>
        <v>37.44</v>
      </c>
      <c r="E196" s="50">
        <f>VLOOKUP($A196,'Data shares'!$C:$FM,106)</f>
        <v>38.03</v>
      </c>
      <c r="F196" s="50">
        <f>VLOOKUP($A196,'Data shares'!$C:$FM,108)</f>
        <v>-1.43</v>
      </c>
      <c r="G196" s="50">
        <f t="shared" si="6"/>
        <v>0.96239810675782278</v>
      </c>
    </row>
    <row r="197" spans="1:7" x14ac:dyDescent="0.25">
      <c r="A197" s="49" t="str">
        <f>'Data Vlaue (Cr)'!C192</f>
        <v>SUZLON</v>
      </c>
      <c r="B197" s="50">
        <f>VLOOKUP($A197,'Data shares'!$C:$FM,102)</f>
        <v>47.09</v>
      </c>
      <c r="C197" s="50">
        <f>VLOOKUP($A197,'Data shares'!$C:$FM,110)</f>
        <v>46.93</v>
      </c>
      <c r="D197" s="50">
        <f>VLOOKUP($A197,'Data shares'!$C:$FM,114)</f>
        <v>47.74</v>
      </c>
      <c r="E197" s="50">
        <f>VLOOKUP($A197,'Data shares'!$C:$FM,106)</f>
        <v>47.26</v>
      </c>
      <c r="F197" s="50">
        <f>VLOOKUP($A197,'Data shares'!$C:$FM,108)</f>
        <v>-0.17</v>
      </c>
      <c r="G197" s="50">
        <f t="shared" si="6"/>
        <v>0.99640287769784186</v>
      </c>
    </row>
    <row r="198" spans="1:7" x14ac:dyDescent="0.25">
      <c r="A198" s="49" t="str">
        <f>'Data Vlaue (Cr)'!C193</f>
        <v>SWIGGY</v>
      </c>
      <c r="B198" s="50">
        <f>VLOOKUP($A198,'Data shares'!$C:$FM,102)</f>
        <v>51.79</v>
      </c>
      <c r="C198" s="50">
        <f>VLOOKUP($A198,'Data shares'!$C:$FM,110)</f>
        <v>52</v>
      </c>
      <c r="D198" s="50">
        <f>VLOOKUP($A198,'Data shares'!$C:$FM,114)</f>
        <v>50.94</v>
      </c>
      <c r="E198" s="50">
        <f>VLOOKUP($A198,'Data shares'!$C:$FM,106)</f>
        <v>45.38</v>
      </c>
      <c r="F198" s="50">
        <f>VLOOKUP($A198,'Data shares'!$C:$FM,108)</f>
        <v>6.41</v>
      </c>
      <c r="G198" s="50">
        <f t="shared" si="6"/>
        <v>1.141251652710445</v>
      </c>
    </row>
    <row r="199" spans="1:7" x14ac:dyDescent="0.25">
      <c r="A199" s="49" t="str">
        <f>'Data Vlaue (Cr)'!C194</f>
        <v>TATACONSUM</v>
      </c>
      <c r="B199" s="50">
        <f>VLOOKUP($A199,'Data shares'!$C:$FM,102)</f>
        <v>27.17</v>
      </c>
      <c r="C199" s="50">
        <f>VLOOKUP($A199,'Data shares'!$C:$FM,110)</f>
        <v>26.87</v>
      </c>
      <c r="D199" s="50">
        <f>VLOOKUP($A199,'Data shares'!$C:$FM,114)</f>
        <v>28.19</v>
      </c>
      <c r="E199" s="50">
        <f>VLOOKUP($A199,'Data shares'!$C:$FM,106)</f>
        <v>27.56</v>
      </c>
      <c r="F199" s="50">
        <f>VLOOKUP($A199,'Data shares'!$C:$FM,108)</f>
        <v>-0.39</v>
      </c>
      <c r="G199" s="50">
        <f t="shared" si="6"/>
        <v>0.98584905660377364</v>
      </c>
    </row>
    <row r="200" spans="1:7" x14ac:dyDescent="0.25">
      <c r="A200" s="49" t="str">
        <f>'Data Vlaue (Cr)'!C195</f>
        <v>TATAELXSI</v>
      </c>
      <c r="B200" s="50">
        <f>VLOOKUP($A200,'Data shares'!$C:$FM,102)</f>
        <v>41.44</v>
      </c>
      <c r="C200" s="50">
        <f>VLOOKUP($A200,'Data shares'!$C:$FM,110)</f>
        <v>41.93</v>
      </c>
      <c r="D200" s="50">
        <f>VLOOKUP($A200,'Data shares'!$C:$FM,114)</f>
        <v>40.119999999999997</v>
      </c>
      <c r="E200" s="50">
        <f>VLOOKUP($A200,'Data shares'!$C:$FM,106)</f>
        <v>40.19</v>
      </c>
      <c r="F200" s="50">
        <f>VLOOKUP($A200,'Data shares'!$C:$FM,108)</f>
        <v>1.25</v>
      </c>
      <c r="G200" s="50">
        <f t="shared" si="6"/>
        <v>1.0311022642448371</v>
      </c>
    </row>
    <row r="201" spans="1:7" x14ac:dyDescent="0.25">
      <c r="A201" s="49" t="str">
        <f>'Data Vlaue (Cr)'!C196</f>
        <v>TATAPOWER</v>
      </c>
      <c r="B201" s="50">
        <f>VLOOKUP($A201,'Data shares'!$C:$FM,102)</f>
        <v>29.63</v>
      </c>
      <c r="C201" s="50">
        <f>VLOOKUP($A201,'Data shares'!$C:$FM,110)</f>
        <v>29.91</v>
      </c>
      <c r="D201" s="50">
        <f>VLOOKUP($A201,'Data shares'!$C:$FM,114)</f>
        <v>28.99</v>
      </c>
      <c r="E201" s="50">
        <f>VLOOKUP($A201,'Data shares'!$C:$FM,106)</f>
        <v>31.36</v>
      </c>
      <c r="F201" s="50">
        <f>VLOOKUP($A201,'Data shares'!$C:$FM,108)</f>
        <v>-1.73</v>
      </c>
      <c r="G201" s="50">
        <f t="shared" si="6"/>
        <v>0.94483418367346939</v>
      </c>
    </row>
    <row r="202" spans="1:7" x14ac:dyDescent="0.25">
      <c r="A202" s="49" t="str">
        <f>'Data Vlaue (Cr)'!C197</f>
        <v>TATASTEEL</v>
      </c>
      <c r="B202" s="50">
        <f>VLOOKUP($A202,'Data shares'!$C:$FM,102)</f>
        <v>30.37</v>
      </c>
      <c r="C202" s="50">
        <f>VLOOKUP($A202,'Data shares'!$C:$FM,110)</f>
        <v>30.11</v>
      </c>
      <c r="D202" s="50">
        <f>VLOOKUP($A202,'Data shares'!$C:$FM,114)</f>
        <v>30.84</v>
      </c>
      <c r="E202" s="50">
        <f>VLOOKUP($A202,'Data shares'!$C:$FM,106)</f>
        <v>35.840000000000003</v>
      </c>
      <c r="F202" s="50">
        <f>VLOOKUP($A202,'Data shares'!$C:$FM,108)</f>
        <v>-5.47</v>
      </c>
      <c r="G202" s="50">
        <f t="shared" si="6"/>
        <v>0.8473772321428571</v>
      </c>
    </row>
    <row r="203" spans="1:7" x14ac:dyDescent="0.25">
      <c r="A203" s="49" t="str">
        <f>'Data Vlaue (Cr)'!C198</f>
        <v>TATATECH</v>
      </c>
      <c r="B203" s="50">
        <f>VLOOKUP($A203,'Data shares'!$C:$FM,102)</f>
        <v>33.74</v>
      </c>
      <c r="C203" s="50">
        <f>VLOOKUP($A203,'Data shares'!$C:$FM,110)</f>
        <v>33.74</v>
      </c>
      <c r="D203" s="50">
        <f>VLOOKUP($A203,'Data shares'!$C:$FM,114)</f>
        <v>33.74</v>
      </c>
      <c r="E203" s="50">
        <f>VLOOKUP($A203,'Data shares'!$C:$FM,106)</f>
        <v>33.74</v>
      </c>
      <c r="F203" s="50">
        <f>VLOOKUP($A203,'Data shares'!$C:$FM,108)</f>
        <v>0</v>
      </c>
      <c r="G203" s="50">
        <f t="shared" si="6"/>
        <v>1</v>
      </c>
    </row>
    <row r="204" spans="1:7" x14ac:dyDescent="0.25">
      <c r="A204" s="49" t="str">
        <f>'Data Vlaue (Cr)'!C199</f>
        <v>TCS</v>
      </c>
      <c r="B204" s="50">
        <f>VLOOKUP($A204,'Data shares'!$C:$FM,102)</f>
        <v>26.97</v>
      </c>
      <c r="C204" s="50">
        <f>VLOOKUP($A204,'Data shares'!$C:$FM,110)</f>
        <v>27.29</v>
      </c>
      <c r="D204" s="50">
        <f>VLOOKUP($A204,'Data shares'!$C:$FM,114)</f>
        <v>26.47</v>
      </c>
      <c r="E204" s="50">
        <f>VLOOKUP($A204,'Data shares'!$C:$FM,106)</f>
        <v>27.37</v>
      </c>
      <c r="F204" s="50">
        <f>VLOOKUP($A204,'Data shares'!$C:$FM,108)</f>
        <v>-0.4</v>
      </c>
      <c r="G204" s="50">
        <f t="shared" si="6"/>
        <v>0.98538545853123849</v>
      </c>
    </row>
    <row r="205" spans="1:7" x14ac:dyDescent="0.25">
      <c r="A205" s="49" t="str">
        <f>'Data Vlaue (Cr)'!C200</f>
        <v>TECHM</v>
      </c>
      <c r="B205" s="50">
        <f>VLOOKUP($A205,'Data shares'!$C:$FM,102)</f>
        <v>31.9</v>
      </c>
      <c r="C205" s="50">
        <f>VLOOKUP($A205,'Data shares'!$C:$FM,110)</f>
        <v>31.92</v>
      </c>
      <c r="D205" s="50">
        <f>VLOOKUP($A205,'Data shares'!$C:$FM,114)</f>
        <v>31.87</v>
      </c>
      <c r="E205" s="50">
        <f>VLOOKUP($A205,'Data shares'!$C:$FM,106)</f>
        <v>31.43</v>
      </c>
      <c r="F205" s="50">
        <f>VLOOKUP($A205,'Data shares'!$C:$FM,108)</f>
        <v>0.47</v>
      </c>
      <c r="G205" s="50">
        <f t="shared" ref="G205:G214" si="7">B205/E205</f>
        <v>1.0149538657333756</v>
      </c>
    </row>
    <row r="206" spans="1:7" x14ac:dyDescent="0.25">
      <c r="A206" s="49" t="str">
        <f>'Data Vlaue (Cr)'!C201</f>
        <v>TIINDIA</v>
      </c>
      <c r="B206" s="50">
        <f>VLOOKUP($A206,'Data shares'!$C:$FM,102)</f>
        <v>37.74</v>
      </c>
      <c r="C206" s="50">
        <f>VLOOKUP($A206,'Data shares'!$C:$FM,110)</f>
        <v>36.83</v>
      </c>
      <c r="D206" s="50">
        <f>VLOOKUP($A206,'Data shares'!$C:$FM,114)</f>
        <v>40.26</v>
      </c>
      <c r="E206" s="50">
        <f>VLOOKUP($A206,'Data shares'!$C:$FM,106)</f>
        <v>44.39</v>
      </c>
      <c r="F206" s="50">
        <f>VLOOKUP($A206,'Data shares'!$C:$FM,108)</f>
        <v>-6.65</v>
      </c>
      <c r="G206" s="50">
        <f t="shared" si="7"/>
        <v>0.85019148456859661</v>
      </c>
    </row>
    <row r="207" spans="1:7" x14ac:dyDescent="0.25">
      <c r="A207" s="49" t="str">
        <f>'Data Vlaue (Cr)'!C202</f>
        <v>TITAN</v>
      </c>
      <c r="B207" s="50">
        <f>VLOOKUP($A207,'Data shares'!$C:$FM,102)</f>
        <v>29.52</v>
      </c>
      <c r="C207" s="50">
        <f>VLOOKUP($A207,'Data shares'!$C:$FM,110)</f>
        <v>29.04</v>
      </c>
      <c r="D207" s="50">
        <f>VLOOKUP($A207,'Data shares'!$C:$FM,114)</f>
        <v>30.07</v>
      </c>
      <c r="E207" s="50">
        <f>VLOOKUP($A207,'Data shares'!$C:$FM,106)</f>
        <v>27.72</v>
      </c>
      <c r="F207" s="50">
        <f>VLOOKUP($A207,'Data shares'!$C:$FM,108)</f>
        <v>1.8</v>
      </c>
      <c r="G207" s="50">
        <f t="shared" si="7"/>
        <v>1.0649350649350651</v>
      </c>
    </row>
    <row r="208" spans="1:7" x14ac:dyDescent="0.25">
      <c r="A208" s="49" t="str">
        <f>'Data Vlaue (Cr)'!C203</f>
        <v>TMPV</v>
      </c>
      <c r="B208" s="50">
        <f>VLOOKUP($A208,'Data shares'!$C:$FM,102)</f>
        <v>38.03</v>
      </c>
      <c r="C208" s="50">
        <f>VLOOKUP($A208,'Data shares'!$C:$FM,110)</f>
        <v>38.04</v>
      </c>
      <c r="D208" s="50">
        <f>VLOOKUP($A208,'Data shares'!$C:$FM,114)</f>
        <v>38.01</v>
      </c>
      <c r="E208" s="50">
        <f>VLOOKUP($A208,'Data shares'!$C:$FM,106)</f>
        <v>38.17</v>
      </c>
      <c r="F208" s="50">
        <f>VLOOKUP($A208,'Data shares'!$C:$FM,108)</f>
        <v>-0.14000000000000001</v>
      </c>
      <c r="G208" s="50">
        <f t="shared" si="7"/>
        <v>0.99633219806130469</v>
      </c>
    </row>
    <row r="209" spans="1:7" x14ac:dyDescent="0.25">
      <c r="A209" s="49" t="str">
        <f>'Data Vlaue (Cr)'!C204</f>
        <v>TORNTPHARM</v>
      </c>
      <c r="B209" s="50">
        <f>VLOOKUP($A209,'Data shares'!$C:$FM,102)</f>
        <v>29.15</v>
      </c>
      <c r="C209" s="50">
        <f>VLOOKUP($A209,'Data shares'!$C:$FM,110)</f>
        <v>28.63</v>
      </c>
      <c r="D209" s="50">
        <f>VLOOKUP($A209,'Data shares'!$C:$FM,114)</f>
        <v>30.87</v>
      </c>
      <c r="E209" s="50">
        <f>VLOOKUP($A209,'Data shares'!$C:$FM,106)</f>
        <v>25.38</v>
      </c>
      <c r="F209" s="50">
        <f>VLOOKUP($A209,'Data shares'!$C:$FM,108)</f>
        <v>3.77</v>
      </c>
      <c r="G209" s="50">
        <f t="shared" si="7"/>
        <v>1.148542159180457</v>
      </c>
    </row>
    <row r="210" spans="1:7" x14ac:dyDescent="0.25">
      <c r="A210" s="49" t="str">
        <f>'Data Vlaue (Cr)'!C205</f>
        <v>TORNTPOWER</v>
      </c>
      <c r="B210" s="50">
        <f>VLOOKUP($A210,'Data shares'!$C:$FM,102)</f>
        <v>42.09</v>
      </c>
      <c r="C210" s="50">
        <f>VLOOKUP($A210,'Data shares'!$C:$FM,110)</f>
        <v>42.09</v>
      </c>
      <c r="D210" s="50">
        <f>VLOOKUP($A210,'Data shares'!$C:$FM,114)</f>
        <v>42.09</v>
      </c>
      <c r="E210" s="50">
        <f>VLOOKUP($A210,'Data shares'!$C:$FM,106)</f>
        <v>42.09</v>
      </c>
      <c r="F210" s="50">
        <f>VLOOKUP($A210,'Data shares'!$C:$FM,108)</f>
        <v>0</v>
      </c>
      <c r="G210" s="50">
        <f t="shared" si="7"/>
        <v>1</v>
      </c>
    </row>
    <row r="211" spans="1:7" x14ac:dyDescent="0.25">
      <c r="A211" s="49" t="str">
        <f>'Data Vlaue (Cr)'!C206</f>
        <v>TRENT</v>
      </c>
      <c r="B211" s="50">
        <f>VLOOKUP($A211,'Data shares'!$C:$FM,102)</f>
        <v>39.28</v>
      </c>
      <c r="C211" s="50">
        <f>VLOOKUP($A211,'Data shares'!$C:$FM,110)</f>
        <v>39.28</v>
      </c>
      <c r="D211" s="50">
        <f>VLOOKUP($A211,'Data shares'!$C:$FM,114)</f>
        <v>39.28</v>
      </c>
      <c r="E211" s="50">
        <f>VLOOKUP($A211,'Data shares'!$C:$FM,106)</f>
        <v>44.53</v>
      </c>
      <c r="F211" s="50">
        <f>VLOOKUP($A211,'Data shares'!$C:$FM,108)</f>
        <v>-5.25</v>
      </c>
      <c r="G211" s="50">
        <f t="shared" si="7"/>
        <v>0.88210195373905231</v>
      </c>
    </row>
    <row r="212" spans="1:7" x14ac:dyDescent="0.25">
      <c r="A212" s="49" t="str">
        <f>'Data Vlaue (Cr)'!C207</f>
        <v>TVSMOTOR</v>
      </c>
      <c r="B212" s="50">
        <f>VLOOKUP($A212,'Data shares'!$C:$FM,102)</f>
        <v>35.58</v>
      </c>
      <c r="C212" s="50">
        <f>VLOOKUP($A212,'Data shares'!$C:$FM,110)</f>
        <v>35.42</v>
      </c>
      <c r="D212" s="50">
        <f>VLOOKUP($A212,'Data shares'!$C:$FM,114)</f>
        <v>35.909999999999997</v>
      </c>
      <c r="E212" s="50">
        <f>VLOOKUP($A212,'Data shares'!$C:$FM,106)</f>
        <v>33.9</v>
      </c>
      <c r="F212" s="50">
        <f>VLOOKUP($A212,'Data shares'!$C:$FM,108)</f>
        <v>1.68</v>
      </c>
      <c r="G212" s="50">
        <f t="shared" si="7"/>
        <v>1.0495575221238937</v>
      </c>
    </row>
    <row r="213" spans="1:7" x14ac:dyDescent="0.25">
      <c r="A213" s="49" t="str">
        <f>'Data Vlaue (Cr)'!C208</f>
        <v>ULTRACEMCO</v>
      </c>
      <c r="B213" s="50">
        <f>VLOOKUP($A213,'Data shares'!$C:$FM,102)</f>
        <v>28.88</v>
      </c>
      <c r="C213" s="50">
        <f>VLOOKUP($A213,'Data shares'!$C:$FM,110)</f>
        <v>28.92</v>
      </c>
      <c r="D213" s="50">
        <f>VLOOKUP($A213,'Data shares'!$C:$FM,114)</f>
        <v>28.73</v>
      </c>
      <c r="E213" s="50">
        <f>VLOOKUP($A213,'Data shares'!$C:$FM,106)</f>
        <v>29.93</v>
      </c>
      <c r="F213" s="50">
        <f>VLOOKUP($A213,'Data shares'!$C:$FM,108)</f>
        <v>-1.05</v>
      </c>
      <c r="G213" s="50">
        <f t="shared" si="7"/>
        <v>0.96491814233210826</v>
      </c>
    </row>
    <row r="214" spans="1:7" x14ac:dyDescent="0.25">
      <c r="A214" s="49" t="str">
        <f>'Data Vlaue (Cr)'!C209</f>
        <v>UNIONBANK</v>
      </c>
      <c r="B214" s="50">
        <f>VLOOKUP($A214,'Data shares'!$C:$FM,102)</f>
        <v>41.83</v>
      </c>
      <c r="C214" s="50">
        <f>VLOOKUP($A214,'Data shares'!$C:$FM,110)</f>
        <v>42.03</v>
      </c>
      <c r="D214" s="50">
        <f>VLOOKUP($A214,'Data shares'!$C:$FM,114)</f>
        <v>41.28</v>
      </c>
      <c r="E214" s="50">
        <f>VLOOKUP($A214,'Data shares'!$C:$FM,106)</f>
        <v>44.85</v>
      </c>
      <c r="F214" s="50">
        <f>VLOOKUP($A214,'Data shares'!$C:$FM,108)</f>
        <v>-3.02</v>
      </c>
      <c r="G214" s="50">
        <f t="shared" si="7"/>
        <v>0.93266443701226298</v>
      </c>
    </row>
    <row r="215" spans="1:7" x14ac:dyDescent="0.25">
      <c r="A215" s="49" t="str">
        <f>'Data Vlaue (Cr)'!C210</f>
        <v>UNITDSPR</v>
      </c>
      <c r="B215" s="50">
        <f>VLOOKUP($A215,'Data shares'!$C:$FM,102)</f>
        <v>27.28</v>
      </c>
      <c r="C215" s="50">
        <f>VLOOKUP($A215,'Data shares'!$C:$FM,110)</f>
        <v>26.93</v>
      </c>
      <c r="D215" s="50">
        <f>VLOOKUP($A215,'Data shares'!$C:$FM,114)</f>
        <v>28.23</v>
      </c>
      <c r="E215" s="50">
        <f>VLOOKUP($A215,'Data shares'!$C:$FM,106)</f>
        <v>30.45</v>
      </c>
      <c r="F215" s="50">
        <f>VLOOKUP($A215,'Data shares'!$C:$FM,108)</f>
        <v>-3.17</v>
      </c>
      <c r="G215" s="50">
        <f t="shared" ref="G215:G217" si="8">B215/E215</f>
        <v>0.89589490968801322</v>
      </c>
    </row>
    <row r="216" spans="1:7" x14ac:dyDescent="0.25">
      <c r="A216" s="49" t="str">
        <f>'Data Vlaue (Cr)'!C211</f>
        <v>UNOMINDA</v>
      </c>
      <c r="B216" s="50">
        <f>VLOOKUP($A216,'Data shares'!$C:$FM,102)</f>
        <v>35.119999999999997</v>
      </c>
      <c r="C216" s="50">
        <f>VLOOKUP($A216,'Data shares'!$C:$FM,110)</f>
        <v>34.76</v>
      </c>
      <c r="D216" s="50">
        <f>VLOOKUP($A216,'Data shares'!$C:$FM,114)</f>
        <v>36.5</v>
      </c>
      <c r="E216" s="50">
        <f>VLOOKUP($A216,'Data shares'!$C:$FM,106)</f>
        <v>42.82</v>
      </c>
      <c r="F216" s="50">
        <f>VLOOKUP($A216,'Data shares'!$C:$FM,108)</f>
        <v>-7.7</v>
      </c>
      <c r="G216" s="50">
        <f t="shared" si="8"/>
        <v>0.82017748715553473</v>
      </c>
    </row>
    <row r="217" spans="1:7" x14ac:dyDescent="0.25">
      <c r="A217" s="49" t="str">
        <f>'Data Vlaue (Cr)'!C212</f>
        <v>UPL</v>
      </c>
      <c r="B217" s="50">
        <f>VLOOKUP($A217,'Data shares'!$C:$FM,102)</f>
        <v>33.869999999999997</v>
      </c>
      <c r="C217" s="50">
        <f>VLOOKUP($A217,'Data shares'!$C:$FM,110)</f>
        <v>34.64</v>
      </c>
      <c r="D217" s="50">
        <f>VLOOKUP($A217,'Data shares'!$C:$FM,114)</f>
        <v>33.07</v>
      </c>
      <c r="E217" s="50">
        <f>VLOOKUP($A217,'Data shares'!$C:$FM,106)</f>
        <v>41.67</v>
      </c>
      <c r="F217" s="50">
        <f>VLOOKUP($A217,'Data shares'!$C:$FM,108)</f>
        <v>-7.8</v>
      </c>
      <c r="G217" s="50">
        <f t="shared" si="8"/>
        <v>0.8128149748020157</v>
      </c>
    </row>
    <row r="218" spans="1:7" x14ac:dyDescent="0.25">
      <c r="A218" s="49" t="str">
        <f>'Data Vlaue (Cr)'!C213</f>
        <v>VBL</v>
      </c>
      <c r="B218" s="50">
        <f>VLOOKUP($A218,'Data shares'!$C:$FM,102)</f>
        <v>42.62</v>
      </c>
      <c r="C218" s="50">
        <f>VLOOKUP($A218,'Data shares'!$C:$FM,110)</f>
        <v>42.88</v>
      </c>
      <c r="D218" s="50">
        <f>VLOOKUP($A218,'Data shares'!$C:$FM,114)</f>
        <v>42.05</v>
      </c>
      <c r="E218" s="50">
        <f>VLOOKUP($A218,'Data shares'!$C:$FM,106)</f>
        <v>38.57</v>
      </c>
      <c r="F218" s="50">
        <f>VLOOKUP($A218,'Data shares'!$C:$FM,108)</f>
        <v>4.05</v>
      </c>
      <c r="G218" s="50">
        <f t="shared" ref="G218:G225" si="9">B218/E218</f>
        <v>1.105003889032927</v>
      </c>
    </row>
    <row r="219" spans="1:7" x14ac:dyDescent="0.25">
      <c r="A219" s="49" t="str">
        <f>'Data Vlaue (Cr)'!C214</f>
        <v>VEDL</v>
      </c>
      <c r="B219" s="50">
        <f>VLOOKUP($A219,'Data shares'!$C:$FM,102)</f>
        <v>22.22</v>
      </c>
      <c r="C219" s="50">
        <f>VLOOKUP($A219,'Data shares'!$C:$FM,110)</f>
        <v>22.81</v>
      </c>
      <c r="D219" s="50">
        <f>VLOOKUP($A219,'Data shares'!$C:$FM,114)</f>
        <v>21</v>
      </c>
      <c r="E219" s="50">
        <f>VLOOKUP($A219,'Data shares'!$C:$FM,106)</f>
        <v>40.76</v>
      </c>
      <c r="F219" s="50">
        <f>VLOOKUP($A219,'Data shares'!$C:$FM,108)</f>
        <v>-18.54</v>
      </c>
      <c r="G219" s="50">
        <f t="shared" si="9"/>
        <v>0.54514229636898925</v>
      </c>
    </row>
    <row r="220" spans="1:7" x14ac:dyDescent="0.25">
      <c r="A220" s="49" t="str">
        <f>'Data Vlaue (Cr)'!C215</f>
        <v>VMM</v>
      </c>
      <c r="B220" s="50">
        <f>VLOOKUP($A220,'Data shares'!$C:$FM,102)</f>
        <v>49.82</v>
      </c>
      <c r="C220" s="50">
        <f>VLOOKUP($A220,'Data shares'!$C:$FM,110)</f>
        <v>50.88</v>
      </c>
      <c r="D220" s="50">
        <f>VLOOKUP($A220,'Data shares'!$C:$FM,114)</f>
        <v>46.63</v>
      </c>
      <c r="E220" s="50">
        <f>VLOOKUP($A220,'Data shares'!$C:$FM,106)</f>
        <v>38.25</v>
      </c>
      <c r="F220" s="50">
        <f>VLOOKUP($A220,'Data shares'!$C:$FM,108)</f>
        <v>11.57</v>
      </c>
      <c r="G220" s="50">
        <f t="shared" si="9"/>
        <v>1.302483660130719</v>
      </c>
    </row>
    <row r="221" spans="1:7" x14ac:dyDescent="0.25">
      <c r="A221" s="49" t="str">
        <f>'Data Vlaue (Cr)'!C216</f>
        <v>VOLTAS</v>
      </c>
      <c r="B221" s="50">
        <f>VLOOKUP($A221,'Data shares'!$C:$FM,102)</f>
        <v>40.97</v>
      </c>
      <c r="C221" s="50">
        <f>VLOOKUP($A221,'Data shares'!$C:$FM,110)</f>
        <v>40.869999999999997</v>
      </c>
      <c r="D221" s="50">
        <f>VLOOKUP($A221,'Data shares'!$C:$FM,114)</f>
        <v>41.1</v>
      </c>
      <c r="E221" s="50">
        <f>VLOOKUP($A221,'Data shares'!$C:$FM,106)</f>
        <v>39.880000000000003</v>
      </c>
      <c r="F221" s="50">
        <f>VLOOKUP($A221,'Data shares'!$C:$FM,108)</f>
        <v>1.0900000000000001</v>
      </c>
      <c r="G221" s="50">
        <f t="shared" si="9"/>
        <v>1.0273319959879639</v>
      </c>
    </row>
    <row r="222" spans="1:7" x14ac:dyDescent="0.25">
      <c r="A222" s="49" t="str">
        <f>'Data Vlaue (Cr)'!C217</f>
        <v>WAAREEENER</v>
      </c>
      <c r="B222" s="50">
        <f>VLOOKUP($A222,'Data shares'!$C:$FM,102)</f>
        <v>45.92</v>
      </c>
      <c r="C222" s="50">
        <f>VLOOKUP($A222,'Data shares'!$C:$FM,110)</f>
        <v>45.51</v>
      </c>
      <c r="D222" s="50">
        <f>VLOOKUP($A222,'Data shares'!$C:$FM,114)</f>
        <v>47</v>
      </c>
      <c r="E222" s="50">
        <f>VLOOKUP($A222,'Data shares'!$C:$FM,106)</f>
        <v>52.39</v>
      </c>
      <c r="F222" s="50">
        <f>VLOOKUP($A222,'Data shares'!$C:$FM,108)</f>
        <v>-6.47</v>
      </c>
      <c r="G222" s="50">
        <f t="shared" si="9"/>
        <v>0.87650314945600305</v>
      </c>
    </row>
    <row r="223" spans="1:7" x14ac:dyDescent="0.25">
      <c r="A223" s="49" t="str">
        <f>'Data Vlaue (Cr)'!C218</f>
        <v>WIPRO</v>
      </c>
      <c r="B223" s="50">
        <f>VLOOKUP($A223,'Data shares'!$C:$FM,102)</f>
        <v>32.68</v>
      </c>
      <c r="C223" s="50">
        <f>VLOOKUP($A223,'Data shares'!$C:$FM,110)</f>
        <v>33.31</v>
      </c>
      <c r="D223" s="50">
        <f>VLOOKUP($A223,'Data shares'!$C:$FM,114)</f>
        <v>31.1</v>
      </c>
      <c r="E223" s="50">
        <f>VLOOKUP($A223,'Data shares'!$C:$FM,106)</f>
        <v>31.26</v>
      </c>
      <c r="F223" s="50">
        <f>VLOOKUP($A223,'Data shares'!$C:$FM,108)</f>
        <v>1.42</v>
      </c>
      <c r="G223" s="50">
        <f t="shared" si="9"/>
        <v>1.0454254638515674</v>
      </c>
    </row>
    <row r="224" spans="1:7" x14ac:dyDescent="0.25">
      <c r="A224" s="49" t="str">
        <f>'Data Vlaue (Cr)'!C219</f>
        <v>YESBANK</v>
      </c>
      <c r="B224" s="50">
        <f>VLOOKUP($A224,'Data shares'!$C:$FM,102)</f>
        <v>34.520000000000003</v>
      </c>
      <c r="C224" s="50">
        <f>VLOOKUP($A224,'Data shares'!$C:$FM,110)</f>
        <v>34.75</v>
      </c>
      <c r="D224" s="50">
        <f>VLOOKUP($A224,'Data shares'!$C:$FM,114)</f>
        <v>33.67</v>
      </c>
      <c r="E224" s="50">
        <f>VLOOKUP($A224,'Data shares'!$C:$FM,106)</f>
        <v>38.409999999999997</v>
      </c>
      <c r="F224" s="50">
        <f>VLOOKUP($A224,'Data shares'!$C:$FM,108)</f>
        <v>-3.89</v>
      </c>
      <c r="G224" s="50">
        <f t="shared" si="9"/>
        <v>0.89872429054933622</v>
      </c>
    </row>
    <row r="225" spans="1:7" x14ac:dyDescent="0.25">
      <c r="A225" s="49" t="str">
        <f>'Data Vlaue (Cr)'!C220</f>
        <v>ZYDUSLIFE</v>
      </c>
      <c r="B225" s="50">
        <f>VLOOKUP($A225,'Data shares'!$C:$FM,102)</f>
        <v>30.5</v>
      </c>
      <c r="C225" s="50">
        <f>VLOOKUP($A225,'Data shares'!$C:$FM,110)</f>
        <v>30.6</v>
      </c>
      <c r="D225" s="50">
        <f>VLOOKUP($A225,'Data shares'!$C:$FM,114)</f>
        <v>30.18</v>
      </c>
      <c r="E225" s="50">
        <f>VLOOKUP($A225,'Data shares'!$C:$FM,106)</f>
        <v>28.01</v>
      </c>
      <c r="F225" s="50">
        <f>VLOOKUP($A225,'Data shares'!$C:$FM,108)</f>
        <v>2.4900000000000002</v>
      </c>
      <c r="G225" s="50">
        <f t="shared" si="9"/>
        <v>1.0888968225633702</v>
      </c>
    </row>
    <row r="226" spans="1:7" x14ac:dyDescent="0.25">
      <c r="A226" s="49"/>
      <c r="B226" s="50"/>
      <c r="C226" s="50"/>
      <c r="D226" s="50"/>
      <c r="E226" s="50"/>
      <c r="F226" s="50"/>
      <c r="G226" s="50"/>
    </row>
    <row r="227" spans="1:7" x14ac:dyDescent="0.25">
      <c r="A227" s="49"/>
      <c r="B227" s="50"/>
      <c r="C227" s="50"/>
      <c r="D227" s="50"/>
      <c r="E227" s="50"/>
      <c r="F227" s="50"/>
      <c r="G227" s="50"/>
    </row>
    <row r="228" spans="1:7" x14ac:dyDescent="0.25">
      <c r="A228" s="49"/>
      <c r="B228" s="50"/>
      <c r="C228" s="50"/>
      <c r="D228" s="50"/>
      <c r="E228" s="50"/>
      <c r="F228" s="50"/>
      <c r="G228" s="50"/>
    </row>
    <row r="229" spans="1:7" x14ac:dyDescent="0.25">
      <c r="A229" s="49"/>
      <c r="B229" s="50"/>
      <c r="C229" s="50"/>
      <c r="D229" s="50"/>
      <c r="E229" s="50"/>
      <c r="F229" s="50"/>
      <c r="G229"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104" activePane="bottomLeft" state="frozen"/>
      <selection pane="bottomLeft" activeCell="A5" sqref="A5:D217"/>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9" t="s">
        <v>416</v>
      </c>
      <c r="B3" s="320"/>
      <c r="C3" s="320"/>
      <c r="D3" s="320"/>
      <c r="E3" s="320"/>
      <c r="F3" s="320"/>
    </row>
    <row r="4" spans="1:6" s="107" customFormat="1" ht="16.5" customHeight="1" x14ac:dyDescent="0.25">
      <c r="A4" s="174" t="s">
        <v>366</v>
      </c>
      <c r="B4" s="76" t="s">
        <v>417</v>
      </c>
      <c r="C4" s="76" t="s">
        <v>412</v>
      </c>
      <c r="D4" s="162" t="s">
        <v>418</v>
      </c>
      <c r="E4" s="162" t="s">
        <v>419</v>
      </c>
      <c r="F4" s="162" t="s">
        <v>419</v>
      </c>
    </row>
    <row r="5" spans="1:6" x14ac:dyDescent="0.25">
      <c r="A5" s="99" t="s">
        <v>680</v>
      </c>
      <c r="B5" s="49">
        <v>37756901</v>
      </c>
      <c r="C5" s="49">
        <v>13315000</v>
      </c>
      <c r="D5" s="49">
        <v>4495876.452815</v>
      </c>
      <c r="E5" s="50">
        <f>VLOOKUP($A5,'Data shares'!$C:$FA,154)*100</f>
        <v>36.43</v>
      </c>
      <c r="F5" s="173">
        <f>C5/B5</f>
        <v>0.35265076442581977</v>
      </c>
    </row>
    <row r="6" spans="1:6" x14ac:dyDescent="0.25">
      <c r="A6" s="99" t="s">
        <v>553</v>
      </c>
      <c r="B6" s="49">
        <v>7946564</v>
      </c>
      <c r="C6" s="49">
        <v>6073250</v>
      </c>
      <c r="D6" s="49">
        <v>2474723.5070799999</v>
      </c>
      <c r="E6" s="50"/>
      <c r="F6" s="173">
        <f>C6/B6</f>
        <v>0.76426113223274861</v>
      </c>
    </row>
    <row r="7" spans="1:6" x14ac:dyDescent="0.25">
      <c r="A7" s="99" t="s">
        <v>544</v>
      </c>
      <c r="B7" s="49">
        <v>123369777</v>
      </c>
      <c r="C7" s="49">
        <v>64576100</v>
      </c>
      <c r="D7" s="49">
        <v>41347200.596276</v>
      </c>
      <c r="E7" s="50">
        <f>VLOOKUP($A7,'Data shares'!$C:$FA,154)*100</f>
        <v>52.82</v>
      </c>
      <c r="F7" s="173">
        <f>C7/B7</f>
        <v>0.52343533051859203</v>
      </c>
    </row>
    <row r="8" spans="1:6" x14ac:dyDescent="0.25">
      <c r="A8" s="99" t="s">
        <v>578</v>
      </c>
      <c r="B8" s="49">
        <v>35196587</v>
      </c>
      <c r="C8" s="49">
        <v>34051050</v>
      </c>
      <c r="D8" s="49">
        <v>18923068.7414032</v>
      </c>
      <c r="E8" s="50">
        <f>VLOOKUP($A8,'Data shares'!$C:$FA,154)*100</f>
        <v>97.61999999999999</v>
      </c>
      <c r="F8" s="173">
        <f>C8/B8</f>
        <v>0.96745317948015808</v>
      </c>
    </row>
    <row r="9" spans="1:6" x14ac:dyDescent="0.25">
      <c r="A9" s="99" t="s">
        <v>159</v>
      </c>
      <c r="B9" s="49">
        <v>33645895</v>
      </c>
      <c r="C9" s="49">
        <v>33992472</v>
      </c>
      <c r="D9" s="49">
        <v>16407320.3629092</v>
      </c>
      <c r="E9" s="50">
        <f>VLOOKUP($A9,'Data shares'!$C:$FA,154)*100</f>
        <v>103.76</v>
      </c>
      <c r="F9" s="173">
        <f>C9/B9</f>
        <v>1.0103007216779343</v>
      </c>
    </row>
    <row r="10" spans="1:6" x14ac:dyDescent="0.25">
      <c r="A10" s="99" t="s">
        <v>605</v>
      </c>
      <c r="B10" s="49">
        <v>64724093</v>
      </c>
      <c r="C10" s="49">
        <v>42215400</v>
      </c>
      <c r="D10" s="49">
        <v>20739410.599716</v>
      </c>
      <c r="E10" s="50">
        <f>VLOOKUP($A10,'Data shares'!$C:$FA,154)*100</f>
        <v>65.86</v>
      </c>
      <c r="F10" s="173">
        <f>C10/B10</f>
        <v>0.6522362545891528</v>
      </c>
    </row>
    <row r="11" spans="1:6" x14ac:dyDescent="0.25">
      <c r="A11" s="99" t="s">
        <v>160</v>
      </c>
      <c r="B11" s="49">
        <v>88142691</v>
      </c>
      <c r="C11" s="49">
        <v>38583775</v>
      </c>
      <c r="D11" s="49">
        <v>18889189.224655699</v>
      </c>
      <c r="E11" s="50">
        <f>VLOOKUP($A11,'Data shares'!$C:$FA,154)*100</f>
        <v>44.58</v>
      </c>
      <c r="F11" s="173">
        <f>C11/B11</f>
        <v>0.43774219464209463</v>
      </c>
    </row>
    <row r="12" spans="1:6" x14ac:dyDescent="0.25">
      <c r="A12" s="99" t="s">
        <v>695</v>
      </c>
      <c r="B12" s="49">
        <v>482906787</v>
      </c>
      <c r="C12" s="49">
        <v>151478500</v>
      </c>
      <c r="D12" s="49">
        <v>75624102.964954004</v>
      </c>
      <c r="E12" s="50">
        <f>VLOOKUP($A12,'Data shares'!$C:$FA,154)*100</f>
        <v>32.029999999999994</v>
      </c>
      <c r="F12" s="173">
        <f>C12/B12</f>
        <v>0.31368061927860208</v>
      </c>
    </row>
    <row r="13" spans="1:6" x14ac:dyDescent="0.25">
      <c r="A13" s="99" t="s">
        <v>497</v>
      </c>
      <c r="B13" s="49">
        <v>5873365</v>
      </c>
      <c r="C13" s="49">
        <v>1767125</v>
      </c>
      <c r="D13" s="49">
        <v>1105751.0786262499</v>
      </c>
      <c r="E13" s="50">
        <f>VLOOKUP($A13,'Data shares'!$C:$FA,154)*100</f>
        <v>30.42</v>
      </c>
      <c r="F13" s="173">
        <f>C13/B13</f>
        <v>0.30087096579218214</v>
      </c>
    </row>
    <row r="14" spans="1:6" x14ac:dyDescent="0.25">
      <c r="A14" s="99" t="s">
        <v>679</v>
      </c>
      <c r="B14" s="49">
        <v>3260820</v>
      </c>
      <c r="C14" s="49">
        <v>2777700</v>
      </c>
      <c r="D14" s="49">
        <v>1029164.81409</v>
      </c>
      <c r="E14" s="50">
        <f>VLOOKUP($A14,'Data shares'!$C:$FA,154)*100</f>
        <v>88.13</v>
      </c>
      <c r="F14" s="173">
        <f>C14/B14</f>
        <v>0.85184094798240928</v>
      </c>
    </row>
    <row r="15" spans="1:6" x14ac:dyDescent="0.25">
      <c r="A15" s="99" t="s">
        <v>164</v>
      </c>
      <c r="B15" s="49">
        <v>97233107</v>
      </c>
      <c r="C15" s="49">
        <v>79202550</v>
      </c>
      <c r="D15" s="49">
        <v>53999354.028532498</v>
      </c>
      <c r="E15" s="50">
        <f>VLOOKUP($A15,'Data shares'!$C:$FA,154)*100</f>
        <v>82.34</v>
      </c>
      <c r="F15" s="173">
        <f>C15/B15</f>
        <v>0.81456360332083189</v>
      </c>
    </row>
    <row r="16" spans="1:6" x14ac:dyDescent="0.25">
      <c r="A16" s="99" t="s">
        <v>608</v>
      </c>
      <c r="B16" s="49">
        <v>96940911</v>
      </c>
      <c r="C16" s="49">
        <v>84675000</v>
      </c>
      <c r="D16" s="49">
        <v>25038942.032474998</v>
      </c>
      <c r="E16" s="50">
        <f>VLOOKUP($A16,'Data shares'!$C:$FA,154)*100</f>
        <v>90.68</v>
      </c>
      <c r="F16" s="173">
        <f>C16/B16</f>
        <v>0.87347023177861405</v>
      </c>
    </row>
    <row r="17" spans="1:6" x14ac:dyDescent="0.25">
      <c r="A17" s="99" t="s">
        <v>597</v>
      </c>
      <c r="B17" s="49">
        <v>29871221</v>
      </c>
      <c r="C17" s="49">
        <v>7205450</v>
      </c>
      <c r="D17" s="49">
        <v>4690663.8615095001</v>
      </c>
      <c r="E17" s="50">
        <f>VLOOKUP($A17,'Data shares'!$C:$FA,154)*100</f>
        <v>24.310000000000002</v>
      </c>
      <c r="F17" s="173">
        <f>C17/B17</f>
        <v>0.24121712333084744</v>
      </c>
    </row>
    <row r="18" spans="1:6" x14ac:dyDescent="0.25">
      <c r="A18" s="99" t="s">
        <v>165</v>
      </c>
      <c r="B18" s="49">
        <v>15524629</v>
      </c>
      <c r="C18" s="49">
        <v>3842000</v>
      </c>
      <c r="D18" s="49">
        <v>1994990.0207849999</v>
      </c>
      <c r="E18" s="50">
        <f>VLOOKUP($A18,'Data shares'!$C:$FA,154)*100</f>
        <v>25.169999999999998</v>
      </c>
      <c r="F18" s="173">
        <f>C18/B18</f>
        <v>0.24747773360638764</v>
      </c>
    </row>
    <row r="19" spans="1:6" x14ac:dyDescent="0.25">
      <c r="A19" s="99" t="s">
        <v>167</v>
      </c>
      <c r="B19" s="49">
        <v>423779104</v>
      </c>
      <c r="C19" s="49">
        <v>316955000</v>
      </c>
      <c r="D19" s="49">
        <v>129237532.7059</v>
      </c>
      <c r="E19" s="50">
        <f>VLOOKUP($A19,'Data shares'!$C:$FA,154)*100</f>
        <v>77.55</v>
      </c>
      <c r="F19" s="173">
        <f>C19/B19</f>
        <v>0.74792503218846773</v>
      </c>
    </row>
    <row r="20" spans="1:6" x14ac:dyDescent="0.25">
      <c r="A20" s="99" t="s">
        <v>169</v>
      </c>
      <c r="B20" s="49">
        <v>62818628</v>
      </c>
      <c r="C20" s="49">
        <v>24821000</v>
      </c>
      <c r="D20" s="49">
        <v>13993116.149879999</v>
      </c>
      <c r="E20" s="50">
        <f>VLOOKUP($A20,'Data shares'!$C:$FA,154)*100</f>
        <v>40.160000000000004</v>
      </c>
      <c r="F20" s="173">
        <f>C20/B20</f>
        <v>0.39512165085808626</v>
      </c>
    </row>
    <row r="21" spans="1:6" x14ac:dyDescent="0.25">
      <c r="A21" s="99" t="s">
        <v>503</v>
      </c>
      <c r="B21" s="49">
        <v>17577908</v>
      </c>
      <c r="C21" s="49">
        <v>17898025</v>
      </c>
      <c r="D21" s="49">
        <v>8784160.6753607504</v>
      </c>
      <c r="E21" s="50">
        <f>VLOOKUP($A21,'Data shares'!$C:$FA,154)*100</f>
        <v>103.64999999999999</v>
      </c>
      <c r="F21" s="173">
        <f>C21/B21</f>
        <v>1.0182113252612313</v>
      </c>
    </row>
    <row r="22" spans="1:6" x14ac:dyDescent="0.25">
      <c r="A22" s="99" t="s">
        <v>495</v>
      </c>
      <c r="B22" s="49">
        <v>86532345</v>
      </c>
      <c r="C22" s="49">
        <v>43348000</v>
      </c>
      <c r="D22" s="49">
        <v>24796513.234639999</v>
      </c>
      <c r="E22" s="50">
        <f>VLOOKUP($A22,'Data shares'!$C:$FA,154)*100</f>
        <v>51.49</v>
      </c>
      <c r="F22" s="173">
        <f>C22/B22</f>
        <v>0.50094562905928408</v>
      </c>
    </row>
    <row r="23" spans="1:6" x14ac:dyDescent="0.25">
      <c r="A23" s="99" t="s">
        <v>171</v>
      </c>
      <c r="B23" s="49">
        <v>41977935</v>
      </c>
      <c r="C23" s="49">
        <v>29918350</v>
      </c>
      <c r="D23" s="49">
        <v>21055265.687802501</v>
      </c>
      <c r="E23" s="50">
        <f>VLOOKUP($A23,'Data shares'!$C:$FA,154)*100</f>
        <v>72.25</v>
      </c>
      <c r="F23" s="173">
        <f>C23/B23</f>
        <v>0.71271609715913853</v>
      </c>
    </row>
    <row r="24" spans="1:6" x14ac:dyDescent="0.25">
      <c r="A24" s="99" t="s">
        <v>173</v>
      </c>
      <c r="B24" s="49">
        <v>331596880</v>
      </c>
      <c r="C24" s="49">
        <v>97251875</v>
      </c>
      <c r="D24" s="49">
        <v>62947069.5903062</v>
      </c>
      <c r="E24" s="50">
        <f>VLOOKUP($A24,'Data shares'!$C:$FA,154)*100</f>
        <v>29.95</v>
      </c>
      <c r="F24" s="173">
        <f>C24/B24</f>
        <v>0.29328344404205492</v>
      </c>
    </row>
    <row r="25" spans="1:6" x14ac:dyDescent="0.25">
      <c r="A25" s="99" t="s">
        <v>174</v>
      </c>
      <c r="B25" s="49">
        <v>12553818</v>
      </c>
      <c r="C25" s="49">
        <v>5237550</v>
      </c>
      <c r="D25" s="49">
        <v>2348763.3425137498</v>
      </c>
      <c r="E25" s="50">
        <f>VLOOKUP($A25,'Data shares'!$C:$FA,154)*100</f>
        <v>42.63</v>
      </c>
      <c r="F25" s="173">
        <f>C25/B25</f>
        <v>0.4172077371202928</v>
      </c>
    </row>
    <row r="26" spans="1:6" x14ac:dyDescent="0.25">
      <c r="A26" s="99" t="s">
        <v>176</v>
      </c>
      <c r="B26" s="49">
        <v>65784745</v>
      </c>
      <c r="C26" s="49">
        <v>18456000</v>
      </c>
      <c r="D26" s="49">
        <v>10917120.5523325</v>
      </c>
      <c r="E26" s="50">
        <f>VLOOKUP($A26,'Data shares'!$C:$FA,154)*100</f>
        <v>28.449999999999996</v>
      </c>
      <c r="F26" s="173">
        <f>C26/B26</f>
        <v>0.28055136490990429</v>
      </c>
    </row>
    <row r="27" spans="1:6" x14ac:dyDescent="0.25">
      <c r="A27" s="99" t="s">
        <v>689</v>
      </c>
      <c r="B27" s="49">
        <v>5401993</v>
      </c>
      <c r="C27" s="49">
        <v>400150</v>
      </c>
      <c r="D27" s="49">
        <v>260893.48600899999</v>
      </c>
      <c r="E27" s="50"/>
      <c r="F27" s="173">
        <f>C27/B27</f>
        <v>7.4074512869602011E-2</v>
      </c>
    </row>
    <row r="28" spans="1:6" x14ac:dyDescent="0.25">
      <c r="A28" s="99" t="s">
        <v>177</v>
      </c>
      <c r="B28" s="49">
        <v>387962395</v>
      </c>
      <c r="C28" s="49">
        <v>109749000</v>
      </c>
      <c r="D28" s="49">
        <v>69789463.673295006</v>
      </c>
      <c r="E28" s="50">
        <f>VLOOKUP($A28,'Data shares'!$C:$FA,154)*100</f>
        <v>28.970000000000002</v>
      </c>
      <c r="F28" s="173">
        <f>C28/B28</f>
        <v>0.28288566473046955</v>
      </c>
    </row>
    <row r="29" spans="1:6" x14ac:dyDescent="0.25">
      <c r="A29" s="99" t="s">
        <v>179</v>
      </c>
      <c r="B29" s="49">
        <v>145616308</v>
      </c>
      <c r="C29" s="49">
        <v>137196000</v>
      </c>
      <c r="D29" s="49">
        <v>79295078.064132005</v>
      </c>
      <c r="E29" s="50">
        <f>VLOOKUP($A29,'Data shares'!$C:$FA,154)*100</f>
        <v>94.92</v>
      </c>
      <c r="F29" s="173">
        <f>C29/B29</f>
        <v>0.94217469103803952</v>
      </c>
    </row>
    <row r="30" spans="1:6" x14ac:dyDescent="0.25">
      <c r="A30" s="99" t="s">
        <v>180</v>
      </c>
      <c r="B30" s="49">
        <v>279476623</v>
      </c>
      <c r="C30" s="49">
        <v>201696300</v>
      </c>
      <c r="D30" s="49">
        <v>97111833.483775496</v>
      </c>
      <c r="E30" s="50">
        <f>VLOOKUP($A30,'Data shares'!$C:$FA,154)*100</f>
        <v>73.180000000000007</v>
      </c>
      <c r="F30" s="173">
        <f>C30/B30</f>
        <v>0.72169291955413384</v>
      </c>
    </row>
    <row r="31" spans="1:6" x14ac:dyDescent="0.25">
      <c r="A31" s="99" t="s">
        <v>601</v>
      </c>
      <c r="B31" s="49">
        <v>181770921</v>
      </c>
      <c r="C31" s="49">
        <v>104733200</v>
      </c>
      <c r="D31" s="49">
        <v>48217343.797115996</v>
      </c>
      <c r="E31" s="50">
        <f>VLOOKUP($A31,'Data shares'!$C:$FA,154)*100</f>
        <v>58.230000000000004</v>
      </c>
      <c r="F31" s="173">
        <f>C31/B31</f>
        <v>0.57618236967617054</v>
      </c>
    </row>
    <row r="32" spans="1:6" x14ac:dyDescent="0.25">
      <c r="A32" s="99" t="s">
        <v>669</v>
      </c>
      <c r="B32" s="49">
        <v>13786716</v>
      </c>
      <c r="C32" s="49">
        <v>10744650</v>
      </c>
      <c r="D32" s="49">
        <v>3053967.8624559999</v>
      </c>
      <c r="E32" s="50">
        <f>VLOOKUP($A32,'Data shares'!$C:$FA,154)*100</f>
        <v>79.91</v>
      </c>
      <c r="F32" s="173">
        <f>C32/B32</f>
        <v>0.77934803328073199</v>
      </c>
    </row>
    <row r="33" spans="1:6" x14ac:dyDescent="0.25">
      <c r="A33" s="99" t="s">
        <v>185</v>
      </c>
      <c r="B33" s="49">
        <v>535778534</v>
      </c>
      <c r="C33" s="49">
        <v>185311275</v>
      </c>
      <c r="D33" s="49">
        <v>98840017.870295197</v>
      </c>
      <c r="E33" s="50">
        <f>VLOOKUP($A33,'Data shares'!$C:$FA,154)*100</f>
        <v>35.099999999999994</v>
      </c>
      <c r="F33" s="173">
        <f>C33/B33</f>
        <v>0.34587289941705651</v>
      </c>
    </row>
    <row r="34" spans="1:6" x14ac:dyDescent="0.25">
      <c r="A34" s="99" t="s">
        <v>187</v>
      </c>
      <c r="B34" s="49">
        <v>40107751</v>
      </c>
      <c r="C34" s="49">
        <v>15638000</v>
      </c>
      <c r="D34" s="49">
        <v>8006644.3265450001</v>
      </c>
      <c r="E34" s="50">
        <f>VLOOKUP($A34,'Data shares'!$C:$FA,154)*100</f>
        <v>40.11</v>
      </c>
      <c r="F34" s="173">
        <f>C34/B34</f>
        <v>0.38989969794117851</v>
      </c>
    </row>
    <row r="35" spans="1:6" x14ac:dyDescent="0.25">
      <c r="A35" s="99" t="s">
        <v>189</v>
      </c>
      <c r="B35" s="49">
        <v>342859930</v>
      </c>
      <c r="C35" s="49">
        <v>83133075</v>
      </c>
      <c r="D35" s="49">
        <v>60104351.001594201</v>
      </c>
      <c r="E35" s="50">
        <f>VLOOKUP($A35,'Data shares'!$C:$FA,154)*100</f>
        <v>24.58</v>
      </c>
      <c r="F35" s="173">
        <f>C35/B35</f>
        <v>0.24246949767504181</v>
      </c>
    </row>
    <row r="36" spans="1:6" x14ac:dyDescent="0.25">
      <c r="A36" s="99" t="s">
        <v>190</v>
      </c>
      <c r="B36" s="49">
        <v>192361942</v>
      </c>
      <c r="C36" s="49">
        <v>206017875</v>
      </c>
      <c r="D36" s="49">
        <v>98895302.408490002</v>
      </c>
      <c r="E36" s="50">
        <f>VLOOKUP($A36,'Data shares'!$C:$FA,154)*100</f>
        <v>109.28999999999999</v>
      </c>
      <c r="F36" s="173">
        <f>C36/B36</f>
        <v>1.0709908252017959</v>
      </c>
    </row>
    <row r="37" spans="1:6" x14ac:dyDescent="0.25">
      <c r="A37" s="99" t="s">
        <v>191</v>
      </c>
      <c r="B37" s="49">
        <v>108004143</v>
      </c>
      <c r="C37" s="49">
        <v>73827500</v>
      </c>
      <c r="D37" s="49">
        <v>32764760.715950001</v>
      </c>
      <c r="E37" s="50">
        <f>VLOOKUP($A37,'Data shares'!$C:$FA,154)*100</f>
        <v>69.62</v>
      </c>
      <c r="F37" s="173">
        <f>C37/B37</f>
        <v>0.68356174077507381</v>
      </c>
    </row>
    <row r="38" spans="1:6" x14ac:dyDescent="0.25">
      <c r="A38" s="99" t="s">
        <v>677</v>
      </c>
      <c r="B38" s="49">
        <v>15745076</v>
      </c>
      <c r="C38" s="49">
        <v>6298825</v>
      </c>
      <c r="D38" s="49">
        <v>2310919.1022742498</v>
      </c>
      <c r="E38" s="50">
        <f>VLOOKUP($A38,'Data shares'!$C:$FA,154)*100</f>
        <v>40.869999999999997</v>
      </c>
      <c r="F38" s="173">
        <f>C38/B38</f>
        <v>0.40005046657126331</v>
      </c>
    </row>
    <row r="39" spans="1:6" x14ac:dyDescent="0.25">
      <c r="A39" s="99" t="s">
        <v>192</v>
      </c>
      <c r="B39" s="49">
        <v>868841</v>
      </c>
      <c r="C39" s="49">
        <v>696525</v>
      </c>
      <c r="D39" s="49">
        <v>250752.19352224999</v>
      </c>
      <c r="E39" s="50">
        <f>VLOOKUP($A39,'Data shares'!$C:$FA,154)*100</f>
        <v>81.39</v>
      </c>
      <c r="F39" s="173">
        <f>C39/B39</f>
        <v>0.80167142204384922</v>
      </c>
    </row>
    <row r="40" spans="1:6" x14ac:dyDescent="0.25">
      <c r="A40" s="99" t="s">
        <v>194</v>
      </c>
      <c r="B40" s="49">
        <v>306020745</v>
      </c>
      <c r="C40" s="49">
        <v>106120700</v>
      </c>
      <c r="D40" s="49">
        <v>51738335.967877001</v>
      </c>
      <c r="E40" s="50">
        <f>VLOOKUP($A40,'Data shares'!$C:$FA,154)*100</f>
        <v>35.28</v>
      </c>
      <c r="F40" s="173">
        <f>C40/B40</f>
        <v>0.34677616381856724</v>
      </c>
    </row>
    <row r="41" spans="1:6" x14ac:dyDescent="0.25">
      <c r="A41" s="99" t="s">
        <v>195</v>
      </c>
      <c r="B41" s="49">
        <v>14553559</v>
      </c>
      <c r="C41" s="49">
        <v>4622375</v>
      </c>
      <c r="D41" s="49">
        <v>2968334.9207525002</v>
      </c>
      <c r="E41" s="50">
        <f>VLOOKUP($A41,'Data shares'!$C:$FA,154)*100</f>
        <v>32.39</v>
      </c>
      <c r="F41" s="173">
        <f>C41/B41</f>
        <v>0.31761131418095051</v>
      </c>
    </row>
    <row r="42" spans="1:6" x14ac:dyDescent="0.25">
      <c r="A42" s="99" t="s">
        <v>583</v>
      </c>
      <c r="B42" s="49">
        <v>61182611</v>
      </c>
      <c r="C42" s="49">
        <v>24242625</v>
      </c>
      <c r="D42" s="49">
        <v>8839707.2266949993</v>
      </c>
      <c r="E42" s="50">
        <f>VLOOKUP($A42,'Data shares'!$C:$FA,154)*100</f>
        <v>41.75</v>
      </c>
      <c r="F42" s="173">
        <f>C42/B42</f>
        <v>0.39623390704917777</v>
      </c>
    </row>
    <row r="43" spans="1:6" x14ac:dyDescent="0.25">
      <c r="A43" s="99" t="s">
        <v>610</v>
      </c>
      <c r="B43" s="49">
        <v>37147595</v>
      </c>
      <c r="C43" s="49">
        <v>14304750</v>
      </c>
      <c r="D43" s="49">
        <v>6075686.9033025</v>
      </c>
      <c r="E43" s="50">
        <f>VLOOKUP($A43,'Data shares'!$C:$FA,154)*100</f>
        <v>39.24</v>
      </c>
      <c r="F43" s="173">
        <f>C43/B43</f>
        <v>0.38507876485678277</v>
      </c>
    </row>
    <row r="44" spans="1:6" x14ac:dyDescent="0.25">
      <c r="A44" s="99" t="s">
        <v>196</v>
      </c>
      <c r="B44" s="49">
        <v>504315430</v>
      </c>
      <c r="C44" s="49">
        <v>369515250</v>
      </c>
      <c r="D44" s="49">
        <v>193314055.17577499</v>
      </c>
      <c r="E44" s="50">
        <f>VLOOKUP($A44,'Data shares'!$C:$FA,154)*100</f>
        <v>74.739999999999995</v>
      </c>
      <c r="F44" s="173">
        <f>C44/B44</f>
        <v>0.73270661181237307</v>
      </c>
    </row>
    <row r="45" spans="1:6" x14ac:dyDescent="0.25">
      <c r="A45" s="99" t="s">
        <v>596</v>
      </c>
      <c r="B45" s="49">
        <v>26647500</v>
      </c>
      <c r="C45" s="49">
        <v>23052700</v>
      </c>
      <c r="D45" s="49">
        <v>8723301.8075777497</v>
      </c>
      <c r="E45" s="50">
        <f>VLOOKUP($A45,'Data shares'!$C:$FA,154)*100</f>
        <v>89.66</v>
      </c>
      <c r="F45" s="173">
        <f>C45/B45</f>
        <v>0.86509803921568629</v>
      </c>
    </row>
    <row r="46" spans="1:6" x14ac:dyDescent="0.25">
      <c r="A46" s="99" t="s">
        <v>611</v>
      </c>
      <c r="B46" s="49">
        <v>103080397</v>
      </c>
      <c r="C46" s="49">
        <v>31463600</v>
      </c>
      <c r="D46" s="49">
        <v>20389983.617195498</v>
      </c>
      <c r="E46" s="50">
        <f>VLOOKUP($A46,'Data shares'!$C:$FA,154)*100</f>
        <v>30.819999999999997</v>
      </c>
      <c r="F46" s="173">
        <f>C46/B46</f>
        <v>0.30523359354155377</v>
      </c>
    </row>
    <row r="47" spans="1:6" x14ac:dyDescent="0.25">
      <c r="A47" s="99" t="s">
        <v>198</v>
      </c>
      <c r="B47" s="49">
        <v>63646863</v>
      </c>
      <c r="C47" s="49">
        <v>28498750</v>
      </c>
      <c r="D47" s="49">
        <v>18832936.828731202</v>
      </c>
      <c r="E47" s="50">
        <f>VLOOKUP($A47,'Data shares'!$C:$FA,154)*100</f>
        <v>45.269999999999996</v>
      </c>
      <c r="F47" s="173">
        <f>C47/B47</f>
        <v>0.44776362347976206</v>
      </c>
    </row>
    <row r="48" spans="1:6" x14ac:dyDescent="0.25">
      <c r="A48" s="99" t="s">
        <v>199</v>
      </c>
      <c r="B48" s="49">
        <v>76385219</v>
      </c>
      <c r="C48" s="49">
        <v>25643625</v>
      </c>
      <c r="D48" s="49">
        <v>15870523.990425</v>
      </c>
      <c r="E48" s="50">
        <f>VLOOKUP($A48,'Data shares'!$C:$FA,154)*100</f>
        <v>33.92</v>
      </c>
      <c r="F48" s="173">
        <f>C48/B48</f>
        <v>0.33571449209303178</v>
      </c>
    </row>
    <row r="49" spans="1:6" x14ac:dyDescent="0.25">
      <c r="A49" s="99" t="s">
        <v>200</v>
      </c>
      <c r="B49" s="49">
        <v>320531323</v>
      </c>
      <c r="C49" s="49">
        <v>127967850</v>
      </c>
      <c r="D49" s="49">
        <v>60645928.440518998</v>
      </c>
      <c r="E49" s="50">
        <f>VLOOKUP($A49,'Data shares'!$C:$FA,154)*100</f>
        <v>40.68</v>
      </c>
      <c r="F49" s="173">
        <f>C49/B49</f>
        <v>0.39923664496277639</v>
      </c>
    </row>
    <row r="50" spans="1:6" x14ac:dyDescent="0.25">
      <c r="A50" s="99" t="s">
        <v>696</v>
      </c>
      <c r="B50" s="49">
        <v>12661431</v>
      </c>
      <c r="C50" s="49">
        <v>3811600</v>
      </c>
      <c r="D50" s="49">
        <v>1558017.4857320001</v>
      </c>
      <c r="E50" s="50">
        <f>VLOOKUP($A50,'Data shares'!$C:$FA,154)*100</f>
        <v>30.659999999999997</v>
      </c>
      <c r="F50" s="173">
        <f>C50/B50</f>
        <v>0.3010402220728447</v>
      </c>
    </row>
    <row r="51" spans="1:6" x14ac:dyDescent="0.25">
      <c r="A51" s="99" t="s">
        <v>470</v>
      </c>
      <c r="B51" s="49">
        <v>50256271</v>
      </c>
      <c r="C51" s="49">
        <v>34065750</v>
      </c>
      <c r="D51" s="49">
        <v>19174497.441225</v>
      </c>
      <c r="E51" s="50"/>
      <c r="F51" s="173">
        <f>C51/B51</f>
        <v>0.67784078130269554</v>
      </c>
    </row>
    <row r="52" spans="1:6" x14ac:dyDescent="0.25">
      <c r="A52" s="99" t="s">
        <v>201</v>
      </c>
      <c r="B52" s="49">
        <v>19054573</v>
      </c>
      <c r="C52" s="49">
        <v>9695025</v>
      </c>
      <c r="D52" s="49">
        <v>5044970.0411055004</v>
      </c>
      <c r="E52" s="50"/>
      <c r="F52" s="173">
        <f>C52/B52</f>
        <v>0.50880305740779397</v>
      </c>
    </row>
    <row r="53" spans="1:6" x14ac:dyDescent="0.25">
      <c r="A53" s="99" t="s">
        <v>202</v>
      </c>
      <c r="B53" s="49">
        <v>51639257</v>
      </c>
      <c r="C53" s="49">
        <v>38867500</v>
      </c>
      <c r="D53" s="49">
        <v>22943114.640412498</v>
      </c>
      <c r="E53" s="50">
        <f>VLOOKUP($A53,'Data shares'!$C:$FA,154)*100</f>
        <v>75.929999999999993</v>
      </c>
      <c r="F53" s="173">
        <f>C53/B53</f>
        <v>0.7526734941209553</v>
      </c>
    </row>
    <row r="54" spans="1:6" x14ac:dyDescent="0.25">
      <c r="A54" s="99" t="s">
        <v>523</v>
      </c>
      <c r="B54" s="49">
        <v>96587231</v>
      </c>
      <c r="C54" s="49">
        <v>64045800</v>
      </c>
      <c r="D54" s="49">
        <v>40285945.343358003</v>
      </c>
      <c r="E54" s="50">
        <f>VLOOKUP($A54,'Data shares'!$C:$FA,154)*100</f>
        <v>66.759999999999991</v>
      </c>
      <c r="F54" s="173">
        <f>C54/B54</f>
        <v>0.66308764975362011</v>
      </c>
    </row>
    <row r="55" spans="1:6" x14ac:dyDescent="0.25">
      <c r="A55" s="99" t="s">
        <v>203</v>
      </c>
      <c r="B55" s="49">
        <v>20374200</v>
      </c>
      <c r="C55" s="49">
        <v>6420200</v>
      </c>
      <c r="D55" s="49">
        <v>3917764.410222</v>
      </c>
      <c r="E55" s="50">
        <f>VLOOKUP($A55,'Data shares'!$C:$FA,154)*100</f>
        <v>32.04</v>
      </c>
      <c r="F55" s="173">
        <f>C55/B55</f>
        <v>0.31511421307339677</v>
      </c>
    </row>
    <row r="56" spans="1:6" x14ac:dyDescent="0.25">
      <c r="A56" s="99" t="s">
        <v>204</v>
      </c>
      <c r="B56" s="49">
        <v>76827821</v>
      </c>
      <c r="C56" s="49">
        <v>48813750</v>
      </c>
      <c r="D56" s="49">
        <v>28497134.771575</v>
      </c>
      <c r="E56" s="50">
        <f>VLOOKUP($A56,'Data shares'!$C:$FA,154)*100</f>
        <v>63.870000000000005</v>
      </c>
      <c r="F56" s="173">
        <f>C56/B56</f>
        <v>0.63536554030342729</v>
      </c>
    </row>
    <row r="57" spans="1:6" x14ac:dyDescent="0.25">
      <c r="A57" s="99" t="s">
        <v>524</v>
      </c>
      <c r="B57" s="49">
        <v>12425160</v>
      </c>
      <c r="C57" s="49">
        <v>4492475</v>
      </c>
      <c r="D57" s="49">
        <v>2327573.7581232502</v>
      </c>
      <c r="E57" s="50">
        <f>VLOOKUP($A57,'Data shares'!$C:$FA,154)*100</f>
        <v>36.43</v>
      </c>
      <c r="F57" s="173">
        <f>C57/B57</f>
        <v>0.36156274848774583</v>
      </c>
    </row>
    <row r="58" spans="1:6" x14ac:dyDescent="0.25">
      <c r="A58" s="99" t="s">
        <v>599</v>
      </c>
      <c r="B58" s="49">
        <v>83072620</v>
      </c>
      <c r="C58" s="49">
        <v>51789925</v>
      </c>
      <c r="D58" s="49">
        <v>31538488.232335199</v>
      </c>
      <c r="E58" s="50">
        <f>VLOOKUP($A58,'Data shares'!$C:$FA,154)*100</f>
        <v>63.65</v>
      </c>
      <c r="F58" s="173">
        <f>C58/B58</f>
        <v>0.62342953671137369</v>
      </c>
    </row>
    <row r="59" spans="1:6" x14ac:dyDescent="0.25">
      <c r="A59" s="99" t="s">
        <v>205</v>
      </c>
      <c r="B59" s="49">
        <v>15815194</v>
      </c>
      <c r="C59" s="49">
        <v>4372300</v>
      </c>
      <c r="D59" s="49">
        <v>2538917.1577929999</v>
      </c>
      <c r="E59" s="50">
        <f>VLOOKUP($A59,'Data shares'!$C:$FA,154)*100</f>
        <v>27.839999999999996</v>
      </c>
      <c r="F59" s="173">
        <f>C59/B59</f>
        <v>0.27646198965374691</v>
      </c>
    </row>
    <row r="60" spans="1:6" x14ac:dyDescent="0.25">
      <c r="A60" s="99" t="s">
        <v>512</v>
      </c>
      <c r="B60" s="49">
        <v>6478285</v>
      </c>
      <c r="C60" s="49">
        <v>6298350</v>
      </c>
      <c r="D60" s="49">
        <v>2317767.9893804998</v>
      </c>
      <c r="E60" s="50">
        <f>VLOOKUP($A60,'Data shares'!$C:$FA,154)*100</f>
        <v>101.64</v>
      </c>
      <c r="F60" s="173">
        <f>C60/B60</f>
        <v>0.97222490211529744</v>
      </c>
    </row>
    <row r="61" spans="1:6" x14ac:dyDescent="0.25">
      <c r="A61" s="99" t="s">
        <v>207</v>
      </c>
      <c r="B61" s="49">
        <v>96251298</v>
      </c>
      <c r="C61" s="49">
        <v>72346725</v>
      </c>
      <c r="D61" s="49">
        <v>46137464.563236699</v>
      </c>
      <c r="E61" s="50"/>
      <c r="F61" s="173">
        <f>C61/B61</f>
        <v>0.75164414925604428</v>
      </c>
    </row>
    <row r="62" spans="1:6" x14ac:dyDescent="0.25">
      <c r="A62" s="99" t="s">
        <v>582</v>
      </c>
      <c r="B62" s="49">
        <v>16494391</v>
      </c>
      <c r="C62" s="49">
        <v>7012500</v>
      </c>
      <c r="D62" s="49">
        <v>3505624.1628315002</v>
      </c>
      <c r="E62" s="50"/>
      <c r="F62" s="173">
        <f>C62/B62</f>
        <v>0.42514452337161157</v>
      </c>
    </row>
    <row r="63" spans="1:6" x14ac:dyDescent="0.25">
      <c r="A63" s="99" t="s">
        <v>208</v>
      </c>
      <c r="B63" s="49">
        <v>61026255</v>
      </c>
      <c r="C63" s="49">
        <v>36550000</v>
      </c>
      <c r="D63" s="49">
        <v>15190806.0582937</v>
      </c>
      <c r="E63" s="50">
        <f>VLOOKUP($A63,'Data shares'!$C:$FA,154)*100</f>
        <v>62.22</v>
      </c>
      <c r="F63" s="173">
        <f>C63/B63</f>
        <v>0.59892254571413561</v>
      </c>
    </row>
    <row r="64" spans="1:6" x14ac:dyDescent="0.25">
      <c r="A64" s="99" t="s">
        <v>209</v>
      </c>
      <c r="B64" s="49">
        <v>20960143</v>
      </c>
      <c r="C64" s="49">
        <v>7345200</v>
      </c>
      <c r="D64" s="49">
        <v>3879574.8525100001</v>
      </c>
      <c r="E64" s="50">
        <f>VLOOKUP($A64,'Data shares'!$C:$FA,154)*100</f>
        <v>35.54</v>
      </c>
      <c r="F64" s="173">
        <f>C64/B64</f>
        <v>0.35043654043772504</v>
      </c>
    </row>
    <row r="65" spans="1:6" x14ac:dyDescent="0.25">
      <c r="A65" s="99" t="s">
        <v>665</v>
      </c>
      <c r="B65" s="49">
        <v>1366821859</v>
      </c>
      <c r="C65" s="49">
        <v>292891500</v>
      </c>
      <c r="D65" s="49">
        <v>174800800.85730699</v>
      </c>
      <c r="E65" s="50">
        <f>VLOOKUP($A65,'Data shares'!$C:$FA,154)*100</f>
        <v>21.68</v>
      </c>
      <c r="F65" s="173">
        <f>C65/B65</f>
        <v>0.21428652027432932</v>
      </c>
    </row>
    <row r="66" spans="1:6" x14ac:dyDescent="0.25">
      <c r="A66" s="99" t="s">
        <v>211</v>
      </c>
      <c r="B66" s="49">
        <v>50211048</v>
      </c>
      <c r="C66" s="49">
        <v>65007000</v>
      </c>
      <c r="D66" s="49">
        <v>21129268.043862</v>
      </c>
      <c r="E66" s="50"/>
      <c r="F66" s="173">
        <f>C66/B66</f>
        <v>1.2946752276510938</v>
      </c>
    </row>
    <row r="67" spans="1:6" x14ac:dyDescent="0.25">
      <c r="A67" s="99" t="s">
        <v>212</v>
      </c>
      <c r="B67" s="49">
        <v>359450597</v>
      </c>
      <c r="C67" s="49">
        <v>147700000</v>
      </c>
      <c r="D67" s="49">
        <v>74316648.244299993</v>
      </c>
      <c r="E67" s="50">
        <f>VLOOKUP($A67,'Data shares'!$C:$FA,154)*100</f>
        <v>42.27</v>
      </c>
      <c r="F67" s="173">
        <f>C67/B67</f>
        <v>0.41090486768617052</v>
      </c>
    </row>
    <row r="68" spans="1:6" x14ac:dyDescent="0.25">
      <c r="A68" s="99" t="s">
        <v>700</v>
      </c>
      <c r="B68" s="49">
        <v>736885</v>
      </c>
      <c r="C68" s="49">
        <v>306325</v>
      </c>
      <c r="D68" s="49">
        <v>127180.60220150001</v>
      </c>
      <c r="E68" s="50">
        <f>VLOOKUP($A68,'Data shares'!$C:$FA,154)*100</f>
        <v>42.51</v>
      </c>
      <c r="F68" s="173">
        <f>C68/B68</f>
        <v>0.41570258588517883</v>
      </c>
    </row>
    <row r="69" spans="1:6" x14ac:dyDescent="0.25">
      <c r="A69" s="99" t="s">
        <v>675</v>
      </c>
      <c r="B69" s="49">
        <v>70894446</v>
      </c>
      <c r="C69" s="49">
        <v>14892400</v>
      </c>
      <c r="D69" s="49">
        <v>9822902.8976247497</v>
      </c>
      <c r="E69" s="50">
        <f>VLOOKUP($A69,'Data shares'!$C:$FA,154)*100</f>
        <v>21.37</v>
      </c>
      <c r="F69" s="173">
        <f>C69/B69</f>
        <v>0.21006441040529467</v>
      </c>
    </row>
    <row r="70" spans="1:6" x14ac:dyDescent="0.25">
      <c r="A70" s="99" t="s">
        <v>213</v>
      </c>
      <c r="B70" s="49">
        <v>471255857</v>
      </c>
      <c r="C70" s="49">
        <v>142474500</v>
      </c>
      <c r="D70" s="49">
        <v>73316358.813725993</v>
      </c>
      <c r="E70" s="50">
        <f>VLOOKUP($A70,'Data shares'!$C:$FA,154)*100</f>
        <v>30.490000000000002</v>
      </c>
      <c r="F70" s="173">
        <f>C70/B70</f>
        <v>0.30232939895323147</v>
      </c>
    </row>
    <row r="71" spans="1:6" x14ac:dyDescent="0.25">
      <c r="A71" s="99" t="s">
        <v>214</v>
      </c>
      <c r="B71" s="49">
        <v>15844372</v>
      </c>
      <c r="C71" s="49">
        <v>14605875</v>
      </c>
      <c r="D71" s="49">
        <v>10262599.9806787</v>
      </c>
      <c r="E71" s="50">
        <f>VLOOKUP($A71,'Data shares'!$C:$FA,154)*100</f>
        <v>92.92</v>
      </c>
      <c r="F71" s="173">
        <f>C71/B71</f>
        <v>0.9218336327877179</v>
      </c>
    </row>
    <row r="72" spans="1:6" x14ac:dyDescent="0.25">
      <c r="A72" s="99" t="s">
        <v>630</v>
      </c>
      <c r="B72" s="49">
        <v>534704421</v>
      </c>
      <c r="C72" s="49">
        <v>226861875</v>
      </c>
      <c r="D72" s="49">
        <v>127267183.303404</v>
      </c>
      <c r="E72" s="50">
        <f>VLOOKUP($A72,'Data shares'!$C:$FA,154)*100</f>
        <v>42.809999999999995</v>
      </c>
      <c r="F72" s="173">
        <f>C72/B72</f>
        <v>0.42427529320914292</v>
      </c>
    </row>
    <row r="73" spans="1:6" x14ac:dyDescent="0.25">
      <c r="A73" s="99" t="s">
        <v>699</v>
      </c>
      <c r="B73" s="49">
        <v>6329596</v>
      </c>
      <c r="C73" s="49">
        <v>2796200</v>
      </c>
      <c r="D73" s="49">
        <v>1059962.526942</v>
      </c>
      <c r="E73" s="50">
        <f>VLOOKUP($A73,'Data shares'!$C:$FA,154)*100</f>
        <v>45.97</v>
      </c>
      <c r="F73" s="173">
        <f>C73/B73</f>
        <v>0.44176595157100074</v>
      </c>
    </row>
    <row r="74" spans="1:6" x14ac:dyDescent="0.25">
      <c r="A74" s="99" t="s">
        <v>217</v>
      </c>
      <c r="B74" s="49">
        <v>53250524</v>
      </c>
      <c r="C74" s="49">
        <v>16341500</v>
      </c>
      <c r="D74" s="49">
        <v>12661950.376724999</v>
      </c>
      <c r="E74" s="50">
        <f>VLOOKUP($A74,'Data shares'!$C:$FA,154)*100</f>
        <v>30.86</v>
      </c>
      <c r="F74" s="173">
        <f>C74/B74</f>
        <v>0.3068796092973658</v>
      </c>
    </row>
    <row r="75" spans="1:6" x14ac:dyDescent="0.25">
      <c r="A75" s="99" t="s">
        <v>218</v>
      </c>
      <c r="B75" s="49">
        <v>23870110</v>
      </c>
      <c r="C75" s="49">
        <v>14149025</v>
      </c>
      <c r="D75" s="49">
        <v>7492840.2940269997</v>
      </c>
      <c r="E75" s="50">
        <f>VLOOKUP($A75,'Data shares'!$C:$FA,154)*100</f>
        <v>59.99</v>
      </c>
      <c r="F75" s="173">
        <f>C75/B75</f>
        <v>0.59275072465103851</v>
      </c>
    </row>
    <row r="76" spans="1:6" x14ac:dyDescent="0.25">
      <c r="A76" s="99" t="s">
        <v>219</v>
      </c>
      <c r="B76" s="49">
        <v>38401443</v>
      </c>
      <c r="C76" s="49">
        <v>16964250</v>
      </c>
      <c r="D76" s="49">
        <v>12078931.4007375</v>
      </c>
      <c r="E76" s="50">
        <f>VLOOKUP($A76,'Data shares'!$C:$FA,154)*100</f>
        <v>44.51</v>
      </c>
      <c r="F76" s="173">
        <f>C76/B76</f>
        <v>0.44176074320957159</v>
      </c>
    </row>
    <row r="77" spans="1:6" x14ac:dyDescent="0.25">
      <c r="A77" s="99" t="s">
        <v>513</v>
      </c>
      <c r="B77" s="49">
        <v>28450886</v>
      </c>
      <c r="C77" s="49">
        <v>13884600</v>
      </c>
      <c r="D77" s="49">
        <v>6861657.6326205004</v>
      </c>
      <c r="E77" s="50">
        <f>VLOOKUP($A77,'Data shares'!$C:$FA,154)*100</f>
        <v>49.66</v>
      </c>
      <c r="F77" s="173">
        <f>C77/B77</f>
        <v>0.48801995129431119</v>
      </c>
    </row>
    <row r="78" spans="1:6" x14ac:dyDescent="0.25">
      <c r="A78" s="99" t="s">
        <v>220</v>
      </c>
      <c r="B78" s="49">
        <v>29751886</v>
      </c>
      <c r="C78" s="49">
        <v>30163500</v>
      </c>
      <c r="D78" s="49">
        <v>9915874.2415399998</v>
      </c>
      <c r="E78" s="50">
        <f>VLOOKUP($A78,'Data shares'!$C:$FA,154)*100</f>
        <v>104.91</v>
      </c>
      <c r="F78" s="173">
        <f>C78/B78</f>
        <v>1.0138348876437615</v>
      </c>
    </row>
    <row r="79" spans="1:6" x14ac:dyDescent="0.25">
      <c r="A79" s="99" t="s">
        <v>222</v>
      </c>
      <c r="B79" s="49">
        <v>145140505</v>
      </c>
      <c r="C79" s="49">
        <v>103156200</v>
      </c>
      <c r="D79" s="49">
        <v>46511811.971499003</v>
      </c>
      <c r="E79" s="50"/>
      <c r="F79" s="173">
        <f>C79/B79</f>
        <v>0.71073336833160394</v>
      </c>
    </row>
    <row r="80" spans="1:6" x14ac:dyDescent="0.25">
      <c r="A80" s="99" t="s">
        <v>475</v>
      </c>
      <c r="B80" s="49">
        <v>30592324</v>
      </c>
      <c r="C80" s="49">
        <v>8890200</v>
      </c>
      <c r="D80" s="49">
        <v>5267779.4310299996</v>
      </c>
      <c r="E80" s="50">
        <f>VLOOKUP($A80,'Data shares'!$C:$FA,154)*100</f>
        <v>29.62</v>
      </c>
      <c r="F80" s="173">
        <f>C80/B80</f>
        <v>0.29060230925901542</v>
      </c>
    </row>
    <row r="81" spans="1:6" x14ac:dyDescent="0.25">
      <c r="A81" s="99" t="s">
        <v>224</v>
      </c>
      <c r="B81" s="49">
        <v>1496665645</v>
      </c>
      <c r="C81" s="49">
        <v>483495650</v>
      </c>
      <c r="D81" s="49">
        <v>310621471.84955102</v>
      </c>
      <c r="E81" s="50"/>
      <c r="F81" s="173">
        <f>C81/B81</f>
        <v>0.32304853900752162</v>
      </c>
    </row>
    <row r="82" spans="1:6" x14ac:dyDescent="0.25">
      <c r="A82" s="99" t="s">
        <v>225</v>
      </c>
      <c r="B82" s="49">
        <v>156090005</v>
      </c>
      <c r="C82" s="49">
        <v>75744900</v>
      </c>
      <c r="D82" s="49">
        <v>45877066.989578001</v>
      </c>
      <c r="E82" s="50">
        <f>VLOOKUP($A82,'Data shares'!$C:$FA,154)*100</f>
        <v>49.36</v>
      </c>
      <c r="F82" s="173">
        <f>C82/B82</f>
        <v>0.48526425506873422</v>
      </c>
    </row>
    <row r="83" spans="1:6" x14ac:dyDescent="0.25">
      <c r="A83" s="99" t="s">
        <v>226</v>
      </c>
      <c r="B83" s="49">
        <v>19589014</v>
      </c>
      <c r="C83" s="49">
        <v>8617950</v>
      </c>
      <c r="D83" s="49">
        <v>4315042.3361954996</v>
      </c>
      <c r="E83" s="50">
        <f>VLOOKUP($A83,'Data shares'!$C:$FA,154)*100</f>
        <v>45.33</v>
      </c>
      <c r="F83" s="173">
        <f>C83/B83</f>
        <v>0.43993791622181699</v>
      </c>
    </row>
    <row r="84" spans="1:6" x14ac:dyDescent="0.25">
      <c r="A84" s="99" t="s">
        <v>228</v>
      </c>
      <c r="B84" s="49">
        <v>218611634</v>
      </c>
      <c r="C84" s="49">
        <v>61944400</v>
      </c>
      <c r="D84" s="49">
        <v>35451174.032512002</v>
      </c>
      <c r="E84" s="50">
        <f>VLOOKUP($A84,'Data shares'!$C:$FA,154)*100</f>
        <v>29.07</v>
      </c>
      <c r="F84" s="173">
        <f>C84/B84</f>
        <v>0.28335362975238548</v>
      </c>
    </row>
    <row r="85" spans="1:6" x14ac:dyDescent="0.25">
      <c r="A85" s="99" t="s">
        <v>229</v>
      </c>
      <c r="B85" s="49">
        <v>143933168</v>
      </c>
      <c r="C85" s="49">
        <v>72687375</v>
      </c>
      <c r="D85" s="49">
        <v>35186252.185631201</v>
      </c>
      <c r="E85" s="50">
        <f>VLOOKUP($A85,'Data shares'!$C:$FA,154)*100</f>
        <v>51.61</v>
      </c>
      <c r="F85" s="173">
        <f>C85/B85</f>
        <v>0.50500781723917865</v>
      </c>
    </row>
    <row r="86" spans="1:6" x14ac:dyDescent="0.25">
      <c r="A86" s="99" t="s">
        <v>230</v>
      </c>
      <c r="B86" s="49">
        <v>89517840</v>
      </c>
      <c r="C86" s="49">
        <v>33684600</v>
      </c>
      <c r="D86" s="49">
        <v>17990660.840571001</v>
      </c>
      <c r="E86" s="50">
        <f>VLOOKUP($A86,'Data shares'!$C:$FA,154)*100</f>
        <v>38.129999999999995</v>
      </c>
      <c r="F86" s="173">
        <f>C86/B86</f>
        <v>0.37628924022295446</v>
      </c>
    </row>
    <row r="87" spans="1:6" x14ac:dyDescent="0.25">
      <c r="A87" s="99" t="s">
        <v>666</v>
      </c>
      <c r="B87" s="49">
        <v>241870587</v>
      </c>
      <c r="C87" s="49">
        <v>81406150</v>
      </c>
      <c r="D87" s="49">
        <v>35054265.365108497</v>
      </c>
      <c r="E87" s="50">
        <f>VLOOKUP($A87,'Data shares'!$C:$FA,154)*100</f>
        <v>34.32</v>
      </c>
      <c r="F87" s="173">
        <f>C87/B87</f>
        <v>0.33656903474584116</v>
      </c>
    </row>
    <row r="88" spans="1:6" x14ac:dyDescent="0.25">
      <c r="A88" s="99" t="s">
        <v>607</v>
      </c>
      <c r="B88" s="49">
        <v>75071250</v>
      </c>
      <c r="C88" s="49">
        <v>46581150</v>
      </c>
      <c r="D88" s="49">
        <v>21297726.969873</v>
      </c>
      <c r="E88" s="50"/>
      <c r="F88" s="173">
        <f>C88/B88</f>
        <v>0.62049253209451016</v>
      </c>
    </row>
    <row r="89" spans="1:6" x14ac:dyDescent="0.25">
      <c r="A89" s="99" t="s">
        <v>694</v>
      </c>
      <c r="B89" s="49">
        <v>21329205</v>
      </c>
      <c r="C89" s="49">
        <v>9323875</v>
      </c>
      <c r="D89" s="49">
        <v>6504066.6111932499</v>
      </c>
      <c r="E89" s="50">
        <f>VLOOKUP($A89,'Data shares'!$C:$FA,154)*100</f>
        <v>44.64</v>
      </c>
      <c r="F89" s="173">
        <f>C89/B89</f>
        <v>0.43714123428416579</v>
      </c>
    </row>
    <row r="90" spans="1:6" x14ac:dyDescent="0.25">
      <c r="A90" s="99" t="s">
        <v>232</v>
      </c>
      <c r="B90" s="49">
        <v>668616020</v>
      </c>
      <c r="C90" s="49">
        <v>163349900</v>
      </c>
      <c r="D90" s="49">
        <v>112897115.29695199</v>
      </c>
      <c r="E90" s="50"/>
      <c r="F90" s="173">
        <f>C90/B90</f>
        <v>0.24431047883058502</v>
      </c>
    </row>
    <row r="91" spans="1:6" x14ac:dyDescent="0.25">
      <c r="A91" s="99" t="s">
        <v>472</v>
      </c>
      <c r="B91" s="49">
        <v>27086521</v>
      </c>
      <c r="C91" s="49">
        <v>7609875</v>
      </c>
      <c r="D91" s="49">
        <v>5300378.4462005002</v>
      </c>
      <c r="E91" s="50">
        <f>VLOOKUP($A91,'Data shares'!$C:$FA,154)*100</f>
        <v>28.33</v>
      </c>
      <c r="F91" s="173">
        <f>C91/B91</f>
        <v>0.28094693297821449</v>
      </c>
    </row>
    <row r="92" spans="1:6" x14ac:dyDescent="0.25">
      <c r="A92" s="99" t="s">
        <v>233</v>
      </c>
      <c r="B92" s="49">
        <v>58892926</v>
      </c>
      <c r="C92" s="49">
        <v>33799500</v>
      </c>
      <c r="D92" s="49">
        <v>21130616.995310001</v>
      </c>
      <c r="E92" s="50"/>
      <c r="F92" s="173">
        <f>C92/B92</f>
        <v>0.5739144290436512</v>
      </c>
    </row>
    <row r="93" spans="1:6" x14ac:dyDescent="0.25">
      <c r="A93" s="99" t="s">
        <v>234</v>
      </c>
      <c r="B93" s="49">
        <v>12096038468</v>
      </c>
      <c r="C93" s="49">
        <v>8769982500</v>
      </c>
      <c r="D93" s="49">
        <v>5793493164.2480402</v>
      </c>
      <c r="E93" s="50">
        <f>VLOOKUP($A93,'Data shares'!$C:$FA,154)*100</f>
        <v>73.319999999999993</v>
      </c>
      <c r="F93" s="173">
        <f>C93/B93</f>
        <v>0.72502931626754807</v>
      </c>
    </row>
    <row r="94" spans="1:6" x14ac:dyDescent="0.25">
      <c r="A94" s="99" t="s">
        <v>235</v>
      </c>
      <c r="B94" s="49">
        <v>1101871266</v>
      </c>
      <c r="C94" s="49">
        <v>640577875</v>
      </c>
      <c r="D94" s="49">
        <v>384533437.64123201</v>
      </c>
      <c r="E94" s="50">
        <f>VLOOKUP($A94,'Data shares'!$C:$FA,154)*100</f>
        <v>58.89</v>
      </c>
      <c r="F94" s="173">
        <f>C94/B94</f>
        <v>0.58135455090449739</v>
      </c>
    </row>
    <row r="95" spans="1:6" x14ac:dyDescent="0.25">
      <c r="A95" s="99" t="s">
        <v>514</v>
      </c>
      <c r="B95" s="49">
        <v>133395043</v>
      </c>
      <c r="C95" s="49">
        <v>178331250</v>
      </c>
      <c r="D95" s="49">
        <v>68926865.471475005</v>
      </c>
      <c r="E95" s="50">
        <f>VLOOKUP($A95,'Data shares'!$C:$FA,154)*100</f>
        <v>136.25</v>
      </c>
      <c r="F95" s="173">
        <f>C95/B95</f>
        <v>1.3368656435007109</v>
      </c>
    </row>
    <row r="96" spans="1:6" x14ac:dyDescent="0.25">
      <c r="A96" s="99" t="s">
        <v>501</v>
      </c>
      <c r="B96" s="49">
        <v>123332004</v>
      </c>
      <c r="C96" s="49">
        <v>35024000</v>
      </c>
      <c r="D96" s="49">
        <v>21916334.307629999</v>
      </c>
      <c r="E96" s="50">
        <f>VLOOKUP($A96,'Data shares'!$C:$FA,154)*100</f>
        <v>28.62</v>
      </c>
      <c r="F96" s="173">
        <f>C96/B96</f>
        <v>0.28398143923778291</v>
      </c>
    </row>
    <row r="97" spans="1:6" x14ac:dyDescent="0.25">
      <c r="A97" s="99" t="s">
        <v>577</v>
      </c>
      <c r="B97" s="49">
        <v>52862157</v>
      </c>
      <c r="C97" s="49">
        <v>20442000</v>
      </c>
      <c r="D97" s="49">
        <v>9769554.4830399994</v>
      </c>
      <c r="E97" s="50">
        <f>VLOOKUP($A97,'Data shares'!$C:$FA,154)*100</f>
        <v>39.94</v>
      </c>
      <c r="F97" s="173">
        <f>C97/B97</f>
        <v>0.3867038569765513</v>
      </c>
    </row>
    <row r="98" spans="1:6" x14ac:dyDescent="0.25">
      <c r="A98" s="99" t="s">
        <v>238</v>
      </c>
      <c r="B98" s="49">
        <v>33878797</v>
      </c>
      <c r="C98" s="49">
        <v>17743350</v>
      </c>
      <c r="D98" s="49">
        <v>7080779.5406595003</v>
      </c>
      <c r="E98" s="50">
        <f>VLOOKUP($A98,'Data shares'!$C:$FA,154)*100</f>
        <v>53.49</v>
      </c>
      <c r="F98" s="173">
        <f>C98/B98</f>
        <v>0.52373022572200545</v>
      </c>
    </row>
    <row r="99" spans="1:6" x14ac:dyDescent="0.25">
      <c r="A99" s="99" t="s">
        <v>239</v>
      </c>
      <c r="B99" s="49">
        <v>93808799</v>
      </c>
      <c r="C99" s="49">
        <v>53127900</v>
      </c>
      <c r="D99" s="49">
        <v>34364031.716839999</v>
      </c>
      <c r="E99" s="50">
        <f>VLOOKUP($A99,'Data shares'!$C:$FA,154)*100</f>
        <v>57.85</v>
      </c>
      <c r="F99" s="173">
        <f>C99/B99</f>
        <v>0.5663423960901578</v>
      </c>
    </row>
    <row r="100" spans="1:6" x14ac:dyDescent="0.25">
      <c r="A100" s="99" t="s">
        <v>473</v>
      </c>
      <c r="B100" s="49">
        <v>193625858</v>
      </c>
      <c r="C100" s="49">
        <v>117940900</v>
      </c>
      <c r="D100" s="49">
        <v>71003534.459998995</v>
      </c>
      <c r="E100" s="50">
        <f>VLOOKUP($A100,'Data shares'!$C:$FA,154)*100</f>
        <v>61.91</v>
      </c>
      <c r="F100" s="173">
        <f>C100/B100</f>
        <v>0.60911750743539639</v>
      </c>
    </row>
    <row r="101" spans="1:6" x14ac:dyDescent="0.25">
      <c r="A101" s="99" t="s">
        <v>240</v>
      </c>
      <c r="B101" s="49">
        <v>475237614</v>
      </c>
      <c r="C101" s="49">
        <v>155072400</v>
      </c>
      <c r="D101" s="49">
        <v>82725654.953116</v>
      </c>
      <c r="E101" s="50">
        <f>VLOOKUP($A101,'Data shares'!$C:$FA,154)*100</f>
        <v>33.46</v>
      </c>
      <c r="F101" s="173">
        <f>C101/B101</f>
        <v>0.326304979723259</v>
      </c>
    </row>
    <row r="102" spans="1:6" x14ac:dyDescent="0.25">
      <c r="A102" s="99" t="s">
        <v>667</v>
      </c>
      <c r="B102" s="49">
        <v>144708707</v>
      </c>
      <c r="C102" s="49">
        <v>145742025</v>
      </c>
      <c r="D102" s="49">
        <v>77996981.045554996</v>
      </c>
      <c r="E102" s="50">
        <f>VLOOKUP($A102,'Data shares'!$C:$FA,154)*100</f>
        <v>101.03</v>
      </c>
      <c r="F102" s="173">
        <f>C102/B102</f>
        <v>1.0071406760617383</v>
      </c>
    </row>
    <row r="103" spans="1:6" x14ac:dyDescent="0.25">
      <c r="A103" s="99" t="s">
        <v>241</v>
      </c>
      <c r="B103" s="49">
        <v>684903861</v>
      </c>
      <c r="C103" s="49">
        <v>217390875</v>
      </c>
      <c r="D103" s="49">
        <v>101441710.03824</v>
      </c>
      <c r="E103" s="50">
        <f>VLOOKUP($A103,'Data shares'!$C:$FA,154)*100</f>
        <v>32.090000000000003</v>
      </c>
      <c r="F103" s="173">
        <f>C103/B103</f>
        <v>0.31740348883797576</v>
      </c>
    </row>
    <row r="104" spans="1:6" x14ac:dyDescent="0.25">
      <c r="A104" s="99" t="s">
        <v>663</v>
      </c>
      <c r="B104" s="49">
        <v>119011160</v>
      </c>
      <c r="C104" s="49">
        <v>119735700</v>
      </c>
      <c r="D104" s="49">
        <v>37440954.600015</v>
      </c>
      <c r="E104" s="50">
        <f>VLOOKUP($A104,'Data shares'!$C:$FA,154)*100</f>
        <v>101.84</v>
      </c>
      <c r="F104" s="173">
        <f>C104/B104</f>
        <v>1.006088000486677</v>
      </c>
    </row>
    <row r="105" spans="1:6" x14ac:dyDescent="0.25">
      <c r="A105" s="99" t="s">
        <v>591</v>
      </c>
      <c r="B105" s="49">
        <v>267310350</v>
      </c>
      <c r="C105" s="49">
        <v>149009250</v>
      </c>
      <c r="D105" s="49">
        <v>49950534.355175003</v>
      </c>
      <c r="E105" s="50">
        <f>VLOOKUP($A105,'Data shares'!$C:$FA,154)*100</f>
        <v>57.13</v>
      </c>
      <c r="F105" s="173">
        <f>C105/B105</f>
        <v>0.55743913395048117</v>
      </c>
    </row>
    <row r="106" spans="1:6" x14ac:dyDescent="0.25">
      <c r="A106" s="99" t="s">
        <v>242</v>
      </c>
      <c r="B106" s="49">
        <v>1317896781</v>
      </c>
      <c r="C106" s="49">
        <v>359843200</v>
      </c>
      <c r="D106" s="49">
        <v>184648012.95603201</v>
      </c>
      <c r="E106" s="50">
        <f>VLOOKUP($A106,'Data shares'!$C:$FA,154)*100</f>
        <v>27.76</v>
      </c>
      <c r="F106" s="173">
        <f>C106/B106</f>
        <v>0.27304353814944177</v>
      </c>
    </row>
    <row r="107" spans="1:6" x14ac:dyDescent="0.25">
      <c r="A107" s="99" t="s">
        <v>243</v>
      </c>
      <c r="B107" s="49">
        <v>45844541</v>
      </c>
      <c r="C107" s="49">
        <v>21791250</v>
      </c>
      <c r="D107" s="49">
        <v>12066604.8193937</v>
      </c>
      <c r="E107" s="50">
        <f>VLOOKUP($A107,'Data shares'!$C:$FA,154)*100</f>
        <v>48.15</v>
      </c>
      <c r="F107" s="173">
        <f>C107/B107</f>
        <v>0.47532922185871596</v>
      </c>
    </row>
    <row r="108" spans="1:6" x14ac:dyDescent="0.25">
      <c r="A108" s="99" t="s">
        <v>569</v>
      </c>
      <c r="B108" s="49">
        <v>490240515</v>
      </c>
      <c r="C108" s="49">
        <v>311788600</v>
      </c>
      <c r="D108" s="49">
        <v>175434531.48888499</v>
      </c>
      <c r="E108" s="50">
        <f>VLOOKUP($A108,'Data shares'!$C:$FA,154)*100</f>
        <v>64.649999999999991</v>
      </c>
      <c r="F108" s="173">
        <f>C108/B108</f>
        <v>0.63599109102600382</v>
      </c>
    </row>
    <row r="109" spans="1:6" x14ac:dyDescent="0.25">
      <c r="A109" s="99" t="s">
        <v>579</v>
      </c>
      <c r="B109" s="49">
        <v>75294901</v>
      </c>
      <c r="C109" s="49">
        <v>39757000</v>
      </c>
      <c r="D109" s="49">
        <v>25215740.431570001</v>
      </c>
      <c r="E109" s="50">
        <f>VLOOKUP($A109,'Data shares'!$C:$FA,154)*100</f>
        <v>53.42</v>
      </c>
      <c r="F109" s="173">
        <f>C109/B109</f>
        <v>0.52801716280893973</v>
      </c>
    </row>
    <row r="110" spans="1:6" x14ac:dyDescent="0.25">
      <c r="A110" s="99" t="s">
        <v>244</v>
      </c>
      <c r="B110" s="49">
        <v>133242960</v>
      </c>
      <c r="C110" s="49">
        <v>62265375</v>
      </c>
      <c r="D110" s="49">
        <v>47796689.501808703</v>
      </c>
      <c r="E110" s="50">
        <f>VLOOKUP($A110,'Data shares'!$C:$FA,154)*100</f>
        <v>47.010000000000005</v>
      </c>
      <c r="F110" s="173">
        <f>C110/B110</f>
        <v>0.46730705322067295</v>
      </c>
    </row>
    <row r="111" spans="1:6" x14ac:dyDescent="0.25">
      <c r="A111" s="99" t="s">
        <v>245</v>
      </c>
      <c r="B111" s="49">
        <v>58777851</v>
      </c>
      <c r="C111" s="49">
        <v>73675000</v>
      </c>
      <c r="D111" s="49">
        <v>35850966.459787503</v>
      </c>
      <c r="E111" s="50">
        <f>VLOOKUP($A111,'Data shares'!$C:$FA,154)*100</f>
        <v>127.44</v>
      </c>
      <c r="F111" s="173">
        <f>C111/B111</f>
        <v>1.2534483440029136</v>
      </c>
    </row>
    <row r="112" spans="1:6" x14ac:dyDescent="0.25">
      <c r="A112" s="99" t="s">
        <v>581</v>
      </c>
      <c r="B112" s="49">
        <v>57686748</v>
      </c>
      <c r="C112" s="49">
        <v>47818975</v>
      </c>
      <c r="D112" s="49">
        <v>22333434.3384935</v>
      </c>
      <c r="E112" s="50">
        <f>VLOOKUP($A112,'Data shares'!$C:$FA,154)*100</f>
        <v>83.84</v>
      </c>
      <c r="F112" s="173">
        <f>C112/B112</f>
        <v>0.82894211682724772</v>
      </c>
    </row>
    <row r="113" spans="1:6" x14ac:dyDescent="0.25">
      <c r="A113" s="99" t="s">
        <v>674</v>
      </c>
      <c r="B113" s="49">
        <v>4679418</v>
      </c>
      <c r="C113" s="49">
        <v>6170700</v>
      </c>
      <c r="D113" s="49">
        <v>2612798.651813</v>
      </c>
      <c r="E113" s="50">
        <f>VLOOKUP($A113,'Data shares'!$C:$FA,154)*100</f>
        <v>135.25</v>
      </c>
      <c r="F113" s="173">
        <f>C113/B113</f>
        <v>1.3186896319157639</v>
      </c>
    </row>
    <row r="114" spans="1:6" x14ac:dyDescent="0.25">
      <c r="A114" s="99" t="s">
        <v>609</v>
      </c>
      <c r="B114" s="49">
        <v>9320940</v>
      </c>
      <c r="C114" s="49">
        <v>3533600</v>
      </c>
      <c r="D114" s="49">
        <v>1401567.3922337501</v>
      </c>
      <c r="E114" s="50">
        <f>VLOOKUP($A114,'Data shares'!$C:$FA,154)*100</f>
        <v>39.269999999999996</v>
      </c>
      <c r="F114" s="173">
        <f>C114/B114</f>
        <v>0.37910339515113284</v>
      </c>
    </row>
    <row r="115" spans="1:6" x14ac:dyDescent="0.25">
      <c r="A115" s="99" t="s">
        <v>681</v>
      </c>
      <c r="B115" s="49">
        <v>19953342</v>
      </c>
      <c r="C115" s="49">
        <v>7366500</v>
      </c>
      <c r="D115" s="49">
        <v>2556336.168995</v>
      </c>
      <c r="E115" s="50">
        <f>VLOOKUP($A115,'Data shares'!$C:$FA,154)*100</f>
        <v>38.49</v>
      </c>
      <c r="F115" s="173">
        <f>C115/B115</f>
        <v>0.36918627466015469</v>
      </c>
    </row>
    <row r="116" spans="1:6" x14ac:dyDescent="0.25">
      <c r="A116" s="99" t="s">
        <v>246</v>
      </c>
      <c r="B116" s="49">
        <v>882793124</v>
      </c>
      <c r="C116" s="49">
        <v>299622000</v>
      </c>
      <c r="D116" s="49">
        <v>229207500.3732</v>
      </c>
      <c r="E116" s="50">
        <f>VLOOKUP($A116,'Data shares'!$C:$FA,154)*100</f>
        <v>34.21</v>
      </c>
      <c r="F116" s="173">
        <f>C116/B116</f>
        <v>0.3394022810716863</v>
      </c>
    </row>
    <row r="117" spans="1:6" x14ac:dyDescent="0.25">
      <c r="A117" s="99" t="s">
        <v>576</v>
      </c>
      <c r="B117" s="49">
        <v>24611073</v>
      </c>
      <c r="C117" s="49">
        <v>12559175</v>
      </c>
      <c r="D117" s="49">
        <v>6277702.6829615002</v>
      </c>
      <c r="E117" s="50">
        <f>VLOOKUP($A117,'Data shares'!$C:$FA,154)*100</f>
        <v>51.39</v>
      </c>
      <c r="F117" s="173">
        <f>C117/B117</f>
        <v>0.51030586923211352</v>
      </c>
    </row>
    <row r="118" spans="1:6" x14ac:dyDescent="0.25">
      <c r="A118" s="99" t="s">
        <v>535</v>
      </c>
      <c r="B118" s="49">
        <v>58713729</v>
      </c>
      <c r="C118" s="49">
        <v>28421450</v>
      </c>
      <c r="D118" s="49">
        <v>16193837.774659</v>
      </c>
      <c r="E118" s="50">
        <f>VLOOKUP($A118,'Data shares'!$C:$FA,154)*100</f>
        <v>49.29</v>
      </c>
      <c r="F118" s="173">
        <f>C118/B118</f>
        <v>0.48406821511881831</v>
      </c>
    </row>
    <row r="119" spans="1:6" x14ac:dyDescent="0.25">
      <c r="A119" s="99" t="s">
        <v>248</v>
      </c>
      <c r="B119" s="49">
        <v>45183075</v>
      </c>
      <c r="C119" s="49">
        <v>45585000</v>
      </c>
      <c r="D119" s="49">
        <v>29298412.704300001</v>
      </c>
      <c r="E119" s="50">
        <f>VLOOKUP($A119,'Data shares'!$C:$FA,154)*100</f>
        <v>102.06</v>
      </c>
      <c r="F119" s="173">
        <f>C119/B119</f>
        <v>1.0088954769014724</v>
      </c>
    </row>
    <row r="120" spans="1:6" x14ac:dyDescent="0.25">
      <c r="A120" s="99" t="s">
        <v>606</v>
      </c>
      <c r="B120" s="49">
        <v>33206238</v>
      </c>
      <c r="C120" s="49">
        <v>21478100</v>
      </c>
      <c r="D120" s="49">
        <v>8373254.0189060001</v>
      </c>
      <c r="E120" s="50">
        <f>VLOOKUP($A120,'Data shares'!$C:$FA,154)*100</f>
        <v>65.490000000000009</v>
      </c>
      <c r="F120" s="173">
        <f>C120/B120</f>
        <v>0.64680919289923777</v>
      </c>
    </row>
    <row r="121" spans="1:6" x14ac:dyDescent="0.25">
      <c r="A121" s="99" t="s">
        <v>587</v>
      </c>
      <c r="B121" s="49">
        <v>42165698</v>
      </c>
      <c r="C121" s="49">
        <v>29175750</v>
      </c>
      <c r="D121" s="49">
        <v>16408400.391283499</v>
      </c>
      <c r="E121" s="50">
        <f>VLOOKUP($A121,'Data shares'!$C:$FA,154)*100</f>
        <v>69.87</v>
      </c>
      <c r="F121" s="173">
        <f>C121/B121</f>
        <v>0.69193091502955795</v>
      </c>
    </row>
    <row r="122" spans="1:6" x14ac:dyDescent="0.25">
      <c r="A122" s="99" t="s">
        <v>249</v>
      </c>
      <c r="B122" s="49">
        <v>136099497</v>
      </c>
      <c r="C122" s="49">
        <v>32863425</v>
      </c>
      <c r="D122" s="49">
        <v>15591571.470522201</v>
      </c>
      <c r="E122" s="50">
        <f>VLOOKUP($A122,'Data shares'!$C:$FA,154)*100</f>
        <v>24.68</v>
      </c>
      <c r="F122" s="173">
        <f>C122/B122</f>
        <v>0.24146617529379993</v>
      </c>
    </row>
    <row r="123" spans="1:6" x14ac:dyDescent="0.25">
      <c r="A123" s="99" t="s">
        <v>564</v>
      </c>
      <c r="B123" s="49">
        <v>127514625</v>
      </c>
      <c r="C123" s="49">
        <v>85194000</v>
      </c>
      <c r="D123" s="49">
        <v>34880528.795445003</v>
      </c>
      <c r="E123" s="50">
        <f>VLOOKUP($A123,'Data shares'!$C:$FA,154)*100</f>
        <v>67.94</v>
      </c>
      <c r="F123" s="173">
        <f>C123/B123</f>
        <v>0.66811159896364825</v>
      </c>
    </row>
    <row r="124" spans="1:6" x14ac:dyDescent="0.25">
      <c r="A124" s="99" t="s">
        <v>692</v>
      </c>
      <c r="B124" s="49">
        <v>12564965</v>
      </c>
      <c r="C124" s="49">
        <v>7080150</v>
      </c>
      <c r="D124" s="49">
        <v>3292050.3869714998</v>
      </c>
      <c r="E124" s="50">
        <f>VLOOKUP($A124,'Data shares'!$C:$FA,154)*100</f>
        <v>57.28</v>
      </c>
      <c r="F124" s="173">
        <f>C124/B124</f>
        <v>0.56348346374223879</v>
      </c>
    </row>
    <row r="125" spans="1:6" x14ac:dyDescent="0.25">
      <c r="A125" s="99" t="s">
        <v>250</v>
      </c>
      <c r="B125" s="49">
        <v>32222448</v>
      </c>
      <c r="C125" s="49">
        <v>11831575</v>
      </c>
      <c r="D125" s="49">
        <v>6851339.2495945003</v>
      </c>
      <c r="E125" s="50">
        <f>VLOOKUP($A125,'Data shares'!$C:$FA,154)*100</f>
        <v>37.340000000000003</v>
      </c>
      <c r="F125" s="173">
        <f>C125/B125</f>
        <v>0.36718423752285984</v>
      </c>
    </row>
    <row r="126" spans="1:6" x14ac:dyDescent="0.25">
      <c r="A126" s="99" t="s">
        <v>251</v>
      </c>
      <c r="B126" s="49">
        <v>120808308</v>
      </c>
      <c r="C126" s="49">
        <v>29391600</v>
      </c>
      <c r="D126" s="49">
        <v>20068645.080403998</v>
      </c>
      <c r="E126" s="50">
        <f>VLOOKUP($A126,'Data shares'!$C:$FA,154)*100</f>
        <v>24.79</v>
      </c>
      <c r="F126" s="173">
        <f>C126/B126</f>
        <v>0.24329121470685608</v>
      </c>
    </row>
    <row r="127" spans="1:6" x14ac:dyDescent="0.25">
      <c r="A127" s="99" t="s">
        <v>253</v>
      </c>
      <c r="B127" s="49">
        <v>82205057</v>
      </c>
      <c r="C127" s="49">
        <v>88656000</v>
      </c>
      <c r="D127" s="49">
        <v>50435151.997469999</v>
      </c>
      <c r="E127" s="50">
        <f>VLOOKUP($A127,'Data shares'!$C:$FA,154)*100</f>
        <v>109.94999999999999</v>
      </c>
      <c r="F127" s="173">
        <f>C127/B127</f>
        <v>1.0784737975426499</v>
      </c>
    </row>
    <row r="128" spans="1:6" x14ac:dyDescent="0.25">
      <c r="A128" s="99" t="s">
        <v>670</v>
      </c>
      <c r="B128" s="49">
        <v>16926669</v>
      </c>
      <c r="C128" s="49">
        <v>4931550</v>
      </c>
      <c r="D128" s="49">
        <v>3179641.7074567499</v>
      </c>
      <c r="E128" s="50">
        <f>VLOOKUP($A128,'Data shares'!$C:$FA,154)*100</f>
        <v>29.470000000000002</v>
      </c>
      <c r="F128" s="173">
        <f>C128/B128</f>
        <v>0.2913479314801985</v>
      </c>
    </row>
    <row r="129" spans="1:6" x14ac:dyDescent="0.25">
      <c r="A129" s="99" t="s">
        <v>254</v>
      </c>
      <c r="B129" s="49">
        <v>77572761</v>
      </c>
      <c r="C129" s="49">
        <v>32005200</v>
      </c>
      <c r="D129" s="49">
        <v>22920652.614432</v>
      </c>
      <c r="E129" s="50">
        <f>VLOOKUP($A129,'Data shares'!$C:$FA,154)*100</f>
        <v>41.67</v>
      </c>
      <c r="F129" s="173">
        <f>C129/B129</f>
        <v>0.41258296839531083</v>
      </c>
    </row>
    <row r="130" spans="1:6" x14ac:dyDescent="0.25">
      <c r="A130" s="99" t="s">
        <v>255</v>
      </c>
      <c r="B130" s="49">
        <v>19673414</v>
      </c>
      <c r="C130" s="49">
        <v>6968900</v>
      </c>
      <c r="D130" s="49">
        <v>3578959.9504735</v>
      </c>
      <c r="E130" s="50">
        <f>VLOOKUP($A130,'Data shares'!$C:$FA,154)*100</f>
        <v>36.11</v>
      </c>
      <c r="F130" s="173">
        <f>C130/B130</f>
        <v>0.35422931678253711</v>
      </c>
    </row>
    <row r="131" spans="1:6" x14ac:dyDescent="0.25">
      <c r="A131" s="99" t="s">
        <v>602</v>
      </c>
      <c r="B131" s="49">
        <v>111298748</v>
      </c>
      <c r="C131" s="49">
        <v>20229825</v>
      </c>
      <c r="D131" s="49">
        <v>13676205.959136</v>
      </c>
      <c r="E131" s="50">
        <f>VLOOKUP($A131,'Data shares'!$C:$FA,154)*100</f>
        <v>18.350000000000001</v>
      </c>
      <c r="F131" s="173">
        <f>C131/B131</f>
        <v>0.18176147857476349</v>
      </c>
    </row>
    <row r="132" spans="1:6" x14ac:dyDescent="0.25">
      <c r="A132" s="99" t="s">
        <v>671</v>
      </c>
      <c r="B132" s="49">
        <v>11364224</v>
      </c>
      <c r="C132" s="49">
        <v>11810800</v>
      </c>
      <c r="D132" s="49">
        <v>4210301.5297640003</v>
      </c>
      <c r="E132" s="50">
        <f>VLOOKUP($A132,'Data shares'!$C:$FA,154)*100</f>
        <v>105.33999999999999</v>
      </c>
      <c r="F132" s="173">
        <f>C132/B132</f>
        <v>1.0392966558913306</v>
      </c>
    </row>
    <row r="133" spans="1:6" x14ac:dyDescent="0.25">
      <c r="A133" s="99" t="s">
        <v>517</v>
      </c>
      <c r="B133" s="49">
        <v>38177113</v>
      </c>
      <c r="C133" s="49">
        <v>29957500</v>
      </c>
      <c r="D133" s="49">
        <v>13948305.795587501</v>
      </c>
      <c r="E133" s="50">
        <f>VLOOKUP($A133,'Data shares'!$C:$FA,154)*100</f>
        <v>81.31</v>
      </c>
      <c r="F133" s="173">
        <f>C133/B133</f>
        <v>0.78469788954445041</v>
      </c>
    </row>
    <row r="134" spans="1:6" x14ac:dyDescent="0.25">
      <c r="A134" s="99" t="s">
        <v>257</v>
      </c>
      <c r="B134" s="49">
        <v>35051266</v>
      </c>
      <c r="C134" s="49">
        <v>10720800</v>
      </c>
      <c r="D134" s="49">
        <v>9034772.8172440007</v>
      </c>
      <c r="E134" s="50">
        <f>VLOOKUP($A134,'Data shares'!$C:$FA,154)*100</f>
        <v>30.680000000000003</v>
      </c>
      <c r="F134" s="173">
        <f>C134/B134</f>
        <v>0.30586056435165565</v>
      </c>
    </row>
    <row r="135" spans="1:6" x14ac:dyDescent="0.25">
      <c r="A135" s="99" t="s">
        <v>558</v>
      </c>
      <c r="B135" s="49">
        <v>588447385</v>
      </c>
      <c r="C135" s="49">
        <v>227427000</v>
      </c>
      <c r="D135" s="49">
        <v>123411388.29241</v>
      </c>
      <c r="E135" s="50">
        <f>VLOOKUP($A135,'Data shares'!$C:$FA,154)*100</f>
        <v>39.07</v>
      </c>
      <c r="F135" s="173">
        <f>C135/B135</f>
        <v>0.38648655053501513</v>
      </c>
    </row>
    <row r="136" spans="1:6" x14ac:dyDescent="0.25">
      <c r="A136" s="99" t="s">
        <v>698</v>
      </c>
      <c r="B136" s="49">
        <v>29196111</v>
      </c>
      <c r="C136" s="49">
        <v>5816375</v>
      </c>
      <c r="D136" s="49">
        <v>2350473.0039317501</v>
      </c>
      <c r="E136" s="50">
        <f>VLOOKUP($A136,'Data shares'!$C:$FA,154)*100</f>
        <v>20.69</v>
      </c>
      <c r="F136" s="173">
        <f>C136/B136</f>
        <v>0.19921745742095581</v>
      </c>
    </row>
    <row r="137" spans="1:6" x14ac:dyDescent="0.25">
      <c r="A137" s="99" t="s">
        <v>487</v>
      </c>
      <c r="B137" s="49">
        <v>19838356</v>
      </c>
      <c r="C137" s="49">
        <v>7717325</v>
      </c>
      <c r="D137" s="49">
        <v>4790423.9875717498</v>
      </c>
      <c r="E137" s="50">
        <f>VLOOKUP($A137,'Data shares'!$C:$FA,154)*100</f>
        <v>39.119999999999997</v>
      </c>
      <c r="F137" s="173">
        <f>C137/B137</f>
        <v>0.38901030912037265</v>
      </c>
    </row>
    <row r="138" spans="1:6" x14ac:dyDescent="0.25">
      <c r="A138" s="99" t="s">
        <v>262</v>
      </c>
      <c r="B138" s="49">
        <v>16050690</v>
      </c>
      <c r="C138" s="49">
        <v>7368900</v>
      </c>
      <c r="D138" s="49">
        <v>3690493.7558637499</v>
      </c>
      <c r="E138" s="50">
        <f>VLOOKUP($A138,'Data shares'!$C:$FA,154)*100</f>
        <v>47.349999999999994</v>
      </c>
      <c r="F138" s="173">
        <f>C138/B138</f>
        <v>0.45910175824216903</v>
      </c>
    </row>
    <row r="139" spans="1:6" x14ac:dyDescent="0.25">
      <c r="A139" s="99" t="s">
        <v>486</v>
      </c>
      <c r="B139" s="49">
        <v>26709548</v>
      </c>
      <c r="C139" s="49">
        <v>5168125</v>
      </c>
      <c r="D139" s="49">
        <v>2924036.8420687499</v>
      </c>
      <c r="E139" s="50">
        <f>VLOOKUP($A139,'Data shares'!$C:$FA,154)*100</f>
        <v>19.739999999999998</v>
      </c>
      <c r="F139" s="173">
        <f>C139/B139</f>
        <v>0.19349354021266102</v>
      </c>
    </row>
    <row r="140" spans="1:6" x14ac:dyDescent="0.25">
      <c r="A140" s="99" t="s">
        <v>263</v>
      </c>
      <c r="B140" s="49">
        <v>134225816</v>
      </c>
      <c r="C140" s="49">
        <v>125520000</v>
      </c>
      <c r="D140" s="49">
        <v>52243919.679862499</v>
      </c>
      <c r="E140" s="50">
        <f>VLOOKUP($A140,'Data shares'!$C:$FA,154)*100</f>
        <v>95.46</v>
      </c>
      <c r="F140" s="173">
        <f>C140/B140</f>
        <v>0.93514052468118358</v>
      </c>
    </row>
    <row r="141" spans="1:6" x14ac:dyDescent="0.25">
      <c r="A141" s="99" t="s">
        <v>264</v>
      </c>
      <c r="B141" s="49">
        <v>60562281</v>
      </c>
      <c r="C141" s="49">
        <v>15804750</v>
      </c>
      <c r="D141" s="49">
        <v>9864739.5975375008</v>
      </c>
      <c r="E141" s="50">
        <f>VLOOKUP($A141,'Data shares'!$C:$FA,154)*100</f>
        <v>26.419999999999998</v>
      </c>
      <c r="F141" s="173">
        <f>C141/B141</f>
        <v>0.26096688795456696</v>
      </c>
    </row>
    <row r="142" spans="1:6" x14ac:dyDescent="0.25">
      <c r="A142" s="99" t="s">
        <v>550</v>
      </c>
      <c r="B142" s="49">
        <v>154894704</v>
      </c>
      <c r="C142" s="49">
        <v>117227500</v>
      </c>
      <c r="D142" s="49">
        <v>72002458.005789995</v>
      </c>
      <c r="E142" s="50">
        <f>VLOOKUP($A142,'Data shares'!$C:$FA,154)*100</f>
        <v>76.27000000000001</v>
      </c>
      <c r="F142" s="173">
        <f>C142/B142</f>
        <v>0.75682058180633471</v>
      </c>
    </row>
    <row r="143" spans="1:6" x14ac:dyDescent="0.25">
      <c r="A143" s="99" t="s">
        <v>265</v>
      </c>
      <c r="B143" s="49">
        <v>71801274</v>
      </c>
      <c r="C143" s="49">
        <v>34523500</v>
      </c>
      <c r="D143" s="49">
        <v>18058583.46686</v>
      </c>
      <c r="E143" s="50">
        <f>VLOOKUP($A143,'Data shares'!$C:$FA,154)*100</f>
        <v>49.49</v>
      </c>
      <c r="F143" s="173">
        <f>C143/B143</f>
        <v>0.48082015926346933</v>
      </c>
    </row>
    <row r="144" spans="1:6" x14ac:dyDescent="0.25">
      <c r="A144" s="99" t="s">
        <v>584</v>
      </c>
      <c r="B144" s="49">
        <v>491233252</v>
      </c>
      <c r="C144" s="49">
        <v>156416000</v>
      </c>
      <c r="D144" s="49">
        <v>76062150.214975998</v>
      </c>
      <c r="E144" s="50">
        <f>VLOOKUP($A144,'Data shares'!$C:$FA,154)*100</f>
        <v>32.090000000000003</v>
      </c>
      <c r="F144" s="173">
        <f>C144/B144</f>
        <v>0.3184149268461981</v>
      </c>
    </row>
    <row r="145" spans="1:6" x14ac:dyDescent="0.25">
      <c r="A145" s="99" t="s">
        <v>267</v>
      </c>
      <c r="B145" s="49">
        <v>517037525</v>
      </c>
      <c r="C145" s="49">
        <v>457427250</v>
      </c>
      <c r="D145" s="49">
        <v>277385960.62068701</v>
      </c>
      <c r="E145" s="50">
        <f>VLOOKUP($A145,'Data shares'!$C:$FA,154)*100</f>
        <v>89.53</v>
      </c>
      <c r="F145" s="173">
        <f>C145/B145</f>
        <v>0.88470802965413387</v>
      </c>
    </row>
    <row r="146" spans="1:6" x14ac:dyDescent="0.25">
      <c r="A146" s="99" t="s">
        <v>268</v>
      </c>
      <c r="B146" s="49">
        <v>550512361</v>
      </c>
      <c r="C146" s="49">
        <v>221991000</v>
      </c>
      <c r="D146" s="49">
        <v>104124157.27218001</v>
      </c>
      <c r="E146" s="50">
        <f>VLOOKUP($A146,'Data shares'!$C:$FA,154)*100</f>
        <v>41.46</v>
      </c>
      <c r="F146" s="173">
        <f>C146/B146</f>
        <v>0.40324435149240911</v>
      </c>
    </row>
    <row r="147" spans="1:6" x14ac:dyDescent="0.25">
      <c r="A147" s="99" t="s">
        <v>683</v>
      </c>
      <c r="B147" s="49">
        <v>12490416</v>
      </c>
      <c r="C147" s="49">
        <v>4030500</v>
      </c>
      <c r="D147" s="49">
        <v>1668956.8429099999</v>
      </c>
      <c r="E147" s="50">
        <f>VLOOKUP($A147,'Data shares'!$C:$FA,154)*100</f>
        <v>33.050000000000004</v>
      </c>
      <c r="F147" s="173">
        <f>C147/B147</f>
        <v>0.32268741089167885</v>
      </c>
    </row>
    <row r="148" spans="1:6" x14ac:dyDescent="0.25">
      <c r="A148" s="99" t="s">
        <v>612</v>
      </c>
      <c r="B148" s="49">
        <v>205669742</v>
      </c>
      <c r="C148" s="49">
        <v>68856250</v>
      </c>
      <c r="D148" s="49">
        <v>47234678.165218703</v>
      </c>
      <c r="E148" s="50">
        <f>VLOOKUP($A148,'Data shares'!$C:$FA,154)*100</f>
        <v>33.729999999999997</v>
      </c>
      <c r="F148" s="173">
        <f>C148/B148</f>
        <v>0.33479037475527151</v>
      </c>
    </row>
    <row r="149" spans="1:6" x14ac:dyDescent="0.25">
      <c r="A149" s="99" t="s">
        <v>528</v>
      </c>
      <c r="B149" s="49">
        <v>17614093</v>
      </c>
      <c r="C149" s="49">
        <v>11198600</v>
      </c>
      <c r="D149" s="49">
        <v>7939980.4128609998</v>
      </c>
      <c r="E149" s="50">
        <f>VLOOKUP($A149,'Data shares'!$C:$FA,154)*100</f>
        <v>64.28</v>
      </c>
      <c r="F149" s="173">
        <f>C149/B149</f>
        <v>0.63577500130151465</v>
      </c>
    </row>
    <row r="150" spans="1:6" x14ac:dyDescent="0.25">
      <c r="A150" s="99" t="s">
        <v>518</v>
      </c>
      <c r="B150" s="49">
        <v>3594855</v>
      </c>
      <c r="C150" s="49">
        <v>4263075</v>
      </c>
      <c r="D150" s="49">
        <v>1506853.52434575</v>
      </c>
      <c r="E150" s="50">
        <f>VLOOKUP($A150,'Data shares'!$C:$FA,154)*100</f>
        <v>123.83</v>
      </c>
      <c r="F150" s="173">
        <f>C150/B150</f>
        <v>1.1858823234873173</v>
      </c>
    </row>
    <row r="151" spans="1:6" x14ac:dyDescent="0.25">
      <c r="A151" s="99" t="s">
        <v>586</v>
      </c>
      <c r="B151" s="49">
        <v>105756420</v>
      </c>
      <c r="C151" s="49">
        <v>34529600</v>
      </c>
      <c r="D151" s="49">
        <v>19082672.829640001</v>
      </c>
      <c r="E151" s="50"/>
      <c r="F151" s="173">
        <f>C151/B151</f>
        <v>0.32650121855486408</v>
      </c>
    </row>
    <row r="152" spans="1:6" x14ac:dyDescent="0.25">
      <c r="A152" s="99" t="s">
        <v>269</v>
      </c>
      <c r="B152" s="49">
        <v>711370982</v>
      </c>
      <c r="C152" s="49">
        <v>234148500</v>
      </c>
      <c r="D152" s="49">
        <v>108977750.017672</v>
      </c>
      <c r="E152" s="50">
        <f>VLOOKUP($A152,'Data shares'!$C:$FA,154)*100</f>
        <v>33.339999999999996</v>
      </c>
      <c r="F152" s="173">
        <f>C152/B152</f>
        <v>0.32915104203674139</v>
      </c>
    </row>
    <row r="153" spans="1:6" x14ac:dyDescent="0.25">
      <c r="A153" s="99" t="s">
        <v>270</v>
      </c>
      <c r="B153" s="49">
        <v>955549</v>
      </c>
      <c r="C153" s="49">
        <v>487230</v>
      </c>
      <c r="D153" s="49">
        <v>330976.75022024999</v>
      </c>
      <c r="E153" s="50">
        <f>VLOOKUP($A153,'Data shares'!$C:$FA,154)*100</f>
        <v>51.300000000000004</v>
      </c>
      <c r="F153" s="173">
        <f>C153/B153</f>
        <v>0.5098953585844368</v>
      </c>
    </row>
    <row r="154" spans="1:6" x14ac:dyDescent="0.25">
      <c r="A154" s="99" t="s">
        <v>664</v>
      </c>
      <c r="B154" s="49">
        <v>51786533</v>
      </c>
      <c r="C154" s="49">
        <v>44963100</v>
      </c>
      <c r="D154" s="49">
        <v>22478243.96187</v>
      </c>
      <c r="E154" s="50">
        <f>VLOOKUP($A154,'Data shares'!$C:$FA,154)*100</f>
        <v>88.24</v>
      </c>
      <c r="F154" s="173">
        <f>C154/B154</f>
        <v>0.86823923895426636</v>
      </c>
    </row>
    <row r="155" spans="1:6" x14ac:dyDescent="0.25">
      <c r="A155" s="99" t="s">
        <v>574</v>
      </c>
      <c r="B155" s="49">
        <v>95930888</v>
      </c>
      <c r="C155" s="49">
        <v>26168875</v>
      </c>
      <c r="D155" s="49">
        <v>14008719.032245999</v>
      </c>
      <c r="E155" s="50">
        <f>VLOOKUP($A155,'Data shares'!$C:$FA,154)*100</f>
        <v>27.77</v>
      </c>
      <c r="F155" s="173">
        <f>C155/B155</f>
        <v>0.27278883314412766</v>
      </c>
    </row>
    <row r="156" spans="1:6" x14ac:dyDescent="0.25">
      <c r="A156" s="99" t="s">
        <v>529</v>
      </c>
      <c r="B156" s="49">
        <v>16286398</v>
      </c>
      <c r="C156" s="49">
        <v>9375500</v>
      </c>
      <c r="D156" s="49">
        <v>4658229.3672799999</v>
      </c>
      <c r="E156" s="50">
        <f>VLOOKUP($A156,'Data shares'!$C:$FA,154)*100</f>
        <v>59.150000000000006</v>
      </c>
      <c r="F156" s="173">
        <f>C156/B156</f>
        <v>0.57566442868459922</v>
      </c>
    </row>
    <row r="157" spans="1:6" x14ac:dyDescent="0.25">
      <c r="A157" s="99" t="s">
        <v>272</v>
      </c>
      <c r="B157" s="49">
        <v>112500013</v>
      </c>
      <c r="C157" s="49">
        <v>60978600</v>
      </c>
      <c r="D157" s="49">
        <v>30998105.853094</v>
      </c>
      <c r="E157" s="50">
        <f>VLOOKUP($A157,'Data shares'!$C:$FA,154)*100</f>
        <v>54.7</v>
      </c>
      <c r="F157" s="173">
        <f>C157/B157</f>
        <v>0.54203193736519839</v>
      </c>
    </row>
    <row r="158" spans="1:6" x14ac:dyDescent="0.25">
      <c r="A158" s="99" t="s">
        <v>273</v>
      </c>
      <c r="B158" s="49">
        <v>217835555</v>
      </c>
      <c r="C158" s="49">
        <v>104704600</v>
      </c>
      <c r="D158" s="49">
        <v>56272833.171893001</v>
      </c>
      <c r="E158" s="50">
        <f>VLOOKUP($A158,'Data shares'!$C:$FA,154)*100</f>
        <v>48.69</v>
      </c>
      <c r="F158" s="173">
        <f>C158/B158</f>
        <v>0.48065890804648487</v>
      </c>
    </row>
    <row r="159" spans="1:6" x14ac:dyDescent="0.25">
      <c r="A159" s="99" t="s">
        <v>678</v>
      </c>
      <c r="B159" s="49">
        <v>24101986</v>
      </c>
      <c r="C159" s="49">
        <v>31804100</v>
      </c>
      <c r="D159" s="49">
        <v>12211438.2445985</v>
      </c>
      <c r="E159" s="50">
        <f>VLOOKUP($A159,'Data shares'!$C:$FA,154)*100</f>
        <v>134.4</v>
      </c>
      <c r="F159" s="173">
        <f>C159/B159</f>
        <v>1.3195634583805667</v>
      </c>
    </row>
    <row r="160" spans="1:6" x14ac:dyDescent="0.25">
      <c r="A160" s="99" t="s">
        <v>644</v>
      </c>
      <c r="B160" s="49">
        <v>21502901</v>
      </c>
      <c r="C160" s="49">
        <v>6366850</v>
      </c>
      <c r="D160" s="49">
        <v>3787944.22377</v>
      </c>
      <c r="E160" s="50">
        <f>VLOOKUP($A160,'Data shares'!$C:$FA,154)*100</f>
        <v>29.93</v>
      </c>
      <c r="F160" s="173">
        <f>C160/B160</f>
        <v>0.2960926062953087</v>
      </c>
    </row>
    <row r="161" spans="1:6" x14ac:dyDescent="0.25">
      <c r="A161" s="99" t="s">
        <v>274</v>
      </c>
      <c r="B161" s="49">
        <v>31214205</v>
      </c>
      <c r="C161" s="49">
        <v>11067500</v>
      </c>
      <c r="D161" s="49">
        <v>7677179.6823000005</v>
      </c>
      <c r="E161" s="50">
        <f>VLOOKUP($A161,'Data shares'!$C:$FA,154)*100</f>
        <v>35.770000000000003</v>
      </c>
      <c r="F161" s="173">
        <f>C161/B161</f>
        <v>0.35456613423279559</v>
      </c>
    </row>
    <row r="162" spans="1:6" x14ac:dyDescent="0.25">
      <c r="A162" s="99" t="s">
        <v>483</v>
      </c>
      <c r="B162" s="49">
        <v>8178275</v>
      </c>
      <c r="C162" s="49">
        <v>4155900</v>
      </c>
      <c r="D162" s="49">
        <v>2466902.29498475</v>
      </c>
      <c r="E162" s="50">
        <f>VLOOKUP($A162,'Data shares'!$C:$FA,154)*100</f>
        <v>51.31</v>
      </c>
      <c r="F162" s="173">
        <f>C162/B162</f>
        <v>0.50816339631523766</v>
      </c>
    </row>
    <row r="163" spans="1:6" x14ac:dyDescent="0.25">
      <c r="A163" s="99" t="s">
        <v>275</v>
      </c>
      <c r="B163" s="49">
        <v>515822637</v>
      </c>
      <c r="C163" s="49">
        <v>433240000</v>
      </c>
      <c r="D163" s="49">
        <v>259688379.3856</v>
      </c>
      <c r="E163" s="50">
        <f>VLOOKUP($A163,'Data shares'!$C:$FA,154)*100</f>
        <v>85.33</v>
      </c>
      <c r="F163" s="173">
        <f>C163/B163</f>
        <v>0.8399010995711691</v>
      </c>
    </row>
    <row r="164" spans="1:6" x14ac:dyDescent="0.25">
      <c r="A164" s="99" t="s">
        <v>668</v>
      </c>
      <c r="B164" s="49">
        <v>28118603</v>
      </c>
      <c r="C164" s="49">
        <v>23032100</v>
      </c>
      <c r="D164" s="49">
        <v>12176599.605209</v>
      </c>
      <c r="E164" s="50">
        <f>VLOOKUP($A164,'Data shares'!$C:$FA,154)*100</f>
        <v>84.34</v>
      </c>
      <c r="F164" s="173">
        <f>C164/B164</f>
        <v>0.81910541572780127</v>
      </c>
    </row>
    <row r="165" spans="1:6" x14ac:dyDescent="0.25">
      <c r="A165" s="99" t="s">
        <v>572</v>
      </c>
      <c r="B165" s="49">
        <v>69300607</v>
      </c>
      <c r="C165" s="49">
        <v>12317550</v>
      </c>
      <c r="D165" s="49">
        <v>7678459.3210009998</v>
      </c>
      <c r="E165" s="50">
        <f>VLOOKUP($A165,'Data shares'!$C:$FA,154)*100</f>
        <v>18.010000000000002</v>
      </c>
      <c r="F165" s="173">
        <f>C165/B165</f>
        <v>0.17774086740683237</v>
      </c>
    </row>
    <row r="166" spans="1:6" x14ac:dyDescent="0.25">
      <c r="A166" s="99" t="s">
        <v>519</v>
      </c>
      <c r="B166" s="49">
        <v>8693344</v>
      </c>
      <c r="C166" s="49">
        <v>4374125</v>
      </c>
      <c r="D166" s="49">
        <v>1863431.96853875</v>
      </c>
      <c r="E166" s="50">
        <f>VLOOKUP($A166,'Data shares'!$C:$FA,154)*100</f>
        <v>51.4</v>
      </c>
      <c r="F166" s="173">
        <f>C166/B166</f>
        <v>0.50315793324179969</v>
      </c>
    </row>
    <row r="167" spans="1:6" x14ac:dyDescent="0.25">
      <c r="A167" s="99" t="s">
        <v>276</v>
      </c>
      <c r="B167" s="49">
        <v>660840864</v>
      </c>
      <c r="C167" s="49">
        <v>144808500</v>
      </c>
      <c r="D167" s="49">
        <v>82356369.054908007</v>
      </c>
      <c r="E167" s="50">
        <f>VLOOKUP($A167,'Data shares'!$C:$FA,154)*100</f>
        <v>22.24</v>
      </c>
      <c r="F167" s="173">
        <f>C167/B167</f>
        <v>0.21912764159814427</v>
      </c>
    </row>
    <row r="168" spans="1:6" x14ac:dyDescent="0.25">
      <c r="A168" s="99" t="s">
        <v>685</v>
      </c>
      <c r="B168" s="49">
        <v>1917916</v>
      </c>
      <c r="C168" s="49">
        <v>1266850</v>
      </c>
      <c r="D168" s="49">
        <v>442982.32692000002</v>
      </c>
      <c r="E168" s="50">
        <f>VLOOKUP($A168,'Data shares'!$C:$FA,154)*100</f>
        <v>67.72</v>
      </c>
      <c r="F168" s="173">
        <f>C168/B168</f>
        <v>0.66053466366618763</v>
      </c>
    </row>
    <row r="169" spans="1:6" x14ac:dyDescent="0.25">
      <c r="A169" s="99" t="s">
        <v>676</v>
      </c>
      <c r="B169" s="49">
        <v>92833839</v>
      </c>
      <c r="C169" s="49">
        <v>23149875</v>
      </c>
      <c r="D169" s="49">
        <v>6806966.5961062498</v>
      </c>
      <c r="E169" s="50">
        <f>VLOOKUP($A169,'Data shares'!$C:$FA,154)*100</f>
        <v>25.82</v>
      </c>
      <c r="F169" s="173">
        <f>C169/B169</f>
        <v>0.24936892893118423</v>
      </c>
    </row>
    <row r="170" spans="1:6" x14ac:dyDescent="0.25">
      <c r="A170" s="99" t="s">
        <v>688</v>
      </c>
      <c r="B170" s="49">
        <v>23961540</v>
      </c>
      <c r="C170" s="49">
        <v>16836000</v>
      </c>
      <c r="D170" s="49">
        <v>7850734.3170534996</v>
      </c>
      <c r="E170" s="50">
        <f>VLOOKUP($A170,'Data shares'!$C:$FA,154)*100</f>
        <v>70.88</v>
      </c>
      <c r="F170" s="173">
        <f>C170/B170</f>
        <v>0.70262595809785178</v>
      </c>
    </row>
    <row r="171" spans="1:6" x14ac:dyDescent="0.25">
      <c r="A171" s="99" t="s">
        <v>604</v>
      </c>
      <c r="B171" s="49">
        <v>25234534</v>
      </c>
      <c r="C171" s="49">
        <v>9963900</v>
      </c>
      <c r="D171" s="49">
        <v>6156387.6847919999</v>
      </c>
      <c r="E171" s="50">
        <f>VLOOKUP($A171,'Data shares'!$C:$FA,154)*100</f>
        <v>39.82</v>
      </c>
      <c r="F171" s="173">
        <f>C171/B171</f>
        <v>0.39485175355328533</v>
      </c>
    </row>
    <row r="172" spans="1:6" x14ac:dyDescent="0.25">
      <c r="A172" s="99" t="s">
        <v>279</v>
      </c>
      <c r="B172" s="49">
        <v>92573471</v>
      </c>
      <c r="C172" s="49">
        <v>115150900</v>
      </c>
      <c r="D172" s="49">
        <v>47160705.430210203</v>
      </c>
      <c r="E172" s="50">
        <f>VLOOKUP($A172,'Data shares'!$C:$FA,154)*100</f>
        <v>127.39</v>
      </c>
      <c r="F172" s="173">
        <f>C172/B172</f>
        <v>1.2438865990019969</v>
      </c>
    </row>
    <row r="173" spans="1:6" x14ac:dyDescent="0.25">
      <c r="A173" s="99" t="s">
        <v>280</v>
      </c>
      <c r="B173" s="49">
        <v>187084550</v>
      </c>
      <c r="C173" s="49">
        <v>119343000</v>
      </c>
      <c r="D173" s="49">
        <v>61293595.069406003</v>
      </c>
      <c r="E173" s="50">
        <f>VLOOKUP($A173,'Data shares'!$C:$FA,154)*100</f>
        <v>64.44</v>
      </c>
      <c r="F173" s="173">
        <f>C173/B173</f>
        <v>0.63790943720366</v>
      </c>
    </row>
    <row r="174" spans="1:6" x14ac:dyDescent="0.25">
      <c r="A174" s="99" t="s">
        <v>281</v>
      </c>
      <c r="B174" s="49">
        <v>664381721</v>
      </c>
      <c r="C174" s="49">
        <v>222524000</v>
      </c>
      <c r="D174" s="49">
        <v>107591157.23021001</v>
      </c>
      <c r="E174" s="50">
        <f>VLOOKUP($A174,'Data shares'!$C:$FA,154)*100</f>
        <v>34.150000000000006</v>
      </c>
      <c r="F174" s="173">
        <f>C174/B174</f>
        <v>0.33493395884682986</v>
      </c>
    </row>
    <row r="175" spans="1:6" x14ac:dyDescent="0.25">
      <c r="A175" s="99" t="s">
        <v>673</v>
      </c>
      <c r="B175" s="49">
        <v>84941460</v>
      </c>
      <c r="C175" s="49">
        <v>98345725</v>
      </c>
      <c r="D175" s="49">
        <v>40660322.5220102</v>
      </c>
      <c r="E175" s="50">
        <f>VLOOKUP($A175,'Data shares'!$C:$FA,154)*100</f>
        <v>118.30000000000001</v>
      </c>
      <c r="F175" s="173">
        <f>C175/B175</f>
        <v>1.1578059171575341</v>
      </c>
    </row>
    <row r="176" spans="1:6" x14ac:dyDescent="0.25">
      <c r="A176" s="99" t="s">
        <v>282</v>
      </c>
      <c r="B176" s="49">
        <v>216861410</v>
      </c>
      <c r="C176" s="49">
        <v>209925500</v>
      </c>
      <c r="D176" s="49">
        <v>170903355.76038101</v>
      </c>
      <c r="E176" s="50">
        <f>VLOOKUP($A176,'Data shares'!$C:$FA,154)*100</f>
        <v>97.77</v>
      </c>
      <c r="F176" s="173">
        <f>C176/B176</f>
        <v>0.96801685463540976</v>
      </c>
    </row>
    <row r="177" spans="1:6" x14ac:dyDescent="0.25">
      <c r="A177" s="99" t="s">
        <v>684</v>
      </c>
      <c r="B177" s="49">
        <v>122372064</v>
      </c>
      <c r="C177" s="49">
        <v>138159000</v>
      </c>
      <c r="D177" s="49">
        <v>87168431.498005003</v>
      </c>
      <c r="E177" s="50"/>
      <c r="F177" s="173">
        <f>C177/B177</f>
        <v>1.129007679399769</v>
      </c>
    </row>
    <row r="178" spans="1:6" x14ac:dyDescent="0.25">
      <c r="A178" s="99" t="s">
        <v>536</v>
      </c>
      <c r="B178" s="49">
        <v>44841373</v>
      </c>
      <c r="C178" s="49">
        <v>44415200</v>
      </c>
      <c r="D178" s="49">
        <v>23286075.618735999</v>
      </c>
      <c r="E178" s="50">
        <f>VLOOKUP($A178,'Data shares'!$C:$FA,154)*100</f>
        <v>100.18</v>
      </c>
      <c r="F178" s="173">
        <f>C178/B178</f>
        <v>0.99049598682002893</v>
      </c>
    </row>
    <row r="179" spans="1:6" x14ac:dyDescent="0.25">
      <c r="A179" s="99" t="s">
        <v>462</v>
      </c>
      <c r="B179" s="49">
        <v>45527821</v>
      </c>
      <c r="C179" s="49">
        <v>23673750</v>
      </c>
      <c r="D179" s="49">
        <v>12367405.848254999</v>
      </c>
      <c r="E179" s="50">
        <f>VLOOKUP($A179,'Data shares'!$C:$FA,154)*100</f>
        <v>52.94</v>
      </c>
      <c r="F179" s="173">
        <f>C179/B179</f>
        <v>0.51998425314490671</v>
      </c>
    </row>
    <row r="180" spans="1:6" x14ac:dyDescent="0.25">
      <c r="A180" s="99" t="s">
        <v>283</v>
      </c>
      <c r="B180" s="49">
        <v>580324288</v>
      </c>
      <c r="C180" s="49">
        <v>174113250</v>
      </c>
      <c r="D180" s="49">
        <v>84841426.244377494</v>
      </c>
      <c r="E180" s="50">
        <f>VLOOKUP($A180,'Data shares'!$C:$FA,154)*100</f>
        <v>30.669999999999998</v>
      </c>
      <c r="F180" s="173">
        <f>C180/B180</f>
        <v>0.30002750806804074</v>
      </c>
    </row>
    <row r="181" spans="1:6" x14ac:dyDescent="0.25">
      <c r="A181" s="99" t="s">
        <v>284</v>
      </c>
      <c r="B181" s="49">
        <v>1655049</v>
      </c>
      <c r="C181" s="49">
        <v>518225</v>
      </c>
      <c r="D181" s="49">
        <v>333276.25009074999</v>
      </c>
      <c r="E181" s="50">
        <f>VLOOKUP($A181,'Data shares'!$C:$FA,154)*100</f>
        <v>31.75</v>
      </c>
      <c r="F181" s="173">
        <f>C181/B181</f>
        <v>0.31311761766570051</v>
      </c>
    </row>
    <row r="182" spans="1:6" x14ac:dyDescent="0.25">
      <c r="A182" s="99" t="s">
        <v>561</v>
      </c>
      <c r="B182" s="49">
        <v>210567108</v>
      </c>
      <c r="C182" s="49">
        <v>64788075</v>
      </c>
      <c r="D182" s="49">
        <v>38219434.103985697</v>
      </c>
      <c r="E182" s="50">
        <f>VLOOKUP($A182,'Data shares'!$C:$FA,154)*100</f>
        <v>31.259999999999998</v>
      </c>
      <c r="F182" s="173">
        <f>C182/B182</f>
        <v>0.30768373852577202</v>
      </c>
    </row>
    <row r="183" spans="1:6" x14ac:dyDescent="0.25">
      <c r="A183" s="99" t="s">
        <v>285</v>
      </c>
      <c r="B183" s="49">
        <v>10374894</v>
      </c>
      <c r="C183" s="49">
        <v>6609225</v>
      </c>
      <c r="D183" s="49">
        <v>3170543.4819922498</v>
      </c>
      <c r="E183" s="50">
        <f>VLOOKUP($A183,'Data shares'!$C:$FA,154)*100</f>
        <v>65.75</v>
      </c>
      <c r="F183" s="173">
        <f>C183/B183</f>
        <v>0.63704024349549981</v>
      </c>
    </row>
    <row r="184" spans="1:6" x14ac:dyDescent="0.25">
      <c r="A184" s="99" t="s">
        <v>645</v>
      </c>
      <c r="B184" s="49">
        <v>3644817</v>
      </c>
      <c r="C184" s="49">
        <v>1389850</v>
      </c>
      <c r="D184" s="49">
        <v>691494.35223850003</v>
      </c>
      <c r="E184" s="50">
        <f>VLOOKUP($A184,'Data shares'!$C:$FA,154)*100</f>
        <v>38.86</v>
      </c>
      <c r="F184" s="173">
        <f>C184/B184</f>
        <v>0.3813222995832164</v>
      </c>
    </row>
    <row r="185" spans="1:6" x14ac:dyDescent="0.25">
      <c r="A185" s="99" t="s">
        <v>613</v>
      </c>
      <c r="B185" s="49">
        <v>61283708</v>
      </c>
      <c r="C185" s="49">
        <v>21704550</v>
      </c>
      <c r="D185" s="49">
        <v>11483454.468899</v>
      </c>
      <c r="E185" s="50">
        <f>VLOOKUP($A185,'Data shares'!$C:$FA,154)*100</f>
        <v>35.630000000000003</v>
      </c>
      <c r="F185" s="173">
        <f>C185/B185</f>
        <v>0.35416509066324775</v>
      </c>
    </row>
    <row r="186" spans="1:6" x14ac:dyDescent="0.25">
      <c r="A186" s="99" t="s">
        <v>286</v>
      </c>
      <c r="B186" s="49">
        <v>19721628</v>
      </c>
      <c r="C186" s="49">
        <v>7126400</v>
      </c>
      <c r="D186" s="49">
        <v>3653104.606464</v>
      </c>
      <c r="E186" s="50">
        <f>VLOOKUP($A186,'Data shares'!$C:$FA,154)*100</f>
        <v>36.870000000000005</v>
      </c>
      <c r="F186" s="173">
        <f>C186/B186</f>
        <v>0.36134947885641083</v>
      </c>
    </row>
    <row r="187" spans="1:6" x14ac:dyDescent="0.25">
      <c r="A187" s="99" t="s">
        <v>288</v>
      </c>
      <c r="B187" s="49">
        <v>121755902</v>
      </c>
      <c r="C187" s="49">
        <v>31818150</v>
      </c>
      <c r="D187" s="49">
        <v>19093952.949942499</v>
      </c>
      <c r="E187" s="50">
        <f>VLOOKUP($A187,'Data shares'!$C:$FA,154)*100</f>
        <v>26.83</v>
      </c>
      <c r="F187" s="173">
        <f>C187/B187</f>
        <v>0.26132737286115298</v>
      </c>
    </row>
    <row r="188" spans="1:6" x14ac:dyDescent="0.25">
      <c r="A188" s="99" t="s">
        <v>573</v>
      </c>
      <c r="B188" s="49">
        <v>9724371</v>
      </c>
      <c r="C188" s="49">
        <v>3644725</v>
      </c>
      <c r="D188" s="49">
        <v>2012357.8434347501</v>
      </c>
      <c r="E188" s="50">
        <f>VLOOKUP($A188,'Data shares'!$C:$FA,154)*100</f>
        <v>38.019999999999996</v>
      </c>
      <c r="F188" s="173">
        <f>C188/B188</f>
        <v>0.37480316207598413</v>
      </c>
    </row>
    <row r="189" spans="1:6" x14ac:dyDescent="0.25">
      <c r="A189" s="99" t="s">
        <v>682</v>
      </c>
      <c r="B189" s="49">
        <v>1815546735</v>
      </c>
      <c r="C189" s="49">
        <v>697361750</v>
      </c>
      <c r="D189" s="49">
        <v>293244120.00705701</v>
      </c>
      <c r="E189" s="50">
        <f>VLOOKUP($A189,'Data shares'!$C:$FA,154)*100</f>
        <v>39.879999999999995</v>
      </c>
      <c r="F189" s="173">
        <f>C189/B189</f>
        <v>0.38410564517910911</v>
      </c>
    </row>
    <row r="190" spans="1:6" x14ac:dyDescent="0.25">
      <c r="A190" s="99" t="s">
        <v>691</v>
      </c>
      <c r="B190" s="49">
        <v>389472858</v>
      </c>
      <c r="C190" s="49">
        <v>65770900</v>
      </c>
      <c r="D190" s="49">
        <v>45164733.388346002</v>
      </c>
      <c r="E190" s="50">
        <f>VLOOKUP($A190,'Data shares'!$C:$FA,154)*100</f>
        <v>17.2</v>
      </c>
      <c r="F190" s="173">
        <f>C190/B190</f>
        <v>0.16887158796570106</v>
      </c>
    </row>
    <row r="191" spans="1:6" x14ac:dyDescent="0.25">
      <c r="A191" s="99" t="s">
        <v>291</v>
      </c>
      <c r="B191" s="49">
        <v>65472757</v>
      </c>
      <c r="C191" s="49">
        <v>18165400</v>
      </c>
      <c r="D191" s="49">
        <v>10989170.212707501</v>
      </c>
      <c r="E191" s="50">
        <f>VLOOKUP($A191,'Data shares'!$C:$FA,154)*100</f>
        <v>27.98</v>
      </c>
      <c r="F191" s="173">
        <f>C191/B191</f>
        <v>0.27744974906127751</v>
      </c>
    </row>
    <row r="192" spans="1:6" x14ac:dyDescent="0.25">
      <c r="A192" s="99" t="s">
        <v>603</v>
      </c>
      <c r="B192" s="49">
        <v>5241946</v>
      </c>
      <c r="C192" s="49">
        <v>6415800</v>
      </c>
      <c r="D192" s="49">
        <v>1954420.7601729999</v>
      </c>
      <c r="E192" s="50"/>
      <c r="F192" s="173">
        <f>C192/B192</f>
        <v>1.2239347753677736</v>
      </c>
    </row>
    <row r="193" spans="1:6" x14ac:dyDescent="0.25">
      <c r="A193" s="99" t="s">
        <v>293</v>
      </c>
      <c r="B193" s="49">
        <v>169808198</v>
      </c>
      <c r="C193" s="49">
        <v>122617800</v>
      </c>
      <c r="D193" s="49">
        <v>57684249.068244003</v>
      </c>
      <c r="E193" s="50"/>
      <c r="F193" s="173">
        <f>C193/B193</f>
        <v>0.72209587902228367</v>
      </c>
    </row>
    <row r="194" spans="1:6" x14ac:dyDescent="0.25">
      <c r="A194" s="99" t="s">
        <v>294</v>
      </c>
      <c r="B194" s="49">
        <v>1049350971</v>
      </c>
      <c r="C194" s="49">
        <v>392254500</v>
      </c>
      <c r="D194" s="49">
        <v>189142145.556265</v>
      </c>
      <c r="E194" s="50">
        <f>VLOOKUP($A194,'Data shares'!$C:$FA,154)*100</f>
        <v>38.190000000000005</v>
      </c>
      <c r="F194" s="173">
        <f>C194/B194</f>
        <v>0.37380677279613439</v>
      </c>
    </row>
    <row r="195" spans="1:6" x14ac:dyDescent="0.25">
      <c r="A195" s="99" t="s">
        <v>662</v>
      </c>
      <c r="B195" s="49">
        <v>27144562</v>
      </c>
      <c r="C195" s="49">
        <v>9388000</v>
      </c>
      <c r="D195" s="49">
        <v>4036897.6879039998</v>
      </c>
      <c r="E195" s="50"/>
      <c r="F195" s="173">
        <f>C195/B195</f>
        <v>0.34585196106682436</v>
      </c>
    </row>
    <row r="196" spans="1:6" x14ac:dyDescent="0.25">
      <c r="A196" s="99" t="s">
        <v>295</v>
      </c>
      <c r="B196" s="49">
        <v>153229333</v>
      </c>
      <c r="C196" s="49">
        <v>65485525</v>
      </c>
      <c r="D196" s="49">
        <v>34374570.8173315</v>
      </c>
      <c r="E196" s="50">
        <f>VLOOKUP($A196,'Data shares'!$C:$FA,154)*100</f>
        <v>43.43</v>
      </c>
      <c r="F196" s="173">
        <f>C196/B196</f>
        <v>0.4273693797257474</v>
      </c>
    </row>
    <row r="197" spans="1:6" x14ac:dyDescent="0.25">
      <c r="A197" s="99" t="s">
        <v>296</v>
      </c>
      <c r="B197" s="49">
        <v>95553300</v>
      </c>
      <c r="C197" s="49">
        <v>37429200</v>
      </c>
      <c r="D197" s="49">
        <v>19281886.212366</v>
      </c>
      <c r="E197" s="50">
        <f>VLOOKUP($A197,'Data shares'!$C:$FA,154)*100</f>
        <v>40.36</v>
      </c>
      <c r="F197" s="173">
        <f>C197/B197</f>
        <v>0.3917101764146293</v>
      </c>
    </row>
    <row r="198" spans="1:6" x14ac:dyDescent="0.25">
      <c r="A198" s="99" t="s">
        <v>594</v>
      </c>
      <c r="B198" s="49">
        <v>16239060</v>
      </c>
      <c r="C198" s="49">
        <v>4049200</v>
      </c>
      <c r="D198" s="49">
        <v>2439775.6377980001</v>
      </c>
      <c r="E198" s="50">
        <f>VLOOKUP($A198,'Data shares'!$C:$FA,154)*100</f>
        <v>25.16</v>
      </c>
      <c r="F198" s="173">
        <f>C198/B198</f>
        <v>0.24934940815539816</v>
      </c>
    </row>
    <row r="199" spans="1:6" x14ac:dyDescent="0.25">
      <c r="A199" s="99" t="s">
        <v>297</v>
      </c>
      <c r="B199" s="49">
        <v>41744334</v>
      </c>
      <c r="C199" s="49">
        <v>15323875</v>
      </c>
      <c r="D199" s="49">
        <v>8870836.5536490008</v>
      </c>
      <c r="E199" s="50">
        <f>VLOOKUP($A199,'Data shares'!$C:$FA,154)*100</f>
        <v>37.49</v>
      </c>
      <c r="F199" s="173">
        <f>C199/B199</f>
        <v>0.36708874071388947</v>
      </c>
    </row>
    <row r="200" spans="1:6" x14ac:dyDescent="0.25">
      <c r="A200" s="99" t="s">
        <v>687</v>
      </c>
      <c r="B200" s="49">
        <v>317244234</v>
      </c>
      <c r="C200" s="49">
        <v>126273600</v>
      </c>
      <c r="D200" s="49">
        <v>58567288.761799999</v>
      </c>
      <c r="E200" s="50">
        <f>VLOOKUP($A200,'Data shares'!$C:$FA,154)*100</f>
        <v>40.739999999999995</v>
      </c>
      <c r="F200" s="173">
        <f>C200/B200</f>
        <v>0.39803276613689376</v>
      </c>
    </row>
    <row r="201" spans="1:6" x14ac:dyDescent="0.25">
      <c r="A201" s="99" t="s">
        <v>298</v>
      </c>
      <c r="B201" s="49">
        <v>10726004</v>
      </c>
      <c r="C201" s="49">
        <v>4165500</v>
      </c>
      <c r="D201" s="49">
        <v>2880081.8631974999</v>
      </c>
      <c r="E201" s="50">
        <f>VLOOKUP($A201,'Data shares'!$C:$FA,154)*100</f>
        <v>39.67</v>
      </c>
      <c r="F201" s="173">
        <f>C201/B201</f>
        <v>0.38835525327046305</v>
      </c>
    </row>
    <row r="202" spans="1:6" x14ac:dyDescent="0.25">
      <c r="A202" s="99" t="s">
        <v>299</v>
      </c>
      <c r="B202" s="49">
        <v>24646022</v>
      </c>
      <c r="C202" s="49">
        <v>5876050</v>
      </c>
      <c r="D202" s="49">
        <v>2526592.0332132499</v>
      </c>
      <c r="E202" s="50">
        <f>VLOOKUP($A202,'Data shares'!$C:$FA,154)*100</f>
        <v>24.15</v>
      </c>
      <c r="F202" s="173">
        <f>C202/B202</f>
        <v>0.2384177860427131</v>
      </c>
    </row>
    <row r="203" spans="1:6" x14ac:dyDescent="0.25">
      <c r="A203" s="99" t="s">
        <v>482</v>
      </c>
      <c r="B203" s="49">
        <v>33590487</v>
      </c>
      <c r="C203" s="49">
        <v>17250400</v>
      </c>
      <c r="D203" s="49">
        <v>7830477.5467429999</v>
      </c>
      <c r="E203" s="50">
        <f>VLOOKUP($A203,'Data shares'!$C:$FA,154)*100</f>
        <v>53.839999999999996</v>
      </c>
      <c r="F203" s="173">
        <f>C203/B203</f>
        <v>0.5135501607940367</v>
      </c>
    </row>
    <row r="204" spans="1:6" x14ac:dyDescent="0.25">
      <c r="A204" s="99" t="s">
        <v>300</v>
      </c>
      <c r="B204" s="49">
        <v>32253708</v>
      </c>
      <c r="C204" s="49">
        <v>12492900</v>
      </c>
      <c r="D204" s="49">
        <v>8436794.5579049997</v>
      </c>
      <c r="E204" s="50">
        <f>VLOOKUP($A204,'Data shares'!$C:$FA,154)*100</f>
        <v>39.28</v>
      </c>
      <c r="F204" s="173">
        <f>C204/B204</f>
        <v>0.38733220998962353</v>
      </c>
    </row>
    <row r="205" spans="1:6" x14ac:dyDescent="0.25">
      <c r="A205" s="99" t="s">
        <v>302</v>
      </c>
      <c r="B205" s="49">
        <v>12994504</v>
      </c>
      <c r="C205" s="49">
        <v>4282450</v>
      </c>
      <c r="D205" s="49">
        <v>2767883.7083414998</v>
      </c>
      <c r="E205" s="50"/>
      <c r="F205" s="173">
        <f>C205/B205</f>
        <v>0.32955855798728445</v>
      </c>
    </row>
    <row r="206" spans="1:6" x14ac:dyDescent="0.25">
      <c r="A206" s="99" t="s">
        <v>592</v>
      </c>
      <c r="B206" s="49">
        <v>289041713</v>
      </c>
      <c r="C206" s="49">
        <v>235609125</v>
      </c>
      <c r="D206" s="49">
        <v>115231469.86768501</v>
      </c>
      <c r="E206" s="50">
        <f>VLOOKUP($A206,'Data shares'!$C:$FA,154)*100</f>
        <v>83.919999999999987</v>
      </c>
      <c r="F206" s="173">
        <f>C206/B206</f>
        <v>0.81513883430382239</v>
      </c>
    </row>
    <row r="207" spans="1:6" x14ac:dyDescent="0.25">
      <c r="A207" s="99" t="s">
        <v>568</v>
      </c>
      <c r="B207" s="49">
        <v>38847259</v>
      </c>
      <c r="C207" s="49">
        <v>18612000</v>
      </c>
      <c r="D207" s="49">
        <v>10740191.886755999</v>
      </c>
      <c r="E207" s="50">
        <f>VLOOKUP($A207,'Data shares'!$C:$FA,154)*100</f>
        <v>48.3</v>
      </c>
      <c r="F207" s="173">
        <f>C207/B207</f>
        <v>0.47910716171763884</v>
      </c>
    </row>
    <row r="208" spans="1:6" x14ac:dyDescent="0.25">
      <c r="A208" s="99" t="s">
        <v>672</v>
      </c>
      <c r="B208" s="49">
        <v>27343613</v>
      </c>
      <c r="C208" s="49">
        <v>6839800</v>
      </c>
      <c r="D208" s="49">
        <v>4246964.9947560001</v>
      </c>
      <c r="E208" s="50">
        <f>VLOOKUP($A208,'Data shares'!$C:$FA,154)*100</f>
        <v>25.27</v>
      </c>
      <c r="F208" s="173">
        <f>C208/B208</f>
        <v>0.25014251042830365</v>
      </c>
    </row>
    <row r="209" spans="1:6" x14ac:dyDescent="0.25">
      <c r="A209" s="99" t="s">
        <v>303</v>
      </c>
      <c r="B209" s="49">
        <v>84189026</v>
      </c>
      <c r="C209" s="49">
        <v>48952085</v>
      </c>
      <c r="D209" s="49">
        <v>28830084.205285698</v>
      </c>
      <c r="E209" s="50">
        <f>VLOOKUP($A209,'Data shares'!$C:$FA,154)*100</f>
        <v>59.01</v>
      </c>
      <c r="F209" s="173">
        <f>C209/B209</f>
        <v>0.58145446414833213</v>
      </c>
    </row>
    <row r="210" spans="1:6" x14ac:dyDescent="0.25">
      <c r="A210" s="99" t="s">
        <v>585</v>
      </c>
      <c r="B210" s="49">
        <v>205765243</v>
      </c>
      <c r="C210" s="49">
        <v>83895750</v>
      </c>
      <c r="D210" s="49">
        <v>45495856.051053703</v>
      </c>
      <c r="E210" s="50">
        <f>VLOOKUP($A210,'Data shares'!$C:$FA,154)*100</f>
        <v>41.43</v>
      </c>
      <c r="F210" s="173">
        <f>C210/B210</f>
        <v>0.40772556519664499</v>
      </c>
    </row>
    <row r="211" spans="1:6" x14ac:dyDescent="0.25">
      <c r="A211" s="99" t="s">
        <v>304</v>
      </c>
      <c r="B211" s="49">
        <v>255495438</v>
      </c>
      <c r="C211" s="49">
        <v>131162100</v>
      </c>
      <c r="D211" s="49">
        <v>43252460.563547499</v>
      </c>
      <c r="E211" s="50">
        <f>VLOOKUP($A211,'Data shares'!$C:$FA,154)*100</f>
        <v>53.290000000000006</v>
      </c>
      <c r="F211" s="173">
        <f>C211/B211</f>
        <v>0.51336376503129577</v>
      </c>
    </row>
    <row r="212" spans="1:6" x14ac:dyDescent="0.25">
      <c r="A212" s="99" t="s">
        <v>697</v>
      </c>
      <c r="B212" s="49">
        <v>321828727</v>
      </c>
      <c r="C212" s="49">
        <v>42840050</v>
      </c>
      <c r="D212" s="49">
        <v>26193688.989248998</v>
      </c>
      <c r="E212" s="50"/>
      <c r="F212" s="173">
        <f>C212/B212</f>
        <v>0.13311443760581385</v>
      </c>
    </row>
    <row r="213" spans="1:6" x14ac:dyDescent="0.25">
      <c r="A213" s="99" t="s">
        <v>305</v>
      </c>
      <c r="B213" s="49">
        <v>25134629</v>
      </c>
      <c r="C213" s="49">
        <v>19163250</v>
      </c>
      <c r="D213" s="49">
        <v>8556176.4122737497</v>
      </c>
      <c r="E213" s="50">
        <f>VLOOKUP($A213,'Data shares'!$C:$FA,154)*100</f>
        <v>77.75</v>
      </c>
      <c r="F213" s="173">
        <f>C213/B213</f>
        <v>0.76242422356820938</v>
      </c>
    </row>
    <row r="214" spans="1:6" x14ac:dyDescent="0.25">
      <c r="A214" s="99" t="s">
        <v>690</v>
      </c>
      <c r="B214" s="49">
        <v>15436318</v>
      </c>
      <c r="C214" s="49">
        <v>8758925</v>
      </c>
      <c r="D214" s="49">
        <v>4365170.1786367502</v>
      </c>
      <c r="E214" s="50"/>
      <c r="F214" s="173">
        <f>C214/B214</f>
        <v>0.56742320286482828</v>
      </c>
    </row>
    <row r="215" spans="1:6" x14ac:dyDescent="0.25">
      <c r="A215" s="99" t="s">
        <v>306</v>
      </c>
      <c r="B215" s="49">
        <v>428710078</v>
      </c>
      <c r="C215" s="49">
        <v>541464000</v>
      </c>
      <c r="D215" s="49">
        <v>220388161.39719</v>
      </c>
      <c r="E215" s="50">
        <f>VLOOKUP($A215,'Data shares'!$C:$FA,154)*100</f>
        <v>128.96</v>
      </c>
      <c r="F215" s="173">
        <f>C215/B215</f>
        <v>1.2630073977407175</v>
      </c>
    </row>
    <row r="216" spans="1:6" x14ac:dyDescent="0.25">
      <c r="A216" s="99" t="s">
        <v>589</v>
      </c>
      <c r="B216" s="49">
        <v>3425130022</v>
      </c>
      <c r="C216" s="49">
        <v>2259601600</v>
      </c>
      <c r="D216" s="49">
        <v>1182515486.05232</v>
      </c>
      <c r="E216" s="50">
        <f>VLOOKUP($A216,'Data shares'!$C:$FA,154)*100</f>
        <v>67.13</v>
      </c>
      <c r="F216" s="173">
        <f>C216/B216</f>
        <v>0.65971264900494919</v>
      </c>
    </row>
    <row r="217" spans="1:6" x14ac:dyDescent="0.25">
      <c r="A217" s="99" t="s">
        <v>556</v>
      </c>
      <c r="B217" s="49">
        <v>25160867</v>
      </c>
      <c r="C217" s="49">
        <v>15953400</v>
      </c>
      <c r="D217" s="49">
        <v>8923782.4819469992</v>
      </c>
      <c r="E217" s="50"/>
      <c r="F217" s="173">
        <f>C217/B217</f>
        <v>0.63405605220201677</v>
      </c>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7">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I35" sqref="I35"/>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1" t="s">
        <v>420</v>
      </c>
      <c r="B4" s="322"/>
      <c r="C4" s="322"/>
      <c r="D4" s="322"/>
      <c r="E4" s="322"/>
      <c r="F4" s="322"/>
      <c r="G4" s="322"/>
      <c r="H4" s="322"/>
      <c r="I4" s="322"/>
      <c r="J4" s="322"/>
      <c r="K4" s="322"/>
      <c r="L4" s="322"/>
      <c r="M4" s="322"/>
      <c r="N4" s="323"/>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578</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578</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578</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605</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605</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605</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608</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608</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608</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597</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597</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597</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588</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588</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588</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601</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601</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601</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583</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583</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583</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610</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610</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610</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596</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596</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596</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600</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600</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600</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611</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611</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611</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571</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571</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571</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599</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599</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599</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582</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582</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582</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630</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630</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630</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575</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575</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575</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607</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607</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607</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577</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577</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577</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593</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593</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593</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591</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591</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591</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569</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569</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569</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580</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580</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580</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579</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579</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579</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581</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581</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581</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609</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609</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609</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576</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576</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576</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606</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606</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606</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587</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587</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587</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564</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564</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564</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560</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560</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560</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602</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602</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602</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562</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562</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562</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558</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558</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558</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590</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590</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590</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584</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584</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584</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565</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565</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565</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612</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612</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612</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586</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586</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586</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574</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574</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574</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572</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572</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572</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595</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595</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595</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604</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604</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604</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563</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563</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563</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561</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561</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561</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598</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598</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598</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613</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613</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613</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573</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573</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573</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603</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603</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603</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594</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594</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594</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592</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592</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592</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568</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568</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568</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585</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585</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585</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589</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589</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589</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570</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570</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570</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556</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556</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556</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4" t="s">
        <v>380</v>
      </c>
      <c r="B3" s="325"/>
      <c r="C3" s="325"/>
      <c r="D3" s="325"/>
      <c r="E3" s="325"/>
      <c r="F3" s="325"/>
      <c r="G3" s="326"/>
    </row>
    <row r="4" spans="1:7" s="72" customFormat="1" x14ac:dyDescent="0.25">
      <c r="A4" s="108" t="s">
        <v>330</v>
      </c>
      <c r="B4" s="327" t="s">
        <v>380</v>
      </c>
      <c r="C4" s="327"/>
      <c r="D4" s="327"/>
      <c r="E4" s="327"/>
      <c r="F4" s="327"/>
      <c r="G4" s="327"/>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39.81</v>
      </c>
      <c r="F6" s="49">
        <f>VLOOKUP($A6,'Data shares'!$C:$FA,129)</f>
        <v>2802250</v>
      </c>
      <c r="G6" s="17"/>
    </row>
    <row r="7" spans="1:7" x14ac:dyDescent="0.25">
      <c r="A7" s="101" t="s">
        <v>228</v>
      </c>
      <c r="B7" s="17">
        <v>292206563</v>
      </c>
      <c r="C7" s="17">
        <v>71903525</v>
      </c>
      <c r="D7" s="17">
        <f t="shared" ref="D7:D70" si="0">C7</f>
        <v>71903525</v>
      </c>
      <c r="E7" s="49">
        <f>VLOOKUP($A7,'Data shares'!$C:$FA,128)*100</f>
        <v>46.61</v>
      </c>
      <c r="F7" s="49">
        <f>VLOOKUP($A7,'Data shares'!$C:$FA,129)</f>
        <v>9763600</v>
      </c>
      <c r="G7" s="17"/>
    </row>
    <row r="8" spans="1:7" x14ac:dyDescent="0.25">
      <c r="A8" s="101" t="s">
        <v>200</v>
      </c>
      <c r="B8" s="17">
        <v>417418754</v>
      </c>
      <c r="C8" s="17">
        <v>109662000</v>
      </c>
      <c r="D8" s="17">
        <f t="shared" si="0"/>
        <v>109662000</v>
      </c>
      <c r="E8" s="49">
        <f>VLOOKUP($A8,'Data shares'!$C:$FA,128)*100</f>
        <v>37.230000000000004</v>
      </c>
      <c r="F8" s="49">
        <f>VLOOKUP($A8,'Data shares'!$C:$FA,129)</f>
        <v>11696400</v>
      </c>
      <c r="G8" s="17"/>
    </row>
    <row r="9" spans="1:7" x14ac:dyDescent="0.25">
      <c r="A9" s="101" t="s">
        <v>214</v>
      </c>
      <c r="B9" s="17">
        <v>30110093</v>
      </c>
      <c r="C9" s="17">
        <v>10703050</v>
      </c>
      <c r="D9" s="17">
        <f t="shared" si="0"/>
        <v>10703050</v>
      </c>
      <c r="E9" s="49">
        <f>VLOOKUP($A9,'Data shares'!$C:$FA,128)*100</f>
        <v>49.62</v>
      </c>
      <c r="F9" s="49">
        <f>VLOOKUP($A9,'Data shares'!$C:$FA,129)</f>
        <v>344625</v>
      </c>
      <c r="G9" s="17"/>
    </row>
    <row r="10" spans="1:7" x14ac:dyDescent="0.25">
      <c r="A10" s="101" t="s">
        <v>243</v>
      </c>
      <c r="B10" s="17">
        <v>80699820</v>
      </c>
      <c r="C10" s="17">
        <v>65367500</v>
      </c>
      <c r="D10" s="17">
        <f t="shared" si="0"/>
        <v>65367500</v>
      </c>
      <c r="E10" s="49">
        <f>VLOOKUP($A10,'Data shares'!$C:$FA,128)*100</f>
        <v>39.950000000000003</v>
      </c>
      <c r="F10" s="49">
        <f>VLOOKUP($A10,'Data shares'!$C:$FA,129)</f>
        <v>2303125</v>
      </c>
      <c r="G10" s="17"/>
    </row>
    <row r="11" spans="1:7" x14ac:dyDescent="0.25">
      <c r="A11" s="101" t="s">
        <v>231</v>
      </c>
      <c r="B11" s="17">
        <v>80556813</v>
      </c>
      <c r="C11" s="17">
        <v>62967200</v>
      </c>
      <c r="D11" s="17">
        <f t="shared" si="0"/>
        <v>62967200</v>
      </c>
      <c r="E11" s="49">
        <f>VLOOKUP($A11,'Data shares'!$C:$FA,128)*100</f>
        <v>56.44</v>
      </c>
      <c r="F11" s="49">
        <f>VLOOKUP($A11,'Data shares'!$C:$FA,129)</f>
        <v>2818200</v>
      </c>
      <c r="G11" s="17"/>
    </row>
    <row r="12" spans="1:7" x14ac:dyDescent="0.25">
      <c r="A12" s="101" t="s">
        <v>195</v>
      </c>
      <c r="B12" s="17">
        <v>23823080</v>
      </c>
      <c r="C12" s="17">
        <v>2862400</v>
      </c>
      <c r="D12" s="17">
        <f t="shared" si="0"/>
        <v>2862400</v>
      </c>
      <c r="E12" s="49">
        <f>VLOOKUP($A12,'Data shares'!$C:$FA,128)*100</f>
        <v>45.45</v>
      </c>
      <c r="F12" s="49">
        <f>VLOOKUP($A12,'Data shares'!$C:$FA,129)</f>
        <v>512125</v>
      </c>
      <c r="G12" s="17"/>
    </row>
    <row r="13" spans="1:7" x14ac:dyDescent="0.25">
      <c r="A13" s="101" t="s">
        <v>304</v>
      </c>
      <c r="B13" s="17">
        <v>223492679</v>
      </c>
      <c r="C13" s="17">
        <v>98465300</v>
      </c>
      <c r="D13" s="17">
        <f t="shared" si="0"/>
        <v>98465300</v>
      </c>
      <c r="E13" s="49">
        <f>VLOOKUP($A13,'Data shares'!$C:$FA,128)*100</f>
        <v>28.07</v>
      </c>
      <c r="F13" s="49">
        <f>VLOOKUP($A13,'Data shares'!$C:$FA,129)</f>
        <v>7757900</v>
      </c>
      <c r="G13" s="17"/>
    </row>
    <row r="14" spans="1:7" x14ac:dyDescent="0.25">
      <c r="A14" s="101" t="s">
        <v>167</v>
      </c>
      <c r="B14" s="17">
        <v>282181803</v>
      </c>
      <c r="C14" s="17">
        <v>95526000</v>
      </c>
      <c r="D14" s="17">
        <f t="shared" si="0"/>
        <v>95526000</v>
      </c>
      <c r="E14" s="49">
        <f>VLOOKUP($A14,'Data shares'!$C:$FA,128)*100</f>
        <v>38.89</v>
      </c>
      <c r="F14" s="49">
        <f>VLOOKUP($A14,'Data shares'!$C:$FA,129)</f>
        <v>26125000</v>
      </c>
      <c r="G14" s="17"/>
    </row>
    <row r="15" spans="1:7" x14ac:dyDescent="0.25">
      <c r="A15" s="101" t="s">
        <v>222</v>
      </c>
      <c r="B15" s="17">
        <v>214194964</v>
      </c>
      <c r="C15" s="17">
        <v>37437400</v>
      </c>
      <c r="D15" s="17">
        <f t="shared" si="0"/>
        <v>37437400</v>
      </c>
      <c r="E15" s="49">
        <f>VLOOKUP($A15,'Data shares'!$C:$FA,128)*100</f>
        <v>53.54</v>
      </c>
      <c r="F15" s="49">
        <f>VLOOKUP($A15,'Data shares'!$C:$FA,129)</f>
        <v>16511600</v>
      </c>
      <c r="G15" s="17"/>
    </row>
    <row r="16" spans="1:7" x14ac:dyDescent="0.25">
      <c r="A16" s="101" t="s">
        <v>290</v>
      </c>
      <c r="B16" s="17">
        <v>31601465</v>
      </c>
      <c r="C16" s="17">
        <v>13192000</v>
      </c>
      <c r="D16" s="17">
        <f t="shared" si="0"/>
        <v>13192000</v>
      </c>
      <c r="E16" s="49">
        <f>VLOOKUP($A16,'Data shares'!$C:$FA,128)*100</f>
        <v>39.550000000000004</v>
      </c>
      <c r="F16" s="49">
        <f>VLOOKUP($A16,'Data shares'!$C:$FA,129)</f>
        <v>6806800</v>
      </c>
      <c r="G16" s="17"/>
    </row>
    <row r="17" spans="1:7" x14ac:dyDescent="0.25">
      <c r="A17" s="101" t="s">
        <v>500</v>
      </c>
      <c r="B17" s="17">
        <v>24930381</v>
      </c>
      <c r="C17" s="17">
        <v>1925625</v>
      </c>
      <c r="D17" s="17">
        <f t="shared" si="0"/>
        <v>1925625</v>
      </c>
      <c r="E17" s="49">
        <f>VLOOKUP($A17,'Data shares'!$C:$FA,128)*100</f>
        <v>32.409999999999997</v>
      </c>
      <c r="F17" s="49">
        <f>VLOOKUP($A17,'Data shares'!$C:$FA,129)</f>
        <v>3733750</v>
      </c>
      <c r="G17" s="17"/>
    </row>
    <row r="18" spans="1:7" x14ac:dyDescent="0.25">
      <c r="A18" s="101" t="s">
        <v>491</v>
      </c>
      <c r="B18" s="17">
        <v>53841317</v>
      </c>
      <c r="C18" s="17">
        <v>9268750</v>
      </c>
      <c r="D18" s="17">
        <f t="shared" si="0"/>
        <v>9268750</v>
      </c>
      <c r="E18" s="49">
        <f>VLOOKUP($A18,'Data shares'!$C:$FA,128)*100</f>
        <v>57.37</v>
      </c>
      <c r="F18" s="49">
        <f>VLOOKUP($A18,'Data shares'!$C:$FA,129)</f>
        <v>4958250</v>
      </c>
      <c r="G18" s="17"/>
    </row>
    <row r="19" spans="1:7" x14ac:dyDescent="0.25">
      <c r="A19" s="101" t="s">
        <v>257</v>
      </c>
      <c r="B19" s="17">
        <v>43771086</v>
      </c>
      <c r="C19" s="17">
        <v>2865850</v>
      </c>
      <c r="D19" s="17">
        <f t="shared" si="0"/>
        <v>2865850</v>
      </c>
      <c r="E19" s="49">
        <f>VLOOKUP($A19,'Data shares'!$C:$FA,128)*100</f>
        <v>27.189999999999998</v>
      </c>
      <c r="F19" s="49">
        <f>VLOOKUP($A19,'Data shares'!$C:$FA,129)</f>
        <v>461600</v>
      </c>
      <c r="G19" s="17"/>
    </row>
    <row r="20" spans="1:7" x14ac:dyDescent="0.25">
      <c r="A20" s="101" t="s">
        <v>259</v>
      </c>
      <c r="B20" s="17">
        <v>12838406</v>
      </c>
      <c r="C20" s="17">
        <v>3561800</v>
      </c>
      <c r="D20" s="17">
        <f t="shared" si="0"/>
        <v>3561800</v>
      </c>
      <c r="E20" s="49">
        <f>VLOOKUP($A20,'Data shares'!$C:$FA,128)*100</f>
        <v>24.16</v>
      </c>
      <c r="F20" s="49">
        <f>VLOOKUP($A20,'Data shares'!$C:$FA,129)</f>
        <v>355920</v>
      </c>
      <c r="G20" s="17"/>
    </row>
    <row r="21" spans="1:7" x14ac:dyDescent="0.25">
      <c r="A21" s="101" t="s">
        <v>212</v>
      </c>
      <c r="B21" s="17">
        <v>393764205</v>
      </c>
      <c r="C21" s="17">
        <v>124730000</v>
      </c>
      <c r="D21" s="17">
        <f t="shared" si="0"/>
        <v>124730000</v>
      </c>
      <c r="E21" s="49">
        <f>VLOOKUP($A21,'Data shares'!$C:$FA,128)*100</f>
        <v>34.839999999999996</v>
      </c>
      <c r="F21" s="49">
        <f>VLOOKUP($A21,'Data shares'!$C:$FA,129)</f>
        <v>13600000</v>
      </c>
      <c r="G21" s="17"/>
    </row>
    <row r="22" spans="1:7" x14ac:dyDescent="0.25">
      <c r="A22" s="101" t="s">
        <v>209</v>
      </c>
      <c r="B22" s="17">
        <v>27768950</v>
      </c>
      <c r="C22" s="17">
        <v>5371100</v>
      </c>
      <c r="D22" s="17">
        <f t="shared" si="0"/>
        <v>5371100</v>
      </c>
      <c r="E22" s="49">
        <f>VLOOKUP($A22,'Data shares'!$C:$FA,128)*100</f>
        <v>42.93</v>
      </c>
      <c r="F22" s="49">
        <f>VLOOKUP($A22,'Data shares'!$C:$FA,129)</f>
        <v>828500</v>
      </c>
      <c r="G22" s="17"/>
    </row>
    <row r="23" spans="1:7" x14ac:dyDescent="0.25">
      <c r="A23" s="101" t="s">
        <v>501</v>
      </c>
      <c r="B23" s="17">
        <v>155792872</v>
      </c>
      <c r="C23" s="17">
        <v>50166406</v>
      </c>
      <c r="D23" s="17">
        <f t="shared" si="0"/>
        <v>50166406</v>
      </c>
      <c r="E23" s="49">
        <f>VLOOKUP($A23,'Data shares'!$C:$FA,128)*100</f>
        <v>35.799999999999997</v>
      </c>
      <c r="F23" s="49">
        <f>VLOOKUP($A23,'Data shares'!$C:$FA,129)</f>
        <v>3687000</v>
      </c>
      <c r="G23" s="17"/>
    </row>
    <row r="24" spans="1:7" x14ac:dyDescent="0.25">
      <c r="A24" s="101" t="s">
        <v>276</v>
      </c>
      <c r="B24" s="17">
        <v>678857930</v>
      </c>
      <c r="C24" s="17">
        <v>84677374</v>
      </c>
      <c r="D24" s="17">
        <f t="shared" si="0"/>
        <v>84677374</v>
      </c>
      <c r="E24" s="49">
        <f>VLOOKUP($A24,'Data shares'!$C:$FA,128)*100</f>
        <v>45.06</v>
      </c>
      <c r="F24" s="49">
        <f>VLOOKUP($A24,'Data shares'!$C:$FA,129)</f>
        <v>17732700</v>
      </c>
      <c r="G24" s="17"/>
    </row>
    <row r="25" spans="1:7" x14ac:dyDescent="0.25">
      <c r="A25" s="101" t="s">
        <v>210</v>
      </c>
      <c r="B25" s="17">
        <v>14114257</v>
      </c>
      <c r="C25" s="17">
        <v>11000000</v>
      </c>
      <c r="D25" s="17">
        <f t="shared" si="0"/>
        <v>11000000</v>
      </c>
      <c r="E25" s="49">
        <f>VLOOKUP($A25,'Data shares'!$C:$FA,128)*100</f>
        <v>42.93</v>
      </c>
      <c r="F25" s="49">
        <f>VLOOKUP($A25,'Data shares'!$C:$FA,129)</f>
        <v>828500</v>
      </c>
      <c r="G25" s="17"/>
    </row>
    <row r="26" spans="1:7" x14ac:dyDescent="0.25">
      <c r="A26" s="101" t="s">
        <v>267</v>
      </c>
      <c r="B26" s="17">
        <v>229794455</v>
      </c>
      <c r="C26" s="17">
        <v>133289800</v>
      </c>
      <c r="D26" s="17">
        <f t="shared" si="0"/>
        <v>133289800</v>
      </c>
      <c r="E26" s="49">
        <f>VLOOKUP($A26,'Data shares'!$C:$FA,128)*100</f>
        <v>31.69</v>
      </c>
      <c r="F26" s="49">
        <f>VLOOKUP($A26,'Data shares'!$C:$FA,129)</f>
        <v>64347750</v>
      </c>
      <c r="G26" s="17"/>
    </row>
    <row r="27" spans="1:7" x14ac:dyDescent="0.25">
      <c r="A27" s="101" t="s">
        <v>533</v>
      </c>
      <c r="B27" s="17">
        <v>61337685</v>
      </c>
      <c r="C27" s="17">
        <v>24741600</v>
      </c>
      <c r="D27" s="17">
        <f t="shared" si="0"/>
        <v>24741600</v>
      </c>
      <c r="E27" s="49">
        <f>VLOOKUP($A27,'Data shares'!$C:$FA,128)*100</f>
        <v>44.06</v>
      </c>
      <c r="F27" s="49">
        <f>VLOOKUP($A27,'Data shares'!$C:$FA,129)</f>
        <v>1818150</v>
      </c>
      <c r="G27" s="17"/>
    </row>
    <row r="28" spans="1:7" x14ac:dyDescent="0.25">
      <c r="A28" s="101" t="s">
        <v>502</v>
      </c>
      <c r="B28" s="17">
        <v>5165920</v>
      </c>
      <c r="C28" s="17">
        <v>1179400</v>
      </c>
      <c r="D28" s="17">
        <f t="shared" si="0"/>
        <v>1179400</v>
      </c>
      <c r="E28" s="49">
        <f>VLOOKUP($A28,'Data shares'!$C:$FA,128)*100</f>
        <v>36.86</v>
      </c>
      <c r="F28" s="49">
        <f>VLOOKUP($A28,'Data shares'!$C:$FA,129)</f>
        <v>1564375</v>
      </c>
      <c r="G28" s="17"/>
    </row>
    <row r="29" spans="1:7" x14ac:dyDescent="0.25">
      <c r="A29" s="101" t="s">
        <v>474</v>
      </c>
      <c r="B29" s="17">
        <v>7339737</v>
      </c>
      <c r="C29" s="17">
        <v>979625</v>
      </c>
      <c r="D29" s="17">
        <f t="shared" si="0"/>
        <v>979625</v>
      </c>
      <c r="E29" s="49">
        <f>VLOOKUP($A29,'Data shares'!$C:$FA,128)*100</f>
        <v>33.979999999999997</v>
      </c>
      <c r="F29" s="49">
        <f>VLOOKUP($A29,'Data shares'!$C:$FA,129)</f>
        <v>915025</v>
      </c>
      <c r="G29" s="17"/>
    </row>
    <row r="30" spans="1:7" x14ac:dyDescent="0.25">
      <c r="A30" s="101" t="s">
        <v>158</v>
      </c>
      <c r="B30" s="17">
        <v>17078428</v>
      </c>
      <c r="C30" s="17">
        <v>3648750</v>
      </c>
      <c r="D30" s="17">
        <f t="shared" si="0"/>
        <v>3648750</v>
      </c>
      <c r="E30" s="49">
        <f>VLOOKUP($A30,'Data shares'!$C:$FA,128)*100</f>
        <v>30.919999999999998</v>
      </c>
      <c r="F30" s="49">
        <f>VLOOKUP($A30,'Data shares'!$C:$FA,129)</f>
        <v>2377700</v>
      </c>
      <c r="G30" s="17"/>
    </row>
    <row r="31" spans="1:7" x14ac:dyDescent="0.25">
      <c r="A31" s="101" t="s">
        <v>268</v>
      </c>
      <c r="B31" s="17">
        <v>948263976</v>
      </c>
      <c r="C31" s="17">
        <v>170042400</v>
      </c>
      <c r="D31" s="17">
        <f t="shared" si="0"/>
        <v>170042400</v>
      </c>
      <c r="E31" s="49">
        <f>VLOOKUP($A31,'Data shares'!$C:$FA,128)*100</f>
        <v>40.98</v>
      </c>
      <c r="F31" s="49">
        <f>VLOOKUP($A31,'Data shares'!$C:$FA,129)</f>
        <v>25731000</v>
      </c>
      <c r="G31" s="17"/>
    </row>
    <row r="32" spans="1:7" x14ac:dyDescent="0.25">
      <c r="A32" s="101" t="s">
        <v>556</v>
      </c>
      <c r="B32" s="17">
        <v>51441633</v>
      </c>
      <c r="C32" s="17">
        <v>26329600</v>
      </c>
      <c r="D32" s="17">
        <f t="shared" si="0"/>
        <v>26329600</v>
      </c>
      <c r="E32" s="49">
        <f>VLOOKUP($A32,'Data shares'!$C:$FA,128)*100</f>
        <v>47.43</v>
      </c>
      <c r="F32" s="49">
        <f>VLOOKUP($A32,'Data shares'!$C:$FA,129)</f>
        <v>1309500</v>
      </c>
      <c r="G32" s="17"/>
    </row>
    <row r="33" spans="1:7" x14ac:dyDescent="0.25">
      <c r="A33" s="101" t="s">
        <v>549</v>
      </c>
      <c r="B33" s="17">
        <v>319287188</v>
      </c>
      <c r="C33" s="17">
        <v>149780000</v>
      </c>
      <c r="D33" s="17">
        <f t="shared" si="0"/>
        <v>149780000</v>
      </c>
      <c r="E33" s="49">
        <f>VLOOKUP($A33,'Data shares'!$C:$FA,128)*100</f>
        <v>42.25</v>
      </c>
      <c r="F33" s="49">
        <f>VLOOKUP($A33,'Data shares'!$C:$FA,129)</f>
        <v>1994867250</v>
      </c>
      <c r="G33" s="17"/>
    </row>
    <row r="34" spans="1:7" x14ac:dyDescent="0.25">
      <c r="A34" s="101" t="s">
        <v>536</v>
      </c>
      <c r="B34" s="17">
        <v>57585215</v>
      </c>
      <c r="C34" s="17">
        <v>5314000</v>
      </c>
      <c r="D34" s="17">
        <f t="shared" si="0"/>
        <v>5314000</v>
      </c>
      <c r="E34" s="49">
        <f>VLOOKUP($A34,'Data shares'!$C:$FA,128)*100</f>
        <v>33.910000000000004</v>
      </c>
      <c r="F34" s="49">
        <f>VLOOKUP($A34,'Data shares'!$C:$FA,129)</f>
        <v>6884800</v>
      </c>
      <c r="G34" s="17"/>
    </row>
    <row r="35" spans="1:7" x14ac:dyDescent="0.25">
      <c r="A35" s="101" t="s">
        <v>270</v>
      </c>
      <c r="B35" s="17">
        <v>1178038</v>
      </c>
      <c r="C35" s="17">
        <v>100890</v>
      </c>
      <c r="D35" s="17">
        <f t="shared" si="0"/>
        <v>100890</v>
      </c>
      <c r="E35" s="49">
        <f>VLOOKUP($A35,'Data shares'!$C:$FA,128)*100</f>
        <v>35.380000000000003</v>
      </c>
      <c r="F35" s="49">
        <f>VLOOKUP($A35,'Data shares'!$C:$FA,129)</f>
        <v>23235</v>
      </c>
      <c r="G35" s="17"/>
    </row>
    <row r="36" spans="1:7" x14ac:dyDescent="0.25">
      <c r="A36" s="101" t="s">
        <v>258</v>
      </c>
      <c r="B36" s="17">
        <v>13335005</v>
      </c>
      <c r="C36" s="17">
        <v>5970600</v>
      </c>
      <c r="D36" s="17">
        <f t="shared" si="0"/>
        <v>5970600</v>
      </c>
      <c r="E36" s="49">
        <f>VLOOKUP($A36,'Data shares'!$C:$FA,128)*100</f>
        <v>27.189999999999998</v>
      </c>
      <c r="F36" s="49">
        <f>VLOOKUP($A36,'Data shares'!$C:$FA,129)</f>
        <v>461600</v>
      </c>
      <c r="G36" s="17"/>
    </row>
    <row r="37" spans="1:7" x14ac:dyDescent="0.25">
      <c r="A37" s="101" t="s">
        <v>301</v>
      </c>
      <c r="B37" s="17">
        <v>14428803</v>
      </c>
      <c r="C37" s="17">
        <v>2171400</v>
      </c>
      <c r="D37" s="17">
        <f t="shared" si="0"/>
        <v>2171400</v>
      </c>
      <c r="E37" s="49">
        <f>VLOOKUP($A37,'Data shares'!$C:$FA,128)*100</f>
        <v>33.18</v>
      </c>
      <c r="F37" s="49">
        <f>VLOOKUP($A37,'Data shares'!$C:$FA,129)</f>
        <v>970725</v>
      </c>
      <c r="G37" s="17"/>
    </row>
    <row r="38" spans="1:7" x14ac:dyDescent="0.25">
      <c r="A38" s="101" t="s">
        <v>283</v>
      </c>
      <c r="B38" s="17">
        <v>747713393</v>
      </c>
      <c r="C38" s="17">
        <v>158166000</v>
      </c>
      <c r="D38" s="17">
        <f t="shared" si="0"/>
        <v>158166000</v>
      </c>
      <c r="E38" s="49">
        <f>VLOOKUP($A38,'Data shares'!$C:$FA,128)*100</f>
        <v>39.979999999999997</v>
      </c>
      <c r="F38" s="49">
        <f>VLOOKUP($A38,'Data shares'!$C:$FA,129)</f>
        <v>20195250</v>
      </c>
      <c r="G38" s="17"/>
    </row>
    <row r="39" spans="1:7" x14ac:dyDescent="0.25">
      <c r="A39" s="101" t="s">
        <v>281</v>
      </c>
      <c r="B39" s="17">
        <v>648405756</v>
      </c>
      <c r="C39" s="17">
        <v>61815500</v>
      </c>
      <c r="D39" s="17">
        <f t="shared" si="0"/>
        <v>61815500</v>
      </c>
      <c r="E39" s="49">
        <f>VLOOKUP($A39,'Data shares'!$C:$FA,128)*100</f>
        <v>48.88</v>
      </c>
      <c r="F39" s="49">
        <f>VLOOKUP($A39,'Data shares'!$C:$FA,129)</f>
        <v>33077500</v>
      </c>
      <c r="G39" s="17"/>
    </row>
    <row r="40" spans="1:7" x14ac:dyDescent="0.25">
      <c r="A40" s="101" t="s">
        <v>198</v>
      </c>
      <c r="B40" s="17">
        <v>79546680</v>
      </c>
      <c r="C40" s="17">
        <v>13283750</v>
      </c>
      <c r="D40" s="17">
        <f t="shared" si="0"/>
        <v>13283750</v>
      </c>
      <c r="E40" s="49">
        <f>VLOOKUP($A40,'Data shares'!$C:$FA,128)*100</f>
        <v>34.910000000000004</v>
      </c>
      <c r="F40" s="49">
        <f>VLOOKUP($A40,'Data shares'!$C:$FA,129)</f>
        <v>2222500</v>
      </c>
      <c r="G40" s="17"/>
    </row>
    <row r="41" spans="1:7" x14ac:dyDescent="0.25">
      <c r="A41" s="101" t="s">
        <v>299</v>
      </c>
      <c r="B41" s="17">
        <v>44634693</v>
      </c>
      <c r="C41" s="17">
        <v>3805500</v>
      </c>
      <c r="D41" s="17">
        <f t="shared" si="0"/>
        <v>3805500</v>
      </c>
      <c r="E41" s="49">
        <f>VLOOKUP($A41,'Data shares'!$C:$FA,128)*100</f>
        <v>0</v>
      </c>
      <c r="F41" s="49">
        <f>VLOOKUP($A41,'Data shares'!$C:$FA,129)</f>
        <v>0</v>
      </c>
      <c r="G41" s="17"/>
    </row>
    <row r="42" spans="1:7" x14ac:dyDescent="0.25">
      <c r="A42" s="101" t="s">
        <v>273</v>
      </c>
      <c r="B42" s="17">
        <v>232357926</v>
      </c>
      <c r="C42" s="17">
        <v>67053000</v>
      </c>
      <c r="D42" s="17">
        <f t="shared" si="0"/>
        <v>67053000</v>
      </c>
      <c r="E42" s="49">
        <f>VLOOKUP($A42,'Data shares'!$C:$FA,128)*100</f>
        <v>42.199999999999996</v>
      </c>
      <c r="F42" s="49">
        <f>VLOOKUP($A42,'Data shares'!$C:$FA,129)</f>
        <v>14184300</v>
      </c>
      <c r="G42" s="17"/>
    </row>
    <row r="43" spans="1:7" x14ac:dyDescent="0.25">
      <c r="A43" s="101" t="s">
        <v>207</v>
      </c>
      <c r="B43" s="17">
        <v>124016568</v>
      </c>
      <c r="C43" s="17">
        <v>57530550</v>
      </c>
      <c r="D43" s="17">
        <f t="shared" si="0"/>
        <v>57530550</v>
      </c>
      <c r="E43" s="49">
        <f>VLOOKUP($A43,'Data shares'!$C:$FA,128)*100</f>
        <v>37.519999999999996</v>
      </c>
      <c r="F43" s="49">
        <f>VLOOKUP($A43,'Data shares'!$C:$FA,129)</f>
        <v>10678800</v>
      </c>
      <c r="G43" s="17"/>
    </row>
    <row r="44" spans="1:7" x14ac:dyDescent="0.25">
      <c r="A44" s="101" t="s">
        <v>191</v>
      </c>
      <c r="B44" s="17">
        <v>92946457</v>
      </c>
      <c r="C44" s="17">
        <v>36478000</v>
      </c>
      <c r="D44" s="17">
        <f t="shared" si="0"/>
        <v>36478000</v>
      </c>
      <c r="E44" s="49">
        <f>VLOOKUP($A44,'Data shares'!$C:$FA,128)*100</f>
        <v>33.11</v>
      </c>
      <c r="F44" s="49">
        <f>VLOOKUP($A44,'Data shares'!$C:$FA,129)</f>
        <v>6862500</v>
      </c>
      <c r="G44" s="17"/>
    </row>
    <row r="45" spans="1:7" x14ac:dyDescent="0.25">
      <c r="A45" s="101" t="s">
        <v>288</v>
      </c>
      <c r="B45" s="17">
        <v>218440087</v>
      </c>
      <c r="C45" s="17">
        <v>44080400</v>
      </c>
      <c r="D45" s="17">
        <f t="shared" si="0"/>
        <v>44080400</v>
      </c>
      <c r="E45" s="49">
        <f>VLOOKUP($A45,'Data shares'!$C:$FA,128)*100</f>
        <v>48.32</v>
      </c>
      <c r="F45" s="49">
        <f>VLOOKUP($A45,'Data shares'!$C:$FA,129)</f>
        <v>5460000</v>
      </c>
      <c r="G45" s="17"/>
    </row>
    <row r="46" spans="1:7" x14ac:dyDescent="0.25">
      <c r="A46" s="101" t="s">
        <v>275</v>
      </c>
      <c r="B46" s="17">
        <v>591377974</v>
      </c>
      <c r="C46" s="17">
        <v>493488000</v>
      </c>
      <c r="D46" s="17">
        <f t="shared" si="0"/>
        <v>493488000</v>
      </c>
      <c r="E46" s="49">
        <f>VLOOKUP($A46,'Data shares'!$C:$FA,128)*100</f>
        <v>40.97</v>
      </c>
      <c r="F46" s="49">
        <f>VLOOKUP($A46,'Data shares'!$C:$FA,129)</f>
        <v>64328000</v>
      </c>
      <c r="G46" s="17"/>
    </row>
    <row r="47" spans="1:7" x14ac:dyDescent="0.25">
      <c r="A47" s="101" t="s">
        <v>277</v>
      </c>
      <c r="B47" s="17">
        <v>10116165</v>
      </c>
      <c r="C47" s="17">
        <v>7378910</v>
      </c>
      <c r="D47" s="17">
        <f t="shared" si="0"/>
        <v>7378910</v>
      </c>
      <c r="E47" s="49">
        <f>VLOOKUP($A47,'Data shares'!$C:$FA,128)*100</f>
        <v>31.25</v>
      </c>
      <c r="F47" s="49">
        <f>VLOOKUP($A47,'Data shares'!$C:$FA,129)</f>
        <v>504900</v>
      </c>
      <c r="G47" s="17"/>
    </row>
    <row r="48" spans="1:7" x14ac:dyDescent="0.25">
      <c r="A48" s="101" t="s">
        <v>196</v>
      </c>
      <c r="B48" s="17">
        <v>134484114</v>
      </c>
      <c r="C48" s="17">
        <v>73278000</v>
      </c>
      <c r="D48" s="17">
        <f t="shared" si="0"/>
        <v>73278000</v>
      </c>
      <c r="E48" s="49">
        <f>VLOOKUP($A48,'Data shares'!$C:$FA,128)*100</f>
        <v>50.690000000000005</v>
      </c>
      <c r="F48" s="49">
        <f>VLOOKUP($A48,'Data shares'!$C:$FA,129)</f>
        <v>55053000</v>
      </c>
      <c r="G48" s="17"/>
    </row>
    <row r="49" spans="1:7" x14ac:dyDescent="0.25">
      <c r="A49" s="101" t="s">
        <v>287</v>
      </c>
      <c r="B49" s="17">
        <v>40005132</v>
      </c>
      <c r="C49" s="17">
        <v>6264400</v>
      </c>
      <c r="D49" s="17">
        <f t="shared" si="0"/>
        <v>6264400</v>
      </c>
      <c r="E49" s="49">
        <f>VLOOKUP($A49,'Data shares'!$C:$FA,128)*100</f>
        <v>34.67</v>
      </c>
      <c r="F49" s="49">
        <f>VLOOKUP($A49,'Data shares'!$C:$FA,129)</f>
        <v>465000</v>
      </c>
      <c r="G49" s="17"/>
    </row>
    <row r="50" spans="1:7" x14ac:dyDescent="0.25">
      <c r="A50" s="101" t="s">
        <v>553</v>
      </c>
      <c r="B50" s="17">
        <v>10595418</v>
      </c>
      <c r="C50" s="17">
        <v>250250</v>
      </c>
      <c r="D50" s="17">
        <f t="shared" si="0"/>
        <v>250250</v>
      </c>
      <c r="E50" s="49">
        <f>VLOOKUP($A50,'Data shares'!$C:$FA,128)*100</f>
        <v>39.22</v>
      </c>
      <c r="F50" s="49">
        <f>VLOOKUP($A50,'Data shares'!$C:$FA,129)</f>
        <v>392875</v>
      </c>
      <c r="G50" s="17"/>
    </row>
    <row r="51" spans="1:7" x14ac:dyDescent="0.25">
      <c r="A51" s="101" t="s">
        <v>519</v>
      </c>
      <c r="B51" s="17">
        <v>9516271</v>
      </c>
      <c r="C51" s="17">
        <v>1000800</v>
      </c>
      <c r="D51" s="17">
        <f t="shared" si="0"/>
        <v>1000800</v>
      </c>
      <c r="E51" s="49">
        <f>VLOOKUP($A51,'Data shares'!$C:$FA,128)*100</f>
        <v>28.65</v>
      </c>
      <c r="F51" s="49">
        <f>VLOOKUP($A51,'Data shares'!$C:$FA,129)</f>
        <v>226875</v>
      </c>
      <c r="G51" s="17"/>
    </row>
    <row r="52" spans="1:7" x14ac:dyDescent="0.25">
      <c r="A52" s="101" t="s">
        <v>550</v>
      </c>
      <c r="B52" s="17">
        <v>137684181</v>
      </c>
      <c r="C52" s="17">
        <v>42696000</v>
      </c>
      <c r="D52" s="17">
        <f t="shared" si="0"/>
        <v>42696000</v>
      </c>
      <c r="E52" s="49">
        <f>VLOOKUP($A52,'Data shares'!$C:$FA,128)*100</f>
        <v>47.78</v>
      </c>
      <c r="F52" s="49">
        <f>VLOOKUP($A52,'Data shares'!$C:$FA,129)</f>
        <v>12675000</v>
      </c>
      <c r="G52" s="17"/>
    </row>
    <row r="53" spans="1:7" x14ac:dyDescent="0.25">
      <c r="A53" s="101" t="s">
        <v>284</v>
      </c>
      <c r="B53" s="17">
        <v>2702190</v>
      </c>
      <c r="C53" s="17">
        <v>250575</v>
      </c>
      <c r="D53" s="17">
        <f t="shared" si="0"/>
        <v>250575</v>
      </c>
      <c r="E53" s="49">
        <f>VLOOKUP($A53,'Data shares'!$C:$FA,128)*100</f>
        <v>33.129999999999995</v>
      </c>
      <c r="F53" s="49">
        <f>VLOOKUP($A53,'Data shares'!$C:$FA,129)</f>
        <v>28375</v>
      </c>
      <c r="G53" s="17"/>
    </row>
    <row r="54" spans="1:7" x14ac:dyDescent="0.25">
      <c r="A54" s="101" t="s">
        <v>488</v>
      </c>
      <c r="B54" s="17">
        <v>5499709</v>
      </c>
      <c r="C54" s="17">
        <v>1097600</v>
      </c>
      <c r="D54" s="17">
        <f t="shared" si="0"/>
        <v>1097600</v>
      </c>
      <c r="E54" s="49">
        <f>VLOOKUP($A54,'Data shares'!$C:$FA,128)*100</f>
        <v>47.47</v>
      </c>
      <c r="F54" s="49">
        <f>VLOOKUP($A54,'Data shares'!$C:$FA,129)</f>
        <v>1496250</v>
      </c>
      <c r="G54" s="17"/>
    </row>
    <row r="55" spans="1:7" x14ac:dyDescent="0.25">
      <c r="A55" s="101" t="s">
        <v>523</v>
      </c>
      <c r="B55" s="17">
        <v>118085392</v>
      </c>
      <c r="C55" s="17">
        <v>6549400</v>
      </c>
      <c r="D55" s="17">
        <f t="shared" si="0"/>
        <v>6549400</v>
      </c>
      <c r="E55" s="49">
        <f>VLOOKUP($A55,'Data shares'!$C:$FA,128)*100</f>
        <v>38.97</v>
      </c>
      <c r="F55" s="49">
        <f>VLOOKUP($A55,'Data shares'!$C:$FA,129)</f>
        <v>3560400</v>
      </c>
      <c r="G55" s="17"/>
    </row>
    <row r="56" spans="1:7" x14ac:dyDescent="0.25">
      <c r="A56" s="101" t="s">
        <v>485</v>
      </c>
      <c r="B56" s="17">
        <v>6917069</v>
      </c>
      <c r="C56" s="17">
        <v>762075</v>
      </c>
      <c r="D56" s="17">
        <f t="shared" si="0"/>
        <v>762075</v>
      </c>
      <c r="E56" s="49">
        <f>VLOOKUP($A56,'Data shares'!$C:$FA,128)*100</f>
        <v>50.960000000000008</v>
      </c>
      <c r="F56" s="49">
        <f>VLOOKUP($A56,'Data shares'!$C:$FA,129)</f>
        <v>1917000</v>
      </c>
      <c r="G56" s="17"/>
    </row>
    <row r="57" spans="1:7" x14ac:dyDescent="0.25">
      <c r="A57" s="101" t="s">
        <v>178</v>
      </c>
      <c r="B57" s="17">
        <v>16125398</v>
      </c>
      <c r="C57" s="17">
        <v>1552600</v>
      </c>
      <c r="D57" s="17">
        <f t="shared" si="0"/>
        <v>1552600</v>
      </c>
      <c r="E57" s="49">
        <f>VLOOKUP($A57,'Data shares'!$C:$FA,128)*100</f>
        <v>42.93</v>
      </c>
      <c r="F57" s="49">
        <f>VLOOKUP($A57,'Data shares'!$C:$FA,129)</f>
        <v>12099000</v>
      </c>
      <c r="G57" s="17"/>
    </row>
    <row r="58" spans="1:7" x14ac:dyDescent="0.25">
      <c r="A58" s="101" t="s">
        <v>240</v>
      </c>
      <c r="B58" s="17">
        <v>727896180</v>
      </c>
      <c r="C58" s="17">
        <v>46526100</v>
      </c>
      <c r="D58" s="17">
        <f t="shared" si="0"/>
        <v>46526100</v>
      </c>
      <c r="E58" s="49">
        <f>VLOOKUP($A58,'Data shares'!$C:$FA,128)*100</f>
        <v>37.68</v>
      </c>
      <c r="F58" s="49">
        <f>VLOOKUP($A58,'Data shares'!$C:$FA,129)</f>
        <v>12364000</v>
      </c>
      <c r="G58" s="17"/>
    </row>
    <row r="59" spans="1:7" x14ac:dyDescent="0.25">
      <c r="A59" s="101" t="s">
        <v>202</v>
      </c>
      <c r="B59" s="17">
        <v>55081874</v>
      </c>
      <c r="C59" s="17">
        <v>10856000</v>
      </c>
      <c r="D59" s="17">
        <f t="shared" si="0"/>
        <v>10856000</v>
      </c>
      <c r="E59" s="49">
        <f>VLOOKUP($A59,'Data shares'!$C:$FA,128)*100</f>
        <v>32.409999999999997</v>
      </c>
      <c r="F59" s="49">
        <f>VLOOKUP($A59,'Data shares'!$C:$FA,129)</f>
        <v>3733750</v>
      </c>
      <c r="G59" s="17"/>
    </row>
    <row r="60" spans="1:7" x14ac:dyDescent="0.25">
      <c r="A60" s="101" t="s">
        <v>245</v>
      </c>
      <c r="B60" s="17">
        <v>15273675</v>
      </c>
      <c r="C60" s="17">
        <v>5077125</v>
      </c>
      <c r="D60" s="17">
        <f t="shared" si="0"/>
        <v>5077125</v>
      </c>
      <c r="E60" s="49">
        <f>VLOOKUP($A60,'Data shares'!$C:$FA,128)*100</f>
        <v>49.230000000000004</v>
      </c>
      <c r="F60" s="49">
        <f>VLOOKUP($A60,'Data shares'!$C:$FA,129)</f>
        <v>18721250</v>
      </c>
      <c r="G60" s="17"/>
    </row>
    <row r="61" spans="1:7" x14ac:dyDescent="0.25">
      <c r="A61" s="101" t="s">
        <v>173</v>
      </c>
      <c r="B61" s="17">
        <v>541823383</v>
      </c>
      <c r="C61" s="17">
        <v>95378400</v>
      </c>
      <c r="D61" s="17">
        <f t="shared" si="0"/>
        <v>95378400</v>
      </c>
      <c r="E61" s="49">
        <f>VLOOKUP($A61,'Data shares'!$C:$FA,128)*100</f>
        <v>58.14</v>
      </c>
      <c r="F61" s="49">
        <f>VLOOKUP($A61,'Data shares'!$C:$FA,129)</f>
        <v>23460000</v>
      </c>
      <c r="G61" s="17"/>
    </row>
    <row r="62" spans="1:7" x14ac:dyDescent="0.25">
      <c r="A62" s="101" t="s">
        <v>234</v>
      </c>
      <c r="B62" s="17">
        <v>1606294231</v>
      </c>
      <c r="C62" s="17">
        <v>1302000000</v>
      </c>
      <c r="D62" s="17">
        <f t="shared" si="0"/>
        <v>1302000000</v>
      </c>
      <c r="E62" s="49">
        <f>VLOOKUP($A62,'Data shares'!$C:$FA,128)*100</f>
        <v>42.25</v>
      </c>
      <c r="F62" s="49">
        <f>VLOOKUP($A62,'Data shares'!$C:$FA,129)</f>
        <v>1994867250</v>
      </c>
      <c r="G62" s="17"/>
    </row>
    <row r="63" spans="1:7" x14ac:dyDescent="0.25">
      <c r="A63" s="101" t="s">
        <v>235</v>
      </c>
      <c r="B63" s="17">
        <v>789260827</v>
      </c>
      <c r="C63" s="17">
        <v>462303900</v>
      </c>
      <c r="D63" s="17">
        <f t="shared" si="0"/>
        <v>462303900</v>
      </c>
      <c r="E63" s="49">
        <f>VLOOKUP($A63,'Data shares'!$C:$FA,128)*100</f>
        <v>52.23</v>
      </c>
      <c r="F63" s="49">
        <f>VLOOKUP($A63,'Data shares'!$C:$FA,129)</f>
        <v>132576850</v>
      </c>
      <c r="G63" s="17"/>
    </row>
    <row r="64" spans="1:7" x14ac:dyDescent="0.25">
      <c r="A64" s="101" t="s">
        <v>482</v>
      </c>
      <c r="B64" s="17">
        <v>44785930</v>
      </c>
      <c r="C64" s="17">
        <v>4025925</v>
      </c>
      <c r="D64" s="17">
        <f t="shared" si="0"/>
        <v>4025925</v>
      </c>
      <c r="E64" s="49">
        <f>VLOOKUP($A64,'Data shares'!$C:$FA,128)*100</f>
        <v>50.99</v>
      </c>
      <c r="F64" s="49">
        <f>VLOOKUP($A64,'Data shares'!$C:$FA,129)</f>
        <v>1840600</v>
      </c>
      <c r="G64" s="17"/>
    </row>
    <row r="65" spans="1:7" x14ac:dyDescent="0.25">
      <c r="A65" s="101" t="s">
        <v>475</v>
      </c>
      <c r="B65" s="17">
        <v>13287700</v>
      </c>
      <c r="C65" s="17">
        <v>3968400</v>
      </c>
      <c r="D65" s="17">
        <f t="shared" si="0"/>
        <v>3968400</v>
      </c>
      <c r="E65" s="49">
        <f>VLOOKUP($A65,'Data shares'!$C:$FA,128)*100</f>
        <v>31.259999999999998</v>
      </c>
      <c r="F65" s="49">
        <f>VLOOKUP($A65,'Data shares'!$C:$FA,129)</f>
        <v>483300</v>
      </c>
      <c r="G65" s="17"/>
    </row>
    <row r="66" spans="1:7" x14ac:dyDescent="0.25">
      <c r="A66" s="101" t="s">
        <v>306</v>
      </c>
      <c r="B66" s="17">
        <v>292716179</v>
      </c>
      <c r="C66" s="17">
        <v>57797600</v>
      </c>
      <c r="D66" s="17">
        <f t="shared" si="0"/>
        <v>57797600</v>
      </c>
      <c r="E66" s="49">
        <f>VLOOKUP($A66,'Data shares'!$C:$FA,128)*100</f>
        <v>46.23</v>
      </c>
      <c r="F66" s="49">
        <f>VLOOKUP($A66,'Data shares'!$C:$FA,129)</f>
        <v>102402000</v>
      </c>
      <c r="G66" s="17"/>
    </row>
    <row r="67" spans="1:7" x14ac:dyDescent="0.25">
      <c r="A67" s="101" t="s">
        <v>262</v>
      </c>
      <c r="B67" s="17">
        <v>21376133</v>
      </c>
      <c r="C67" s="17">
        <v>5958375</v>
      </c>
      <c r="D67" s="17">
        <f t="shared" si="0"/>
        <v>5958375</v>
      </c>
      <c r="E67" s="49">
        <f>VLOOKUP($A67,'Data shares'!$C:$FA,128)*100</f>
        <v>30.28</v>
      </c>
      <c r="F67" s="49">
        <f>VLOOKUP($A67,'Data shares'!$C:$FA,129)</f>
        <v>364650</v>
      </c>
      <c r="G67" s="17"/>
    </row>
    <row r="68" spans="1:7" x14ac:dyDescent="0.25">
      <c r="A68" s="101" t="s">
        <v>174</v>
      </c>
      <c r="B68" s="17">
        <v>26775498</v>
      </c>
      <c r="C68" s="17">
        <v>3494750</v>
      </c>
      <c r="D68" s="17">
        <f t="shared" si="0"/>
        <v>3494750</v>
      </c>
      <c r="E68" s="49">
        <f>VLOOKUP($A68,'Data shares'!$C:$FA,128)*100</f>
        <v>38.32</v>
      </c>
      <c r="F68" s="49">
        <f>VLOOKUP($A68,'Data shares'!$C:$FA,129)</f>
        <v>462075</v>
      </c>
      <c r="G68" s="17"/>
    </row>
    <row r="69" spans="1:7" x14ac:dyDescent="0.25">
      <c r="A69" s="101" t="s">
        <v>286</v>
      </c>
      <c r="B69" s="17">
        <v>29168705</v>
      </c>
      <c r="C69" s="17">
        <v>6373125</v>
      </c>
      <c r="D69" s="17">
        <f t="shared" si="0"/>
        <v>6373125</v>
      </c>
      <c r="E69" s="49">
        <f>VLOOKUP($A69,'Data shares'!$C:$FA,128)*100</f>
        <v>34.67</v>
      </c>
      <c r="F69" s="49">
        <f>VLOOKUP($A69,'Data shares'!$C:$FA,129)</f>
        <v>465000</v>
      </c>
      <c r="G69" s="17"/>
    </row>
    <row r="70" spans="1:7" x14ac:dyDescent="0.25">
      <c r="A70" s="101" t="s">
        <v>297</v>
      </c>
      <c r="B70" s="17">
        <v>83636848</v>
      </c>
      <c r="C70" s="17">
        <v>13455750</v>
      </c>
      <c r="D70" s="17">
        <f t="shared" si="0"/>
        <v>13455750</v>
      </c>
      <c r="E70" s="49">
        <f>VLOOKUP($A70,'Data shares'!$C:$FA,128)*100</f>
        <v>34.61</v>
      </c>
      <c r="F70" s="49">
        <f>VLOOKUP($A70,'Data shares'!$C:$FA,129)</f>
        <v>1528450</v>
      </c>
      <c r="G70" s="17"/>
    </row>
    <row r="71" spans="1:7" x14ac:dyDescent="0.25">
      <c r="A71" s="101" t="s">
        <v>302</v>
      </c>
      <c r="B71" s="17">
        <v>23058222</v>
      </c>
      <c r="C71" s="17">
        <v>3980500</v>
      </c>
      <c r="D71" s="17">
        <f t="shared" ref="D71:D134" si="1">C71</f>
        <v>3980500</v>
      </c>
      <c r="E71" s="49">
        <f>VLOOKUP($A71,'Data shares'!$C:$FA,128)*100</f>
        <v>51.019999999999996</v>
      </c>
      <c r="F71" s="49">
        <f>VLOOKUP($A71,'Data shares'!$C:$FA,129)</f>
        <v>697050</v>
      </c>
      <c r="G71" s="17"/>
    </row>
    <row r="72" spans="1:7" x14ac:dyDescent="0.25">
      <c r="A72" s="101" t="s">
        <v>307</v>
      </c>
      <c r="B72" s="17">
        <v>184439886</v>
      </c>
      <c r="C72" s="17">
        <v>122460000</v>
      </c>
      <c r="D72" s="17">
        <f t="shared" si="1"/>
        <v>122460000</v>
      </c>
      <c r="E72" s="49">
        <f>VLOOKUP($A72,'Data shares'!$C:$FA,128)*100</f>
        <v>45.76</v>
      </c>
      <c r="F72" s="49">
        <f>VLOOKUP($A72,'Data shares'!$C:$FA,129)</f>
        <v>348164500</v>
      </c>
      <c r="G72" s="17"/>
    </row>
    <row r="73" spans="1:7" x14ac:dyDescent="0.25">
      <c r="A73" s="101" t="s">
        <v>177</v>
      </c>
      <c r="B73" s="17">
        <v>52956314</v>
      </c>
      <c r="C73" s="17">
        <v>7784625</v>
      </c>
      <c r="D73" s="17">
        <f t="shared" si="1"/>
        <v>7784625</v>
      </c>
      <c r="E73" s="49">
        <f>VLOOKUP($A73,'Data shares'!$C:$FA,128)*100</f>
        <v>42.93</v>
      </c>
      <c r="F73" s="49">
        <f>VLOOKUP($A73,'Data shares'!$C:$FA,129)</f>
        <v>12099000</v>
      </c>
      <c r="G73" s="17"/>
    </row>
    <row r="74" spans="1:7" x14ac:dyDescent="0.25">
      <c r="A74" s="101" t="s">
        <v>545</v>
      </c>
      <c r="B74" s="17">
        <v>23498849</v>
      </c>
      <c r="C74" s="17">
        <v>15745600</v>
      </c>
      <c r="D74" s="17">
        <f t="shared" si="1"/>
        <v>15745600</v>
      </c>
      <c r="E74" s="49">
        <f>VLOOKUP($A74,'Data shares'!$C:$FA,128)*100</f>
        <v>42.93</v>
      </c>
      <c r="F74" s="49">
        <f>VLOOKUP($A74,'Data shares'!$C:$FA,129)</f>
        <v>12099000</v>
      </c>
      <c r="G74" s="17"/>
    </row>
    <row r="75" spans="1:7" x14ac:dyDescent="0.25">
      <c r="A75" s="101" t="s">
        <v>185</v>
      </c>
      <c r="B75" s="17">
        <v>238123793</v>
      </c>
      <c r="C75" s="17">
        <v>59926000</v>
      </c>
      <c r="D75" s="17">
        <f t="shared" si="1"/>
        <v>59926000</v>
      </c>
      <c r="E75" s="49">
        <f>VLOOKUP($A75,'Data shares'!$C:$FA,128)*100</f>
        <v>42.089999999999996</v>
      </c>
      <c r="F75" s="49">
        <f>VLOOKUP($A75,'Data shares'!$C:$FA,129)</f>
        <v>28519950</v>
      </c>
      <c r="G75" s="17"/>
    </row>
    <row r="76" spans="1:7" x14ac:dyDescent="0.25">
      <c r="A76" s="101" t="s">
        <v>219</v>
      </c>
      <c r="B76" s="17">
        <v>75317259</v>
      </c>
      <c r="C76" s="17">
        <v>12188500</v>
      </c>
      <c r="D76" s="17">
        <f t="shared" si="1"/>
        <v>12188500</v>
      </c>
      <c r="E76" s="49">
        <f>VLOOKUP($A76,'Data shares'!$C:$FA,128)*100</f>
        <v>57.37</v>
      </c>
      <c r="F76" s="49">
        <f>VLOOKUP($A76,'Data shares'!$C:$FA,129)</f>
        <v>4958250</v>
      </c>
      <c r="G76" s="17"/>
    </row>
    <row r="77" spans="1:7" x14ac:dyDescent="0.25">
      <c r="A77" s="101" t="s">
        <v>534</v>
      </c>
      <c r="B77" s="17">
        <v>70381221</v>
      </c>
      <c r="C77" s="17">
        <v>3354100</v>
      </c>
      <c r="D77" s="17">
        <f t="shared" si="1"/>
        <v>3354100</v>
      </c>
      <c r="E77" s="49">
        <f>VLOOKUP($A77,'Data shares'!$C:$FA,128)*100</f>
        <v>57.37</v>
      </c>
      <c r="F77" s="49">
        <f>VLOOKUP($A77,'Data shares'!$C:$FA,129)</f>
        <v>4958250</v>
      </c>
      <c r="G77" s="17"/>
    </row>
    <row r="78" spans="1:7" x14ac:dyDescent="0.25">
      <c r="A78" s="101" t="s">
        <v>516</v>
      </c>
      <c r="B78" s="17">
        <v>27254349</v>
      </c>
      <c r="C78" s="17">
        <v>1133550</v>
      </c>
      <c r="D78" s="17">
        <f t="shared" si="1"/>
        <v>1133550</v>
      </c>
      <c r="E78" s="49">
        <f>VLOOKUP($A78,'Data shares'!$C:$FA,128)*100</f>
        <v>40.739999999999995</v>
      </c>
      <c r="F78" s="49">
        <f>VLOOKUP($A78,'Data shares'!$C:$FA,129)</f>
        <v>18744375</v>
      </c>
      <c r="G78" s="17"/>
    </row>
    <row r="79" spans="1:7" x14ac:dyDescent="0.25">
      <c r="A79" s="101" t="s">
        <v>271</v>
      </c>
      <c r="B79" s="17">
        <v>26746179</v>
      </c>
      <c r="C79" s="17">
        <v>5445825</v>
      </c>
      <c r="D79" s="17">
        <f t="shared" si="1"/>
        <v>5445825</v>
      </c>
      <c r="E79" s="49">
        <f>VLOOKUP($A79,'Data shares'!$C:$FA,128)*100</f>
        <v>38.57</v>
      </c>
      <c r="F79" s="49">
        <f>VLOOKUP($A79,'Data shares'!$C:$FA,129)</f>
        <v>2776025</v>
      </c>
      <c r="G79" s="17"/>
    </row>
    <row r="80" spans="1:7" x14ac:dyDescent="0.25">
      <c r="A80" s="101" t="s">
        <v>264</v>
      </c>
      <c r="B80" s="17">
        <v>15844192</v>
      </c>
      <c r="C80" s="17">
        <v>2354125</v>
      </c>
      <c r="D80" s="17">
        <f t="shared" si="1"/>
        <v>2354125</v>
      </c>
      <c r="E80" s="49">
        <f>VLOOKUP($A80,'Data shares'!$C:$FA,128)*100</f>
        <v>50.960000000000008</v>
      </c>
      <c r="F80" s="49">
        <f>VLOOKUP($A80,'Data shares'!$C:$FA,129)</f>
        <v>1917000</v>
      </c>
      <c r="G80" s="17"/>
    </row>
    <row r="81" spans="1:7" x14ac:dyDescent="0.25">
      <c r="A81" s="101" t="s">
        <v>208</v>
      </c>
      <c r="B81" s="17">
        <v>24296838</v>
      </c>
      <c r="C81" s="17">
        <v>5125750</v>
      </c>
      <c r="D81" s="17">
        <f t="shared" si="1"/>
        <v>5125750</v>
      </c>
      <c r="E81" s="49">
        <f>VLOOKUP($A81,'Data shares'!$C:$FA,128)*100</f>
        <v>49.17</v>
      </c>
      <c r="F81" s="49">
        <f>VLOOKUP($A81,'Data shares'!$C:$FA,129)</f>
        <v>2390000</v>
      </c>
      <c r="G81" s="17"/>
    </row>
    <row r="82" spans="1:7" x14ac:dyDescent="0.25">
      <c r="A82" s="101" t="s">
        <v>552</v>
      </c>
      <c r="B82" s="17">
        <v>23447901</v>
      </c>
      <c r="C82" s="17">
        <v>3785600</v>
      </c>
      <c r="D82" s="17">
        <f t="shared" si="1"/>
        <v>3785600</v>
      </c>
      <c r="E82" s="49">
        <f>VLOOKUP($A82,'Data shares'!$C:$FA,128)*100</f>
        <v>39.550000000000004</v>
      </c>
      <c r="F82" s="49">
        <f>VLOOKUP($A82,'Data shares'!$C:$FA,129)</f>
        <v>6806800</v>
      </c>
      <c r="G82" s="17"/>
    </row>
    <row r="83" spans="1:7" x14ac:dyDescent="0.25">
      <c r="A83" s="101" t="s">
        <v>204</v>
      </c>
      <c r="B83" s="17">
        <v>115362060</v>
      </c>
      <c r="C83" s="17">
        <v>19043750</v>
      </c>
      <c r="D83" s="17">
        <f t="shared" si="1"/>
        <v>19043750</v>
      </c>
      <c r="E83" s="49">
        <f>VLOOKUP($A83,'Data shares'!$C:$FA,128)*100</f>
        <v>35.03</v>
      </c>
      <c r="F83" s="49">
        <f>VLOOKUP($A83,'Data shares'!$C:$FA,129)</f>
        <v>2565000</v>
      </c>
      <c r="G83" s="17"/>
    </row>
    <row r="84" spans="1:7" x14ac:dyDescent="0.25">
      <c r="A84" s="101" t="s">
        <v>528</v>
      </c>
      <c r="B84" s="17">
        <v>23485458</v>
      </c>
      <c r="C84" s="17">
        <v>4272800</v>
      </c>
      <c r="D84" s="17">
        <f t="shared" si="1"/>
        <v>4272800</v>
      </c>
      <c r="E84" s="49">
        <f>VLOOKUP($A84,'Data shares'!$C:$FA,128)*100</f>
        <v>31.419999999999998</v>
      </c>
      <c r="F84" s="49">
        <f>VLOOKUP($A84,'Data shares'!$C:$FA,129)</f>
        <v>1503250</v>
      </c>
      <c r="G84" s="17"/>
    </row>
    <row r="85" spans="1:7" x14ac:dyDescent="0.25">
      <c r="A85" s="101" t="s">
        <v>551</v>
      </c>
      <c r="B85" s="17">
        <v>39593365</v>
      </c>
      <c r="C85" s="17">
        <v>12215000</v>
      </c>
      <c r="D85" s="17">
        <f t="shared" si="1"/>
        <v>12215000</v>
      </c>
      <c r="E85" s="49">
        <f>VLOOKUP($A85,'Data shares'!$C:$FA,128)*100</f>
        <v>31.25</v>
      </c>
      <c r="F85" s="49">
        <f>VLOOKUP($A85,'Data shares'!$C:$FA,129)</f>
        <v>504900</v>
      </c>
      <c r="G85" s="17"/>
    </row>
    <row r="86" spans="1:7" x14ac:dyDescent="0.25">
      <c r="A86" s="101" t="s">
        <v>292</v>
      </c>
      <c r="B86" s="17">
        <v>355933451</v>
      </c>
      <c r="C86" s="17">
        <v>204117000</v>
      </c>
      <c r="D86" s="17">
        <f t="shared" si="1"/>
        <v>204117000</v>
      </c>
      <c r="E86" s="49">
        <f>VLOOKUP($A86,'Data shares'!$C:$FA,128)*100</f>
        <v>59.160000000000004</v>
      </c>
      <c r="F86" s="49">
        <f>VLOOKUP($A86,'Data shares'!$C:$FA,129)</f>
        <v>921700</v>
      </c>
      <c r="G86" s="17"/>
    </row>
    <row r="87" spans="1:7" x14ac:dyDescent="0.25">
      <c r="A87" s="101" t="s">
        <v>239</v>
      </c>
      <c r="B87" s="17">
        <v>117569462</v>
      </c>
      <c r="C87" s="17">
        <v>39785400</v>
      </c>
      <c r="D87" s="17">
        <f t="shared" si="1"/>
        <v>39785400</v>
      </c>
      <c r="E87" s="49">
        <f>VLOOKUP($A87,'Data shares'!$C:$FA,128)*100</f>
        <v>37.71</v>
      </c>
      <c r="F87" s="49">
        <f>VLOOKUP($A87,'Data shares'!$C:$FA,129)</f>
        <v>5249300</v>
      </c>
      <c r="G87" s="17"/>
    </row>
    <row r="88" spans="1:7" x14ac:dyDescent="0.25">
      <c r="A88" s="101" t="s">
        <v>513</v>
      </c>
      <c r="B88" s="17">
        <v>16619018</v>
      </c>
      <c r="C88" s="17">
        <v>3155425</v>
      </c>
      <c r="D88" s="17">
        <f t="shared" si="1"/>
        <v>3155425</v>
      </c>
      <c r="E88" s="49">
        <f>VLOOKUP($A88,'Data shares'!$C:$FA,128)*100</f>
        <v>38.18</v>
      </c>
      <c r="F88" s="49">
        <f>VLOOKUP($A88,'Data shares'!$C:$FA,129)</f>
        <v>1856850</v>
      </c>
      <c r="G88" s="17"/>
    </row>
    <row r="89" spans="1:7" x14ac:dyDescent="0.25">
      <c r="A89" s="101" t="s">
        <v>224</v>
      </c>
      <c r="B89" s="17">
        <v>669931623</v>
      </c>
      <c r="C89" s="17">
        <v>82663350</v>
      </c>
      <c r="D89" s="17">
        <f t="shared" si="1"/>
        <v>82663350</v>
      </c>
      <c r="E89" s="49">
        <f>VLOOKUP($A89,'Data shares'!$C:$FA,128)*100</f>
        <v>49.76</v>
      </c>
      <c r="F89" s="49">
        <f>VLOOKUP($A89,'Data shares'!$C:$FA,129)</f>
        <v>104881700</v>
      </c>
      <c r="G89" s="17"/>
    </row>
    <row r="90" spans="1:7" x14ac:dyDescent="0.25">
      <c r="A90" s="101" t="s">
        <v>232</v>
      </c>
      <c r="B90" s="17">
        <v>1110506052</v>
      </c>
      <c r="C90" s="17">
        <v>174065375</v>
      </c>
      <c r="D90" s="17">
        <f t="shared" si="1"/>
        <v>174065375</v>
      </c>
      <c r="E90" s="49">
        <f>VLOOKUP($A90,'Data shares'!$C:$FA,128)*100</f>
        <v>56.55</v>
      </c>
      <c r="F90" s="49">
        <f>VLOOKUP($A90,'Data shares'!$C:$FA,129)</f>
        <v>42364000</v>
      </c>
      <c r="G90" s="17"/>
    </row>
    <row r="91" spans="1:7" x14ac:dyDescent="0.25">
      <c r="A91" s="101" t="s">
        <v>223</v>
      </c>
      <c r="B91" s="17">
        <v>362202362</v>
      </c>
      <c r="C91" s="17">
        <v>34249800</v>
      </c>
      <c r="D91" s="17">
        <f t="shared" si="1"/>
        <v>34249800</v>
      </c>
      <c r="E91" s="49">
        <f>VLOOKUP($A91,'Data shares'!$C:$FA,128)*100</f>
        <v>53.54</v>
      </c>
      <c r="F91" s="49">
        <f>VLOOKUP($A91,'Data shares'!$C:$FA,129)</f>
        <v>16511600</v>
      </c>
      <c r="G91" s="17"/>
    </row>
    <row r="92" spans="1:7" x14ac:dyDescent="0.25">
      <c r="A92" s="101" t="s">
        <v>218</v>
      </c>
      <c r="B92" s="17">
        <v>23110810</v>
      </c>
      <c r="C92" s="17">
        <v>6940375</v>
      </c>
      <c r="D92" s="17">
        <f t="shared" si="1"/>
        <v>6940375</v>
      </c>
      <c r="E92" s="49">
        <f>VLOOKUP($A92,'Data shares'!$C:$FA,128)*100</f>
        <v>48.83</v>
      </c>
      <c r="F92" s="49">
        <f>VLOOKUP($A92,'Data shares'!$C:$FA,129)</f>
        <v>1703625</v>
      </c>
      <c r="G92" s="17"/>
    </row>
    <row r="93" spans="1:7" x14ac:dyDescent="0.25">
      <c r="A93" s="101" t="s">
        <v>236</v>
      </c>
      <c r="B93" s="17">
        <v>77000080</v>
      </c>
      <c r="C93" s="17">
        <v>25785375</v>
      </c>
      <c r="D93" s="17">
        <f t="shared" si="1"/>
        <v>25785375</v>
      </c>
      <c r="E93" s="49">
        <f>VLOOKUP($A93,'Data shares'!$C:$FA,128)*100</f>
        <v>35.120000000000005</v>
      </c>
      <c r="F93" s="49">
        <f>VLOOKUP($A93,'Data shares'!$C:$FA,129)</f>
        <v>21206250</v>
      </c>
      <c r="G93" s="17"/>
    </row>
    <row r="94" spans="1:7" x14ac:dyDescent="0.25">
      <c r="A94" s="101" t="s">
        <v>246</v>
      </c>
      <c r="B94" s="17">
        <v>293666614</v>
      </c>
      <c r="C94" s="17">
        <v>30730800</v>
      </c>
      <c r="D94" s="17">
        <f t="shared" si="1"/>
        <v>30730800</v>
      </c>
      <c r="E94" s="49">
        <f>VLOOKUP($A94,'Data shares'!$C:$FA,128)*100</f>
        <v>60.260000000000005</v>
      </c>
      <c r="F94" s="49">
        <f>VLOOKUP($A94,'Data shares'!$C:$FA,129)</f>
        <v>99088000</v>
      </c>
      <c r="G94" s="17"/>
    </row>
    <row r="95" spans="1:7" x14ac:dyDescent="0.25">
      <c r="A95" s="101" t="s">
        <v>532</v>
      </c>
      <c r="B95" s="17">
        <v>32892110</v>
      </c>
      <c r="C95" s="17">
        <v>6216000</v>
      </c>
      <c r="D95" s="17">
        <f t="shared" si="1"/>
        <v>6216000</v>
      </c>
      <c r="E95" s="49">
        <f>VLOOKUP($A95,'Data shares'!$C:$FA,128)*100</f>
        <v>42.44</v>
      </c>
      <c r="F95" s="49">
        <f>VLOOKUP($A95,'Data shares'!$C:$FA,129)</f>
        <v>3809700</v>
      </c>
      <c r="G95" s="17"/>
    </row>
    <row r="96" spans="1:7" x14ac:dyDescent="0.25">
      <c r="A96" s="101" t="s">
        <v>242</v>
      </c>
      <c r="B96" s="17">
        <v>2461627231</v>
      </c>
      <c r="C96" s="17">
        <v>322832000</v>
      </c>
      <c r="D96" s="17">
        <f t="shared" si="1"/>
        <v>322832000</v>
      </c>
      <c r="E96" s="49">
        <f>VLOOKUP($A96,'Data shares'!$C:$FA,128)*100</f>
        <v>39.770000000000003</v>
      </c>
      <c r="F96" s="49">
        <f>VLOOKUP($A96,'Data shares'!$C:$FA,129)</f>
        <v>42667200</v>
      </c>
      <c r="G96" s="17"/>
    </row>
    <row r="97" spans="1:7" x14ac:dyDescent="0.25">
      <c r="A97" s="101" t="s">
        <v>165</v>
      </c>
      <c r="B97" s="17">
        <v>20321931</v>
      </c>
      <c r="C97" s="17">
        <v>3675125</v>
      </c>
      <c r="D97" s="17">
        <f t="shared" si="1"/>
        <v>3675125</v>
      </c>
      <c r="E97" s="49">
        <f>VLOOKUP($A97,'Data shares'!$C:$FA,128)*100</f>
        <v>35.949999999999996</v>
      </c>
      <c r="F97" s="49">
        <f>VLOOKUP($A97,'Data shares'!$C:$FA,129)</f>
        <v>335125</v>
      </c>
      <c r="G97" s="17"/>
    </row>
    <row r="98" spans="1:7" x14ac:dyDescent="0.25">
      <c r="A98" s="101" t="s">
        <v>503</v>
      </c>
      <c r="B98" s="17">
        <v>17788750</v>
      </c>
      <c r="C98" s="17">
        <v>925925</v>
      </c>
      <c r="D98" s="17">
        <f t="shared" si="1"/>
        <v>925925</v>
      </c>
      <c r="E98" s="49">
        <f>VLOOKUP($A98,'Data shares'!$C:$FA,128)*100</f>
        <v>48.04</v>
      </c>
      <c r="F98" s="49">
        <f>VLOOKUP($A98,'Data shares'!$C:$FA,129)</f>
        <v>4418300</v>
      </c>
      <c r="G98" s="17"/>
    </row>
    <row r="99" spans="1:7" x14ac:dyDescent="0.25">
      <c r="A99" s="101" t="s">
        <v>192</v>
      </c>
      <c r="B99" s="17">
        <v>1737683</v>
      </c>
      <c r="C99" s="17">
        <v>235900</v>
      </c>
      <c r="D99" s="17">
        <f t="shared" si="1"/>
        <v>235900</v>
      </c>
      <c r="E99" s="49">
        <f>VLOOKUP($A99,'Data shares'!$C:$FA,128)*100</f>
        <v>27.889999999999997</v>
      </c>
      <c r="F99" s="49">
        <f>VLOOKUP($A99,'Data shares'!$C:$FA,129)</f>
        <v>19600</v>
      </c>
      <c r="G99" s="17"/>
    </row>
    <row r="100" spans="1:7" x14ac:dyDescent="0.25">
      <c r="A100" s="101" t="s">
        <v>531</v>
      </c>
      <c r="B100" s="17">
        <v>33015657</v>
      </c>
      <c r="C100" s="17">
        <v>9033700</v>
      </c>
      <c r="D100" s="17">
        <f t="shared" si="1"/>
        <v>9033700</v>
      </c>
      <c r="E100" s="49">
        <f>VLOOKUP($A100,'Data shares'!$C:$FA,128)*100</f>
        <v>37.230000000000004</v>
      </c>
      <c r="F100" s="49">
        <f>VLOOKUP($A100,'Data shares'!$C:$FA,129)</f>
        <v>1780875</v>
      </c>
      <c r="G100" s="17"/>
    </row>
    <row r="101" spans="1:7" x14ac:dyDescent="0.25">
      <c r="A101" s="101" t="s">
        <v>494</v>
      </c>
      <c r="B101" s="17">
        <v>147873568</v>
      </c>
      <c r="C101" s="17">
        <v>20386400</v>
      </c>
      <c r="D101" s="17">
        <f t="shared" si="1"/>
        <v>20386400</v>
      </c>
      <c r="E101" s="49">
        <f>VLOOKUP($A101,'Data shares'!$C:$FA,128)*100</f>
        <v>38.97</v>
      </c>
      <c r="F101" s="49">
        <f>VLOOKUP($A101,'Data shares'!$C:$FA,129)</f>
        <v>3560400</v>
      </c>
      <c r="G101" s="17"/>
    </row>
    <row r="102" spans="1:7" x14ac:dyDescent="0.25">
      <c r="A102" s="101" t="s">
        <v>473</v>
      </c>
      <c r="B102" s="17">
        <v>162372116</v>
      </c>
      <c r="C102" s="17">
        <v>43206800</v>
      </c>
      <c r="D102" s="17">
        <f t="shared" si="1"/>
        <v>43206800</v>
      </c>
      <c r="E102" s="49">
        <f>VLOOKUP($A102,'Data shares'!$C:$FA,128)*100</f>
        <v>38.76</v>
      </c>
      <c r="F102" s="49">
        <f>VLOOKUP($A102,'Data shares'!$C:$FA,129)</f>
        <v>18689800</v>
      </c>
      <c r="G102" s="17"/>
    </row>
    <row r="103" spans="1:7" x14ac:dyDescent="0.25">
      <c r="A103" s="101" t="s">
        <v>225</v>
      </c>
      <c r="B103" s="17">
        <v>187118353</v>
      </c>
      <c r="C103" s="17">
        <v>49800300</v>
      </c>
      <c r="D103" s="17">
        <f t="shared" si="1"/>
        <v>49800300</v>
      </c>
      <c r="E103" s="49">
        <f>VLOOKUP($A103,'Data shares'!$C:$FA,128)*100</f>
        <v>46.2</v>
      </c>
      <c r="F103" s="49">
        <f>VLOOKUP($A103,'Data shares'!$C:$FA,129)</f>
        <v>14355000</v>
      </c>
      <c r="G103" s="17"/>
    </row>
    <row r="104" spans="1:7" x14ac:dyDescent="0.25">
      <c r="A104" s="101" t="s">
        <v>504</v>
      </c>
      <c r="B104" s="17">
        <v>12641694</v>
      </c>
      <c r="C104" s="17">
        <v>6728400</v>
      </c>
      <c r="D104" s="17">
        <f t="shared" si="1"/>
        <v>6728400</v>
      </c>
      <c r="E104" s="49">
        <f>VLOOKUP($A104,'Data shares'!$C:$FA,128)*100</f>
        <v>34.67</v>
      </c>
      <c r="F104" s="49">
        <f>VLOOKUP($A104,'Data shares'!$C:$FA,129)</f>
        <v>465000</v>
      </c>
      <c r="G104" s="17"/>
    </row>
    <row r="105" spans="1:7" x14ac:dyDescent="0.25">
      <c r="A105" s="101" t="s">
        <v>537</v>
      </c>
      <c r="B105" s="17">
        <v>6343591</v>
      </c>
      <c r="C105" s="17">
        <v>1262250</v>
      </c>
      <c r="D105" s="17">
        <f t="shared" si="1"/>
        <v>1262250</v>
      </c>
      <c r="E105" s="49">
        <f>VLOOKUP($A105,'Data shares'!$C:$FA,128)*100</f>
        <v>32</v>
      </c>
      <c r="F105" s="49">
        <f>VLOOKUP($A105,'Data shares'!$C:$FA,129)</f>
        <v>701400</v>
      </c>
      <c r="G105" s="17"/>
    </row>
    <row r="106" spans="1:7" x14ac:dyDescent="0.25">
      <c r="A106" s="101" t="s">
        <v>256</v>
      </c>
      <c r="B106" s="17">
        <v>62880735</v>
      </c>
      <c r="C106" s="17">
        <v>20391250</v>
      </c>
      <c r="D106" s="17">
        <f t="shared" si="1"/>
        <v>20391250</v>
      </c>
      <c r="E106" s="49">
        <f>VLOOKUP($A106,'Data shares'!$C:$FA,128)*100</f>
        <v>30.65</v>
      </c>
      <c r="F106" s="49">
        <f>VLOOKUP($A106,'Data shares'!$C:$FA,129)</f>
        <v>761400</v>
      </c>
      <c r="G106" s="17"/>
    </row>
    <row r="107" spans="1:7" x14ac:dyDescent="0.25">
      <c r="A107" s="101" t="s">
        <v>514</v>
      </c>
      <c r="B107" s="17">
        <v>179174844</v>
      </c>
      <c r="C107" s="17">
        <v>67477500</v>
      </c>
      <c r="D107" s="17">
        <f t="shared" si="1"/>
        <v>67477500</v>
      </c>
      <c r="E107" s="49">
        <f>VLOOKUP($A107,'Data shares'!$C:$FA,128)*100</f>
        <v>35.120000000000005</v>
      </c>
      <c r="F107" s="49">
        <f>VLOOKUP($A107,'Data shares'!$C:$FA,129)</f>
        <v>21206250</v>
      </c>
      <c r="G107" s="17"/>
    </row>
    <row r="108" spans="1:7" x14ac:dyDescent="0.25">
      <c r="A108" s="101" t="s">
        <v>272</v>
      </c>
      <c r="B108" s="17">
        <v>150000017</v>
      </c>
      <c r="C108" s="17">
        <v>35217000</v>
      </c>
      <c r="D108" s="17">
        <f t="shared" si="1"/>
        <v>35217000</v>
      </c>
      <c r="E108" s="49">
        <f>VLOOKUP($A108,'Data shares'!$C:$FA,128)*100</f>
        <v>34.86</v>
      </c>
      <c r="F108" s="49">
        <f>VLOOKUP($A108,'Data shares'!$C:$FA,129)</f>
        <v>2679000</v>
      </c>
      <c r="G108" s="17"/>
    </row>
    <row r="109" spans="1:7" x14ac:dyDescent="0.25">
      <c r="A109" s="101" t="s">
        <v>470</v>
      </c>
      <c r="B109" s="17">
        <v>6091932</v>
      </c>
      <c r="C109" s="17">
        <v>1893300</v>
      </c>
      <c r="D109" s="17">
        <f t="shared" si="1"/>
        <v>1893300</v>
      </c>
      <c r="E109" s="49">
        <f>VLOOKUP($A109,'Data shares'!$C:$FA,128)*100</f>
        <v>40.839999999999996</v>
      </c>
      <c r="F109" s="49">
        <f>VLOOKUP($A109,'Data shares'!$C:$FA,129)</f>
        <v>3485250</v>
      </c>
      <c r="G109" s="17"/>
    </row>
    <row r="110" spans="1:7" x14ac:dyDescent="0.25">
      <c r="A110" s="101" t="s">
        <v>176</v>
      </c>
      <c r="B110" s="17">
        <v>12437219</v>
      </c>
      <c r="C110" s="17">
        <v>1155950</v>
      </c>
      <c r="D110" s="17">
        <f t="shared" si="1"/>
        <v>1155950</v>
      </c>
      <c r="E110" s="49">
        <f>VLOOKUP($A110,'Data shares'!$C:$FA,128)*100</f>
        <v>43.21</v>
      </c>
      <c r="F110" s="49">
        <f>VLOOKUP($A110,'Data shares'!$C:$FA,129)</f>
        <v>2690000</v>
      </c>
      <c r="G110" s="17"/>
    </row>
    <row r="111" spans="1:7" x14ac:dyDescent="0.25">
      <c r="A111" s="101" t="s">
        <v>524</v>
      </c>
      <c r="B111" s="17">
        <v>16479425</v>
      </c>
      <c r="C111" s="17">
        <v>1670750</v>
      </c>
      <c r="D111" s="17">
        <f t="shared" si="1"/>
        <v>1670750</v>
      </c>
      <c r="E111" s="49">
        <f>VLOOKUP($A111,'Data shares'!$C:$FA,128)*100</f>
        <v>41.64</v>
      </c>
      <c r="F111" s="49">
        <f>VLOOKUP($A111,'Data shares'!$C:$FA,129)</f>
        <v>133900</v>
      </c>
      <c r="G111" s="17"/>
    </row>
    <row r="112" spans="1:7" x14ac:dyDescent="0.25">
      <c r="A112" s="101" t="s">
        <v>487</v>
      </c>
      <c r="B112" s="17">
        <v>16533935</v>
      </c>
      <c r="C112" s="17">
        <v>1807050</v>
      </c>
      <c r="D112" s="17">
        <f t="shared" si="1"/>
        <v>1807050</v>
      </c>
      <c r="E112" s="49">
        <f>VLOOKUP($A112,'Data shares'!$C:$FA,128)*100</f>
        <v>33.32</v>
      </c>
      <c r="F112" s="49">
        <f>VLOOKUP($A112,'Data shares'!$C:$FA,129)</f>
        <v>520025</v>
      </c>
      <c r="G112" s="17"/>
    </row>
    <row r="113" spans="1:7" x14ac:dyDescent="0.25">
      <c r="A113" s="101" t="s">
        <v>305</v>
      </c>
      <c r="B113" s="17">
        <v>46126252</v>
      </c>
      <c r="C113" s="17">
        <v>7513500</v>
      </c>
      <c r="D113" s="17">
        <f t="shared" si="1"/>
        <v>7513500</v>
      </c>
      <c r="E113" s="49">
        <f>VLOOKUP($A113,'Data shares'!$C:$FA,128)*100</f>
        <v>37.769999999999996</v>
      </c>
      <c r="F113" s="49">
        <f>VLOOKUP($A113,'Data shares'!$C:$FA,129)</f>
        <v>2904375</v>
      </c>
      <c r="G113" s="17"/>
    </row>
    <row r="114" spans="1:7" x14ac:dyDescent="0.25">
      <c r="A114" s="101" t="s">
        <v>238</v>
      </c>
      <c r="B114" s="17">
        <v>19428657</v>
      </c>
      <c r="C114" s="17">
        <v>5637750</v>
      </c>
      <c r="D114" s="17">
        <f t="shared" si="1"/>
        <v>5637750</v>
      </c>
      <c r="E114" s="49">
        <f>VLOOKUP($A114,'Data shares'!$C:$FA,128)*100</f>
        <v>32.26</v>
      </c>
      <c r="F114" s="49">
        <f>VLOOKUP($A114,'Data shares'!$C:$FA,129)</f>
        <v>659100</v>
      </c>
      <c r="G114" s="17"/>
    </row>
    <row r="115" spans="1:7" x14ac:dyDescent="0.25">
      <c r="A115" s="101" t="s">
        <v>527</v>
      </c>
      <c r="B115" s="17">
        <v>7494363</v>
      </c>
      <c r="C115" s="17">
        <v>739375</v>
      </c>
      <c r="D115" s="17">
        <f t="shared" si="1"/>
        <v>739375</v>
      </c>
      <c r="E115" s="49">
        <f>VLOOKUP($A115,'Data shares'!$C:$FA,128)*100</f>
        <v>51.790000000000006</v>
      </c>
      <c r="F115" s="49">
        <f>VLOOKUP($A115,'Data shares'!$C:$FA,129)</f>
        <v>65196050</v>
      </c>
      <c r="G115" s="17"/>
    </row>
    <row r="116" spans="1:7" x14ac:dyDescent="0.25">
      <c r="A116" s="101" t="s">
        <v>489</v>
      </c>
      <c r="B116" s="17">
        <v>9087752</v>
      </c>
      <c r="C116" s="17">
        <v>1575750</v>
      </c>
      <c r="D116" s="17">
        <f t="shared" si="1"/>
        <v>1575750</v>
      </c>
      <c r="E116" s="49">
        <f>VLOOKUP($A116,'Data shares'!$C:$FA,128)*100</f>
        <v>38.019999999999996</v>
      </c>
      <c r="F116" s="49">
        <f>VLOOKUP($A116,'Data shares'!$C:$FA,129)</f>
        <v>7677000</v>
      </c>
      <c r="G116" s="17"/>
    </row>
    <row r="117" spans="1:7" x14ac:dyDescent="0.25">
      <c r="A117" s="101" t="s">
        <v>484</v>
      </c>
      <c r="B117" s="17">
        <v>3300938</v>
      </c>
      <c r="C117" s="17">
        <v>190125</v>
      </c>
      <c r="D117" s="17">
        <f t="shared" si="1"/>
        <v>190125</v>
      </c>
      <c r="E117" s="49">
        <f>VLOOKUP($A117,'Data shares'!$C:$FA,128)*100</f>
        <v>42.199999999999996</v>
      </c>
      <c r="F117" s="49">
        <f>VLOOKUP($A117,'Data shares'!$C:$FA,129)</f>
        <v>14184300</v>
      </c>
      <c r="G117" s="17"/>
    </row>
    <row r="118" spans="1:7" x14ac:dyDescent="0.25">
      <c r="A118" s="101" t="s">
        <v>285</v>
      </c>
      <c r="B118" s="17">
        <v>17806068</v>
      </c>
      <c r="C118" s="17">
        <v>1857900</v>
      </c>
      <c r="D118" s="17">
        <f t="shared" si="1"/>
        <v>1857900</v>
      </c>
      <c r="E118" s="49">
        <f>VLOOKUP($A118,'Data shares'!$C:$FA,128)*100</f>
        <v>35.25</v>
      </c>
      <c r="F118" s="49">
        <f>VLOOKUP($A118,'Data shares'!$C:$FA,129)</f>
        <v>599200</v>
      </c>
      <c r="G118" s="17"/>
    </row>
    <row r="119" spans="1:7" x14ac:dyDescent="0.25">
      <c r="A119" s="101" t="s">
        <v>554</v>
      </c>
      <c r="B119" s="17">
        <v>18562709</v>
      </c>
      <c r="C119" s="17">
        <v>2173500</v>
      </c>
      <c r="D119" s="17">
        <f t="shared" si="1"/>
        <v>2173500</v>
      </c>
      <c r="E119" s="49">
        <f>VLOOKUP($A119,'Data shares'!$C:$FA,128)*100</f>
        <v>44.440000000000005</v>
      </c>
      <c r="F119" s="49">
        <f>VLOOKUP($A119,'Data shares'!$C:$FA,129)</f>
        <v>27259375</v>
      </c>
      <c r="G119" s="17"/>
    </row>
    <row r="120" spans="1:7" x14ac:dyDescent="0.25">
      <c r="A120" s="101" t="s">
        <v>293</v>
      </c>
      <c r="B120" s="17">
        <v>339616396</v>
      </c>
      <c r="C120" s="17">
        <v>214528500</v>
      </c>
      <c r="D120" s="17">
        <f t="shared" si="1"/>
        <v>214528500</v>
      </c>
      <c r="E120" s="49">
        <f>VLOOKUP($A120,'Data shares'!$C:$FA,128)*100</f>
        <v>36.270000000000003</v>
      </c>
      <c r="F120" s="49">
        <f>VLOOKUP($A120,'Data shares'!$C:$FA,129)</f>
        <v>9915100</v>
      </c>
      <c r="G120" s="17"/>
    </row>
    <row r="121" spans="1:7" x14ac:dyDescent="0.25">
      <c r="A121" s="101" t="s">
        <v>282</v>
      </c>
      <c r="B121" s="17">
        <v>289139949</v>
      </c>
      <c r="C121" s="17">
        <v>230878500</v>
      </c>
      <c r="D121" s="17">
        <f t="shared" si="1"/>
        <v>230878500</v>
      </c>
      <c r="E121" s="49">
        <f>VLOOKUP($A121,'Data shares'!$C:$FA,128)*100</f>
        <v>19.470000000000002</v>
      </c>
      <c r="F121" s="49">
        <f>VLOOKUP($A121,'Data shares'!$C:$FA,129)</f>
        <v>35546100</v>
      </c>
      <c r="G121" s="17"/>
    </row>
    <row r="122" spans="1:7" x14ac:dyDescent="0.25">
      <c r="A122" s="101" t="s">
        <v>248</v>
      </c>
      <c r="B122" s="17">
        <v>60244101</v>
      </c>
      <c r="C122" s="17">
        <v>36578000</v>
      </c>
      <c r="D122" s="17">
        <f t="shared" si="1"/>
        <v>36578000</v>
      </c>
      <c r="E122" s="49">
        <f>VLOOKUP($A122,'Data shares'!$C:$FA,128)*100</f>
        <v>31.790000000000003</v>
      </c>
      <c r="F122" s="49">
        <f>VLOOKUP($A122,'Data shares'!$C:$FA,129)</f>
        <v>6132000</v>
      </c>
      <c r="G122" s="17"/>
    </row>
    <row r="123" spans="1:7" x14ac:dyDescent="0.25">
      <c r="A123" s="101" t="s">
        <v>189</v>
      </c>
      <c r="B123" s="17">
        <v>510707358</v>
      </c>
      <c r="C123" s="17">
        <v>94385350</v>
      </c>
      <c r="D123" s="17">
        <f t="shared" si="1"/>
        <v>94385350</v>
      </c>
      <c r="E123" s="49">
        <f>VLOOKUP($A123,'Data shares'!$C:$FA,128)*100</f>
        <v>50.970000000000006</v>
      </c>
      <c r="F123" s="49">
        <f>VLOOKUP($A123,'Data shares'!$C:$FA,129)</f>
        <v>22205775</v>
      </c>
      <c r="G123" s="17"/>
    </row>
    <row r="124" spans="1:7" x14ac:dyDescent="0.25">
      <c r="A124" s="101" t="s">
        <v>213</v>
      </c>
      <c r="B124" s="17">
        <v>425164259</v>
      </c>
      <c r="C124" s="17">
        <v>85375600</v>
      </c>
      <c r="D124" s="17">
        <f t="shared" si="1"/>
        <v>85375600</v>
      </c>
      <c r="E124" s="49">
        <f>VLOOKUP($A124,'Data shares'!$C:$FA,128)*100</f>
        <v>42.36</v>
      </c>
      <c r="F124" s="49">
        <f>VLOOKUP($A124,'Data shares'!$C:$FA,129)</f>
        <v>12751200</v>
      </c>
      <c r="G124" s="17"/>
    </row>
    <row r="125" spans="1:7" x14ac:dyDescent="0.25">
      <c r="A125" s="101" t="s">
        <v>295</v>
      </c>
      <c r="B125" s="17">
        <v>205769415</v>
      </c>
      <c r="C125" s="17">
        <v>21452100</v>
      </c>
      <c r="D125" s="17">
        <f t="shared" si="1"/>
        <v>21452100</v>
      </c>
      <c r="E125" s="49">
        <f>VLOOKUP($A125,'Data shares'!$C:$FA,128)*100</f>
        <v>32.409999999999997</v>
      </c>
      <c r="F125" s="49">
        <f>VLOOKUP($A125,'Data shares'!$C:$FA,129)</f>
        <v>6033650</v>
      </c>
      <c r="G125" s="17"/>
    </row>
    <row r="126" spans="1:7" x14ac:dyDescent="0.25">
      <c r="A126" s="101" t="s">
        <v>490</v>
      </c>
      <c r="B126" s="17">
        <v>52165566</v>
      </c>
      <c r="C126" s="17">
        <v>22212750</v>
      </c>
      <c r="D126" s="17">
        <f t="shared" si="1"/>
        <v>22212750</v>
      </c>
      <c r="E126" s="49">
        <f>VLOOKUP($A126,'Data shares'!$C:$FA,128)*100</f>
        <v>40.739999999999995</v>
      </c>
      <c r="F126" s="49">
        <f>VLOOKUP($A126,'Data shares'!$C:$FA,129)</f>
        <v>18744375</v>
      </c>
      <c r="G126" s="17"/>
    </row>
    <row r="127" spans="1:7" x14ac:dyDescent="0.25">
      <c r="A127" s="101" t="s">
        <v>260</v>
      </c>
      <c r="B127" s="17">
        <v>241729538</v>
      </c>
      <c r="C127" s="17">
        <v>65383500</v>
      </c>
      <c r="D127" s="17">
        <f t="shared" si="1"/>
        <v>65383500</v>
      </c>
      <c r="E127" s="49">
        <f>VLOOKUP($A127,'Data shares'!$C:$FA,128)*100</f>
        <v>39.489999999999995</v>
      </c>
      <c r="F127" s="49">
        <f>VLOOKUP($A127,'Data shares'!$C:$FA,129)</f>
        <v>21402000</v>
      </c>
      <c r="G127" s="17"/>
    </row>
    <row r="128" spans="1:7" x14ac:dyDescent="0.25">
      <c r="A128" s="101" t="s">
        <v>171</v>
      </c>
      <c r="B128" s="17">
        <v>56444627</v>
      </c>
      <c r="C128" s="17">
        <v>23336250</v>
      </c>
      <c r="D128" s="17">
        <f t="shared" si="1"/>
        <v>23336250</v>
      </c>
      <c r="E128" s="49">
        <f>VLOOKUP($A128,'Data shares'!$C:$FA,128)*100</f>
        <v>69.650000000000006</v>
      </c>
      <c r="F128" s="49">
        <f>VLOOKUP($A128,'Data shares'!$C:$FA,129)</f>
        <v>12328800</v>
      </c>
      <c r="G128" s="17"/>
    </row>
    <row r="129" spans="1:7" x14ac:dyDescent="0.25">
      <c r="A129" s="101" t="s">
        <v>462</v>
      </c>
      <c r="B129" s="17">
        <v>88648462</v>
      </c>
      <c r="C129" s="17">
        <v>11150250</v>
      </c>
      <c r="D129" s="17">
        <f t="shared" si="1"/>
        <v>11150250</v>
      </c>
      <c r="E129" s="49">
        <f>VLOOKUP($A129,'Data shares'!$C:$FA,128)*100</f>
        <v>39.92</v>
      </c>
      <c r="F129" s="49">
        <f>VLOOKUP($A129,'Data shares'!$C:$FA,129)</f>
        <v>3178500</v>
      </c>
      <c r="G129" s="17"/>
    </row>
    <row r="130" spans="1:7" x14ac:dyDescent="0.25">
      <c r="A130" s="101" t="s">
        <v>274</v>
      </c>
      <c r="B130" s="17">
        <v>30511703</v>
      </c>
      <c r="C130" s="17">
        <v>3556000</v>
      </c>
      <c r="D130" s="17">
        <f t="shared" si="1"/>
        <v>3556000</v>
      </c>
      <c r="E130" s="49">
        <f>VLOOKUP($A130,'Data shares'!$C:$FA,128)*100</f>
        <v>34.07</v>
      </c>
      <c r="F130" s="49">
        <f>VLOOKUP($A130,'Data shares'!$C:$FA,129)</f>
        <v>420000</v>
      </c>
      <c r="G130" s="17"/>
    </row>
    <row r="131" spans="1:7" x14ac:dyDescent="0.25">
      <c r="A131" s="101" t="s">
        <v>279</v>
      </c>
      <c r="B131" s="17">
        <v>119890099</v>
      </c>
      <c r="C131" s="17">
        <v>77232800</v>
      </c>
      <c r="D131" s="17">
        <f t="shared" si="1"/>
        <v>77232800</v>
      </c>
      <c r="E131" s="49">
        <f>VLOOKUP($A131,'Data shares'!$C:$FA,128)*100</f>
        <v>32.519999999999996</v>
      </c>
      <c r="F131" s="49">
        <f>VLOOKUP($A131,'Data shares'!$C:$FA,129)</f>
        <v>8096250</v>
      </c>
      <c r="G131" s="17"/>
    </row>
    <row r="132" spans="1:7" x14ac:dyDescent="0.25">
      <c r="A132" s="101" t="s">
        <v>247</v>
      </c>
      <c r="B132" s="17">
        <v>180580821</v>
      </c>
      <c r="C132" s="17">
        <v>128041552</v>
      </c>
      <c r="D132" s="17">
        <f t="shared" si="1"/>
        <v>128041552</v>
      </c>
      <c r="E132" s="49">
        <f>VLOOKUP($A132,'Data shares'!$C:$FA,128)*100</f>
        <v>33.979999999999997</v>
      </c>
      <c r="F132" s="49">
        <f>VLOOKUP($A132,'Data shares'!$C:$FA,129)</f>
        <v>915025</v>
      </c>
      <c r="G132" s="17"/>
    </row>
    <row r="133" spans="1:7" x14ac:dyDescent="0.25">
      <c r="A133" s="101" t="s">
        <v>291</v>
      </c>
      <c r="B133" s="17">
        <v>120211514</v>
      </c>
      <c r="C133" s="17">
        <v>18359325</v>
      </c>
      <c r="D133" s="17">
        <f t="shared" si="1"/>
        <v>18359325</v>
      </c>
      <c r="E133" s="49">
        <f>VLOOKUP($A133,'Data shares'!$C:$FA,128)*100</f>
        <v>21.790000000000003</v>
      </c>
      <c r="F133" s="49">
        <f>VLOOKUP($A133,'Data shares'!$C:$FA,129)</f>
        <v>1297450</v>
      </c>
      <c r="G133" s="17"/>
    </row>
    <row r="134" spans="1:7" x14ac:dyDescent="0.25">
      <c r="A134" s="101" t="s">
        <v>269</v>
      </c>
      <c r="B134" s="17">
        <v>996134149</v>
      </c>
      <c r="C134" s="17">
        <v>204565900</v>
      </c>
      <c r="D134" s="17">
        <f t="shared" si="1"/>
        <v>204565900</v>
      </c>
      <c r="E134" s="49">
        <f>VLOOKUP($A134,'Data shares'!$C:$FA,128)*100</f>
        <v>36.980000000000004</v>
      </c>
      <c r="F134" s="49">
        <f>VLOOKUP($A134,'Data shares'!$C:$FA,129)</f>
        <v>15939000</v>
      </c>
      <c r="G134" s="17"/>
    </row>
    <row r="135" spans="1:7" x14ac:dyDescent="0.25">
      <c r="A135" s="101" t="s">
        <v>217</v>
      </c>
      <c r="B135" s="17">
        <v>75218562</v>
      </c>
      <c r="C135" s="17">
        <v>11613000</v>
      </c>
      <c r="D135" s="17">
        <f t="shared" ref="D135:D161" si="2">C135</f>
        <v>11613000</v>
      </c>
      <c r="E135" s="49">
        <f>VLOOKUP($A135,'Data shares'!$C:$FA,128)*100</f>
        <v>30.42</v>
      </c>
      <c r="F135" s="49">
        <f>VLOOKUP($A135,'Data shares'!$C:$FA,129)</f>
        <v>1378500</v>
      </c>
      <c r="G135" s="17"/>
    </row>
    <row r="136" spans="1:7" x14ac:dyDescent="0.25">
      <c r="A136" s="101" t="s">
        <v>495</v>
      </c>
      <c r="B136" s="17">
        <v>44974045</v>
      </c>
      <c r="C136" s="17">
        <v>4232500</v>
      </c>
      <c r="D136" s="17">
        <f t="shared" si="2"/>
        <v>4232500</v>
      </c>
      <c r="E136" s="49">
        <f>VLOOKUP($A136,'Data shares'!$C:$FA,128)*100</f>
        <v>36.21</v>
      </c>
      <c r="F136" s="49">
        <f>VLOOKUP($A136,'Data shares'!$C:$FA,129)</f>
        <v>2974000</v>
      </c>
      <c r="G136" s="17"/>
    </row>
    <row r="137" spans="1:7" x14ac:dyDescent="0.25">
      <c r="A137" s="101" t="s">
        <v>250</v>
      </c>
      <c r="B137" s="17">
        <v>48318354</v>
      </c>
      <c r="C137" s="17">
        <v>18007250</v>
      </c>
      <c r="D137" s="17">
        <f t="shared" si="2"/>
        <v>18007250</v>
      </c>
      <c r="E137" s="49">
        <f>VLOOKUP($A137,'Data shares'!$C:$FA,128)*100</f>
        <v>29.959999999999997</v>
      </c>
      <c r="F137" s="49">
        <f>VLOOKUP($A137,'Data shares'!$C:$FA,129)</f>
        <v>534650</v>
      </c>
      <c r="G137" s="17"/>
    </row>
    <row r="138" spans="1:7" x14ac:dyDescent="0.25">
      <c r="A138" s="101" t="s">
        <v>278</v>
      </c>
      <c r="B138" s="17">
        <v>27187764</v>
      </c>
      <c r="C138" s="17">
        <v>3521550</v>
      </c>
      <c r="D138" s="17">
        <f t="shared" si="2"/>
        <v>3521550</v>
      </c>
      <c r="E138" s="49">
        <f>VLOOKUP($A138,'Data shares'!$C:$FA,128)*100</f>
        <v>31.25</v>
      </c>
      <c r="F138" s="49">
        <f>VLOOKUP($A138,'Data shares'!$C:$FA,129)</f>
        <v>504900</v>
      </c>
      <c r="G138" s="17"/>
    </row>
    <row r="139" spans="1:7" x14ac:dyDescent="0.25">
      <c r="A139" s="101" t="s">
        <v>163</v>
      </c>
      <c r="B139" s="17">
        <v>24576009</v>
      </c>
      <c r="C139" s="17">
        <v>11979000</v>
      </c>
      <c r="D139" s="17">
        <f t="shared" si="2"/>
        <v>11979000</v>
      </c>
      <c r="E139" s="49">
        <f>VLOOKUP($A139,'Data shares'!$C:$FA,128)*100</f>
        <v>34.050000000000004</v>
      </c>
      <c r="F139" s="49">
        <f>VLOOKUP($A139,'Data shares'!$C:$FA,129)</f>
        <v>48375</v>
      </c>
      <c r="G139" s="17"/>
    </row>
    <row r="140" spans="1:7" x14ac:dyDescent="0.25">
      <c r="A140" s="101" t="s">
        <v>289</v>
      </c>
      <c r="B140" s="17">
        <v>19704232</v>
      </c>
      <c r="C140" s="17">
        <v>15520500</v>
      </c>
      <c r="D140" s="17">
        <f t="shared" si="2"/>
        <v>15520500</v>
      </c>
      <c r="E140" s="49">
        <f>VLOOKUP($A140,'Data shares'!$C:$FA,128)*100</f>
        <v>48.32</v>
      </c>
      <c r="F140" s="49">
        <f>VLOOKUP($A140,'Data shares'!$C:$FA,129)</f>
        <v>5460000</v>
      </c>
      <c r="G140" s="17"/>
    </row>
    <row r="141" spans="1:7" x14ac:dyDescent="0.25">
      <c r="A141" s="101" t="s">
        <v>529</v>
      </c>
      <c r="B141" s="17">
        <v>10012679</v>
      </c>
      <c r="C141" s="17">
        <v>530550</v>
      </c>
      <c r="D141" s="17">
        <f t="shared" si="2"/>
        <v>530550</v>
      </c>
      <c r="E141" s="49">
        <f>VLOOKUP($A141,'Data shares'!$C:$FA,128)*100</f>
        <v>42.65</v>
      </c>
      <c r="F141" s="49">
        <f>VLOOKUP($A141,'Data shares'!$C:$FA,129)</f>
        <v>1540600</v>
      </c>
      <c r="G141" s="17"/>
    </row>
    <row r="142" spans="1:7" x14ac:dyDescent="0.25">
      <c r="A142" s="101" t="s">
        <v>265</v>
      </c>
      <c r="B142" s="17">
        <v>7180127</v>
      </c>
      <c r="C142" s="17">
        <v>429550</v>
      </c>
      <c r="D142" s="17">
        <f t="shared" si="2"/>
        <v>429550</v>
      </c>
      <c r="E142" s="49">
        <f>VLOOKUP($A142,'Data shares'!$C:$FA,128)*100</f>
        <v>43.74</v>
      </c>
      <c r="F142" s="49">
        <f>VLOOKUP($A142,'Data shares'!$C:$FA,129)</f>
        <v>3145000</v>
      </c>
      <c r="G142" s="17"/>
    </row>
    <row r="143" spans="1:7" x14ac:dyDescent="0.25">
      <c r="A143" s="101" t="s">
        <v>486</v>
      </c>
      <c r="B143" s="17">
        <v>32559242</v>
      </c>
      <c r="C143" s="17">
        <v>4156800</v>
      </c>
      <c r="D143" s="17">
        <f t="shared" si="2"/>
        <v>4156800</v>
      </c>
      <c r="E143" s="49">
        <f>VLOOKUP($A143,'Data shares'!$C:$FA,128)*100</f>
        <v>40.93</v>
      </c>
      <c r="F143" s="49">
        <f>VLOOKUP($A143,'Data shares'!$C:$FA,129)</f>
        <v>739375</v>
      </c>
      <c r="G143" s="17"/>
    </row>
    <row r="144" spans="1:7" x14ac:dyDescent="0.25">
      <c r="A144" s="101" t="s">
        <v>190</v>
      </c>
      <c r="B144" s="17">
        <v>256482590</v>
      </c>
      <c r="C144" s="17">
        <v>208761000</v>
      </c>
      <c r="D144" s="17">
        <f t="shared" si="2"/>
        <v>208761000</v>
      </c>
      <c r="E144" s="49">
        <f>VLOOKUP($A144,'Data shares'!$C:$FA,128)*100</f>
        <v>37.99</v>
      </c>
      <c r="F144" s="49">
        <f>VLOOKUP($A144,'Data shares'!$C:$FA,129)</f>
        <v>16708125</v>
      </c>
      <c r="G144" s="17"/>
    </row>
    <row r="145" spans="1:7" x14ac:dyDescent="0.25">
      <c r="A145" s="101" t="s">
        <v>303</v>
      </c>
      <c r="B145" s="17">
        <v>109653438</v>
      </c>
      <c r="C145" s="17">
        <v>37709100</v>
      </c>
      <c r="D145" s="17">
        <f t="shared" si="2"/>
        <v>37709100</v>
      </c>
      <c r="E145" s="49">
        <f>VLOOKUP($A145,'Data shares'!$C:$FA,128)*100</f>
        <v>32.519999999999996</v>
      </c>
      <c r="F145" s="49">
        <f>VLOOKUP($A145,'Data shares'!$C:$FA,129)</f>
        <v>3289940</v>
      </c>
      <c r="G145" s="17"/>
    </row>
    <row r="146" spans="1:7" x14ac:dyDescent="0.25">
      <c r="A146" s="101" t="s">
        <v>255</v>
      </c>
      <c r="B146" s="17">
        <v>26359259</v>
      </c>
      <c r="C146" s="17">
        <v>6916100</v>
      </c>
      <c r="D146" s="17">
        <f t="shared" si="2"/>
        <v>6916100</v>
      </c>
      <c r="E146" s="49">
        <f>VLOOKUP($A146,'Data shares'!$C:$FA,128)*100</f>
        <v>49.95</v>
      </c>
      <c r="F146" s="49">
        <f>VLOOKUP($A146,'Data shares'!$C:$FA,129)</f>
        <v>1053950</v>
      </c>
      <c r="G146" s="17"/>
    </row>
    <row r="147" spans="1:7" x14ac:dyDescent="0.25">
      <c r="A147" s="101" t="s">
        <v>180</v>
      </c>
      <c r="B147" s="17">
        <v>372635498</v>
      </c>
      <c r="C147" s="17">
        <v>233426700</v>
      </c>
      <c r="D147" s="17">
        <f t="shared" si="2"/>
        <v>233426700</v>
      </c>
      <c r="E147" s="49">
        <f>VLOOKUP($A147,'Data shares'!$C:$FA,128)*100</f>
        <v>43.29</v>
      </c>
      <c r="F147" s="49">
        <f>VLOOKUP($A147,'Data shares'!$C:$FA,129)</f>
        <v>27316575</v>
      </c>
      <c r="G147" s="17"/>
    </row>
    <row r="148" spans="1:7" x14ac:dyDescent="0.25">
      <c r="A148" s="101" t="s">
        <v>179</v>
      </c>
      <c r="B148" s="17">
        <v>193321473</v>
      </c>
      <c r="C148" s="17">
        <v>47098800</v>
      </c>
      <c r="D148" s="17">
        <f t="shared" si="2"/>
        <v>47098800</v>
      </c>
      <c r="E148" s="49">
        <f>VLOOKUP($A148,'Data shares'!$C:$FA,128)*100</f>
        <v>41.17</v>
      </c>
      <c r="F148" s="49">
        <f>VLOOKUP($A148,'Data shares'!$C:$FA,129)</f>
        <v>24375600</v>
      </c>
    </row>
    <row r="149" spans="1:7" x14ac:dyDescent="0.25">
      <c r="A149" s="101" t="s">
        <v>253</v>
      </c>
      <c r="B149" s="17">
        <v>109926618</v>
      </c>
      <c r="C149" s="17">
        <v>54285000</v>
      </c>
      <c r="D149" s="17">
        <f t="shared" si="2"/>
        <v>54285000</v>
      </c>
      <c r="E149" s="49">
        <f>VLOOKUP($A149,'Data shares'!$C:$FA,128)*100</f>
        <v>43.37</v>
      </c>
      <c r="F149" s="49">
        <f>VLOOKUP($A149,'Data shares'!$C:$FA,129)</f>
        <v>17646000</v>
      </c>
    </row>
    <row r="150" spans="1:7" x14ac:dyDescent="0.25">
      <c r="A150" s="101" t="s">
        <v>261</v>
      </c>
      <c r="B150" s="17">
        <v>611563</v>
      </c>
      <c r="C150" s="17">
        <v>120180</v>
      </c>
      <c r="D150" s="17">
        <f t="shared" si="2"/>
        <v>120180</v>
      </c>
      <c r="E150" s="49">
        <f>VLOOKUP($A150,'Data shares'!$C:$FA,128)*100</f>
        <v>33.32</v>
      </c>
      <c r="F150" s="49">
        <f>VLOOKUP($A150,'Data shares'!$C:$FA,129)</f>
        <v>520025</v>
      </c>
    </row>
    <row r="151" spans="1:7" x14ac:dyDescent="0.25">
      <c r="A151" s="101" t="s">
        <v>164</v>
      </c>
      <c r="B151" s="17">
        <v>145854205</v>
      </c>
      <c r="C151" s="17">
        <v>46824000</v>
      </c>
      <c r="D151" s="17">
        <f t="shared" si="2"/>
        <v>46824000</v>
      </c>
      <c r="E151" s="49">
        <f>VLOOKUP($A151,'Data shares'!$C:$FA,128)*100</f>
        <v>52.22</v>
      </c>
      <c r="F151" s="49">
        <f>VLOOKUP($A151,'Data shares'!$C:$FA,129)</f>
        <v>20958000</v>
      </c>
    </row>
    <row r="152" spans="1:7" x14ac:dyDescent="0.25">
      <c r="A152" s="101" t="s">
        <v>526</v>
      </c>
      <c r="B152" s="17">
        <v>44365911</v>
      </c>
      <c r="C152" s="17">
        <v>20668300</v>
      </c>
      <c r="D152" s="17">
        <f t="shared" si="2"/>
        <v>20668300</v>
      </c>
      <c r="E152" s="49">
        <f>VLOOKUP($A152,'Data shares'!$C:$FA,128)*100</f>
        <v>35.799999999999997</v>
      </c>
      <c r="F152" s="49">
        <f>VLOOKUP($A152,'Data shares'!$C:$FA,129)</f>
        <v>3687000</v>
      </c>
    </row>
    <row r="153" spans="1:7" x14ac:dyDescent="0.25">
      <c r="A153" s="101" t="s">
        <v>515</v>
      </c>
      <c r="B153" s="17">
        <v>3083179</v>
      </c>
      <c r="C153" s="17">
        <v>492075</v>
      </c>
      <c r="D153" s="17">
        <f t="shared" si="2"/>
        <v>492075</v>
      </c>
      <c r="E153" s="49">
        <f>VLOOKUP($A153,'Data shares'!$C:$FA,128)*100</f>
        <v>35.799999999999997</v>
      </c>
      <c r="F153" s="49">
        <f>VLOOKUP($A153,'Data shares'!$C:$FA,129)</f>
        <v>3687000</v>
      </c>
    </row>
    <row r="154" spans="1:7" x14ac:dyDescent="0.25">
      <c r="A154" s="101" t="s">
        <v>226</v>
      </c>
      <c r="B154" s="17">
        <v>26072630</v>
      </c>
      <c r="C154" s="17">
        <v>9897900</v>
      </c>
      <c r="D154" s="17">
        <f t="shared" si="2"/>
        <v>9897900</v>
      </c>
      <c r="E154" s="49">
        <f>VLOOKUP($A154,'Data shares'!$C:$FA,128)*100</f>
        <v>36.799999999999997</v>
      </c>
      <c r="F154" s="49">
        <f>VLOOKUP($A154,'Data shares'!$C:$FA,129)</f>
        <v>575700</v>
      </c>
    </row>
    <row r="155" spans="1:7" x14ac:dyDescent="0.25">
      <c r="A155" s="101" t="s">
        <v>544</v>
      </c>
      <c r="B155" s="17">
        <v>139989683</v>
      </c>
      <c r="C155" s="17">
        <v>28415200</v>
      </c>
      <c r="D155" s="17">
        <f t="shared" si="2"/>
        <v>28415200</v>
      </c>
      <c r="E155" s="49">
        <f>VLOOKUP($A155,'Data shares'!$C:$FA,128)*100</f>
        <v>30.919999999999998</v>
      </c>
      <c r="F155" s="49">
        <f>VLOOKUP($A155,'Data shares'!$C:$FA,129)</f>
        <v>2377700</v>
      </c>
    </row>
    <row r="156" spans="1:7" x14ac:dyDescent="0.25">
      <c r="A156" s="101" t="s">
        <v>547</v>
      </c>
      <c r="B156" s="17">
        <v>65482129</v>
      </c>
      <c r="C156" s="17">
        <v>33944200</v>
      </c>
      <c r="D156" s="17">
        <f t="shared" si="2"/>
        <v>33944200</v>
      </c>
      <c r="E156" s="49">
        <f>VLOOKUP($A156,'Data shares'!$C:$FA,128)*100</f>
        <v>46.61</v>
      </c>
      <c r="F156" s="49">
        <f>VLOOKUP($A156,'Data shares'!$C:$FA,129)</f>
        <v>9763600</v>
      </c>
    </row>
    <row r="157" spans="1:7" x14ac:dyDescent="0.25">
      <c r="A157" s="101" t="s">
        <v>499</v>
      </c>
      <c r="B157" s="17">
        <v>66687240</v>
      </c>
      <c r="C157" s="17">
        <v>16125200</v>
      </c>
      <c r="D157" s="17">
        <f t="shared" si="2"/>
        <v>16125200</v>
      </c>
      <c r="E157" s="49">
        <f>VLOOKUP($A157,'Data shares'!$C:$FA,128)*100</f>
        <v>30.919999999999998</v>
      </c>
      <c r="F157" s="49">
        <f>VLOOKUP($A157,'Data shares'!$C:$FA,129)</f>
        <v>2377700</v>
      </c>
    </row>
    <row r="158" spans="1:7" x14ac:dyDescent="0.25">
      <c r="A158" s="101" t="s">
        <v>483</v>
      </c>
      <c r="B158" s="17">
        <v>16146181</v>
      </c>
      <c r="C158" s="17">
        <v>1914250</v>
      </c>
      <c r="D158" s="17">
        <f t="shared" si="2"/>
        <v>1914250</v>
      </c>
      <c r="E158" s="49">
        <f>VLOOKUP($A158,'Data shares'!$C:$FA,128)*100</f>
        <v>36.68</v>
      </c>
      <c r="F158" s="49">
        <f>VLOOKUP($A158,'Data shares'!$C:$FA,129)</f>
        <v>313775</v>
      </c>
    </row>
    <row r="159" spans="1:7" x14ac:dyDescent="0.25">
      <c r="A159" s="101" t="s">
        <v>546</v>
      </c>
      <c r="B159" s="17">
        <v>18282414</v>
      </c>
      <c r="C159" s="17">
        <v>13742300</v>
      </c>
      <c r="D159" s="17">
        <f t="shared" si="2"/>
        <v>13742300</v>
      </c>
      <c r="E159" s="49">
        <f>VLOOKUP($A159,'Data shares'!$C:$FA,128)*100</f>
        <v>37.580000000000005</v>
      </c>
      <c r="F159" s="49">
        <f>VLOOKUP($A159,'Data shares'!$C:$FA,129)</f>
        <v>23449950</v>
      </c>
    </row>
    <row r="160" spans="1:7" x14ac:dyDescent="0.25">
      <c r="A160" s="101" t="s">
        <v>220</v>
      </c>
      <c r="B160" s="17">
        <v>50687734</v>
      </c>
      <c r="C160" s="17">
        <v>6783500</v>
      </c>
      <c r="D160" s="17">
        <f t="shared" si="2"/>
        <v>6783500</v>
      </c>
      <c r="E160" s="49">
        <f>VLOOKUP($A160,'Data shares'!$C:$FA,128)*100</f>
        <v>48.06</v>
      </c>
      <c r="F160" s="49">
        <f>VLOOKUP($A160,'Data shares'!$C:$FA,129)</f>
        <v>1626500</v>
      </c>
    </row>
    <row r="161" spans="1:6" x14ac:dyDescent="0.25">
      <c r="A161" s="101" t="s">
        <v>472</v>
      </c>
      <c r="B161" s="17">
        <v>50993734</v>
      </c>
      <c r="C161" s="17">
        <v>3803750</v>
      </c>
      <c r="D161" s="17">
        <f t="shared" si="2"/>
        <v>3803750</v>
      </c>
      <c r="E161" s="49">
        <f>VLOOKUP($A161,'Data shares'!$C:$FA,128)*100</f>
        <v>25.779999999999998</v>
      </c>
      <c r="F161" s="49">
        <f>VLOOKUP($A161,'Data shares'!$C:$FA,129)</f>
        <v>371800</v>
      </c>
    </row>
    <row r="162" spans="1:6" x14ac:dyDescent="0.25">
      <c r="A162" t="s">
        <v>535</v>
      </c>
      <c r="B162">
        <v>78168147</v>
      </c>
      <c r="C162">
        <v>9571500</v>
      </c>
      <c r="D162" s="17">
        <f t="shared" ref="D162:D204" si="3">C162</f>
        <v>9571500</v>
      </c>
      <c r="E162" s="49">
        <f>VLOOKUP($A162,'Data shares'!$C:$FA,128)*100</f>
        <v>39.6</v>
      </c>
      <c r="F162" s="49">
        <f>VLOOKUP($A162,'Data shares'!$C:$FA,129)</f>
        <v>3424650</v>
      </c>
    </row>
    <row r="163" spans="1:6" x14ac:dyDescent="0.25">
      <c r="A163" t="s">
        <v>492</v>
      </c>
      <c r="B163">
        <v>28779078</v>
      </c>
      <c r="C163">
        <v>14404150</v>
      </c>
      <c r="D163" s="17">
        <f t="shared" si="3"/>
        <v>14404150</v>
      </c>
      <c r="E163" s="49">
        <f>VLOOKUP($A163,'Data shares'!$C:$FA,128)*100</f>
        <v>48.83</v>
      </c>
      <c r="F163" s="49">
        <f>VLOOKUP($A163,'Data shares'!$C:$FA,129)</f>
        <v>1703625</v>
      </c>
    </row>
    <row r="164" spans="1:6" x14ac:dyDescent="0.25">
      <c r="A164" t="s">
        <v>298</v>
      </c>
      <c r="B164">
        <v>9731600</v>
      </c>
      <c r="C164">
        <v>863500</v>
      </c>
      <c r="D164" s="17">
        <f t="shared" si="3"/>
        <v>863500</v>
      </c>
      <c r="E164" s="49">
        <f>VLOOKUP($A164,'Data shares'!$C:$FA,128)*100</f>
        <v>43.62</v>
      </c>
      <c r="F164" s="49">
        <f>VLOOKUP($A164,'Data shares'!$C:$FA,129)</f>
        <v>507750</v>
      </c>
    </row>
    <row r="165" spans="1:6" x14ac:dyDescent="0.25">
      <c r="A165" t="s">
        <v>548</v>
      </c>
      <c r="B165">
        <v>442076</v>
      </c>
      <c r="C165">
        <v>9615</v>
      </c>
      <c r="D165" s="17">
        <f t="shared" si="3"/>
        <v>9615</v>
      </c>
      <c r="E165" s="49">
        <f>VLOOKUP($A165,'Data shares'!$C:$FA,128)*100</f>
        <v>35.160000000000004</v>
      </c>
      <c r="F165" s="49">
        <f>VLOOKUP($A165,'Data shares'!$C:$FA,129)</f>
        <v>8426775</v>
      </c>
    </row>
    <row r="166" spans="1:6" x14ac:dyDescent="0.25">
      <c r="A166" t="s">
        <v>530</v>
      </c>
      <c r="B166">
        <v>3258166</v>
      </c>
      <c r="C166">
        <v>219750</v>
      </c>
      <c r="D166" s="17">
        <f t="shared" si="3"/>
        <v>219750</v>
      </c>
      <c r="E166" s="49">
        <f>VLOOKUP($A166,'Data shares'!$C:$FA,128)*100</f>
        <v>48.04</v>
      </c>
      <c r="F166" s="49">
        <f>VLOOKUP($A166,'Data shares'!$C:$FA,129)</f>
        <v>4418300</v>
      </c>
    </row>
    <row r="167" spans="1:6" x14ac:dyDescent="0.25">
      <c r="A167" t="s">
        <v>249</v>
      </c>
      <c r="B167">
        <v>277168216</v>
      </c>
      <c r="C167">
        <v>21795375</v>
      </c>
      <c r="D167" s="17">
        <f t="shared" si="3"/>
        <v>21795375</v>
      </c>
      <c r="E167" s="49">
        <f>VLOOKUP($A167,'Data shares'!$C:$FA,128)*100</f>
        <v>44.940000000000005</v>
      </c>
      <c r="F167" s="49">
        <f>VLOOKUP($A167,'Data shares'!$C:$FA,129)</f>
        <v>4720450</v>
      </c>
    </row>
    <row r="168" spans="1:6" x14ac:dyDescent="0.25">
      <c r="A168" t="s">
        <v>216</v>
      </c>
      <c r="B168">
        <v>484955219</v>
      </c>
      <c r="C168">
        <v>230400000</v>
      </c>
      <c r="D168" s="17">
        <f t="shared" si="3"/>
        <v>230400000</v>
      </c>
      <c r="E168" s="49">
        <f>VLOOKUP($A168,'Data shares'!$C:$FA,128)*100</f>
        <v>37.580000000000005</v>
      </c>
      <c r="F168" s="49">
        <f>VLOOKUP($A168,'Data shares'!$C:$FA,129)</f>
        <v>23449950</v>
      </c>
    </row>
    <row r="169" spans="1:6" x14ac:dyDescent="0.25">
      <c r="A169" t="s">
        <v>252</v>
      </c>
      <c r="B169">
        <v>117640832</v>
      </c>
      <c r="C169">
        <v>52456000</v>
      </c>
      <c r="D169" s="17">
        <f t="shared" si="3"/>
        <v>52456000</v>
      </c>
      <c r="E169" s="49">
        <f>VLOOKUP($A169,'Data shares'!$C:$FA,128)*100</f>
        <v>52.12</v>
      </c>
      <c r="F169" s="49">
        <f>VLOOKUP($A169,'Data shares'!$C:$FA,129)</f>
        <v>5972200</v>
      </c>
    </row>
    <row r="170" spans="1:6" x14ac:dyDescent="0.25">
      <c r="A170" t="s">
        <v>205</v>
      </c>
      <c r="B170">
        <v>25513876</v>
      </c>
      <c r="C170">
        <v>3302300</v>
      </c>
      <c r="D170" s="17">
        <f t="shared" si="3"/>
        <v>3302300</v>
      </c>
      <c r="E170" s="49">
        <f>VLOOKUP($A170,'Data shares'!$C:$FA,128)*100</f>
        <v>41.88</v>
      </c>
      <c r="F170" s="49">
        <f>VLOOKUP($A170,'Data shares'!$C:$FA,129)</f>
        <v>469000</v>
      </c>
    </row>
    <row r="171" spans="1:6" x14ac:dyDescent="0.25">
      <c r="A171" t="s">
        <v>194</v>
      </c>
      <c r="B171">
        <v>202646440</v>
      </c>
      <c r="C171">
        <v>52470000</v>
      </c>
      <c r="D171" s="17">
        <f t="shared" si="3"/>
        <v>52470000</v>
      </c>
      <c r="E171" s="49">
        <f>VLOOKUP($A171,'Data shares'!$C:$FA,128)*100</f>
        <v>33.410000000000004</v>
      </c>
      <c r="F171" s="49">
        <f>VLOOKUP($A171,'Data shares'!$C:$FA,129)</f>
        <v>9033650</v>
      </c>
    </row>
    <row r="172" spans="1:6" x14ac:dyDescent="0.25">
      <c r="A172" t="s">
        <v>263</v>
      </c>
      <c r="B172">
        <v>178967755</v>
      </c>
      <c r="C172">
        <v>142910500</v>
      </c>
      <c r="D172" s="17">
        <f t="shared" si="3"/>
        <v>142910500</v>
      </c>
      <c r="E172" s="49">
        <f>VLOOKUP($A172,'Data shares'!$C:$FA,128)*100</f>
        <v>33.28</v>
      </c>
      <c r="F172" s="49">
        <f>VLOOKUP($A172,'Data shares'!$C:$FA,129)</f>
        <v>6645000</v>
      </c>
    </row>
    <row r="173" spans="1:6" x14ac:dyDescent="0.25">
      <c r="A173" t="s">
        <v>476</v>
      </c>
      <c r="B173">
        <v>40446155</v>
      </c>
      <c r="C173">
        <v>4358800</v>
      </c>
      <c r="D173" s="17">
        <f t="shared" si="3"/>
        <v>4358800</v>
      </c>
      <c r="E173" s="49">
        <f>VLOOKUP($A173,'Data shares'!$C:$FA,128)*100</f>
        <v>34.410000000000004</v>
      </c>
      <c r="F173" s="49">
        <f>VLOOKUP($A173,'Data shares'!$C:$FA,129)</f>
        <v>1186500</v>
      </c>
    </row>
    <row r="174" spans="1:6" x14ac:dyDescent="0.25">
      <c r="A174" t="s">
        <v>187</v>
      </c>
      <c r="B174">
        <v>51436398</v>
      </c>
      <c r="C174">
        <v>7413750</v>
      </c>
      <c r="D174" s="17">
        <f t="shared" si="3"/>
        <v>7413750</v>
      </c>
      <c r="E174" s="49">
        <f>VLOOKUP($A174,'Data shares'!$C:$FA,128)*100</f>
        <v>32.99</v>
      </c>
      <c r="F174" s="49">
        <f>VLOOKUP($A174,'Data shares'!$C:$FA,129)</f>
        <v>1074000</v>
      </c>
    </row>
    <row r="175" spans="1:6" x14ac:dyDescent="0.25">
      <c r="A175" t="s">
        <v>493</v>
      </c>
      <c r="B175">
        <v>14814614</v>
      </c>
      <c r="C175">
        <v>3344250</v>
      </c>
      <c r="D175" s="17">
        <f t="shared" si="3"/>
        <v>3344250</v>
      </c>
      <c r="E175" s="49">
        <f>VLOOKUP($A175,'Data shares'!$C:$FA,128)*100</f>
        <v>41.64</v>
      </c>
      <c r="F175" s="49">
        <f>VLOOKUP($A175,'Data shares'!$C:$FA,129)</f>
        <v>133900</v>
      </c>
    </row>
    <row r="176" spans="1:6" x14ac:dyDescent="0.25">
      <c r="A176" t="s">
        <v>525</v>
      </c>
      <c r="B176">
        <v>35635456</v>
      </c>
      <c r="C176">
        <v>28959300</v>
      </c>
      <c r="D176" s="17">
        <f t="shared" si="3"/>
        <v>28959300</v>
      </c>
      <c r="E176" s="49">
        <f>VLOOKUP($A176,'Data shares'!$C:$FA,128)*100</f>
        <v>33.739999999999995</v>
      </c>
      <c r="F176" s="49">
        <f>VLOOKUP($A176,'Data shares'!$C:$FA,129)</f>
        <v>3183050</v>
      </c>
    </row>
    <row r="177" spans="1:6" x14ac:dyDescent="0.25">
      <c r="A177" t="s">
        <v>512</v>
      </c>
      <c r="B177">
        <v>7771646</v>
      </c>
      <c r="C177">
        <v>1119375</v>
      </c>
      <c r="D177" s="17">
        <f t="shared" si="3"/>
        <v>1119375</v>
      </c>
      <c r="E177" s="49">
        <f>VLOOKUP($A177,'Data shares'!$C:$FA,128)*100</f>
        <v>52.59</v>
      </c>
      <c r="F177" s="49">
        <f>VLOOKUP($A177,'Data shares'!$C:$FA,129)</f>
        <v>767350</v>
      </c>
    </row>
    <row r="178" spans="1:6" x14ac:dyDescent="0.25">
      <c r="A178" t="s">
        <v>233</v>
      </c>
      <c r="B178">
        <v>76432837</v>
      </c>
      <c r="C178">
        <v>9804000</v>
      </c>
      <c r="D178" s="17">
        <f t="shared" si="3"/>
        <v>9804000</v>
      </c>
      <c r="E178" s="49">
        <f>VLOOKUP($A178,'Data shares'!$C:$FA,128)*100</f>
        <v>31.55</v>
      </c>
      <c r="F178" s="49">
        <f>VLOOKUP($A178,'Data shares'!$C:$FA,129)</f>
        <v>1545675</v>
      </c>
    </row>
    <row r="179" spans="1:6" x14ac:dyDescent="0.25">
      <c r="A179" t="s">
        <v>183</v>
      </c>
      <c r="B179">
        <v>12092405</v>
      </c>
      <c r="C179">
        <v>2606450</v>
      </c>
      <c r="D179" s="17">
        <f t="shared" si="3"/>
        <v>2606450</v>
      </c>
      <c r="E179" s="49">
        <f>VLOOKUP($A179,'Data shares'!$C:$FA,128)*100</f>
        <v>36.71</v>
      </c>
      <c r="F179" s="49">
        <f>VLOOKUP($A179,'Data shares'!$C:$FA,129)</f>
        <v>684900</v>
      </c>
    </row>
    <row r="180" spans="1:6" x14ac:dyDescent="0.25">
      <c r="A180" t="s">
        <v>280</v>
      </c>
      <c r="B180">
        <v>187084550</v>
      </c>
      <c r="C180">
        <v>50568000</v>
      </c>
      <c r="D180" s="17">
        <f t="shared" si="3"/>
        <v>50568000</v>
      </c>
      <c r="E180" s="49">
        <f>VLOOKUP($A180,'Data shares'!$C:$FA,128)*100</f>
        <v>36.870000000000005</v>
      </c>
      <c r="F180" s="49">
        <f>VLOOKUP($A180,'Data shares'!$C:$FA,129)</f>
        <v>14826000</v>
      </c>
    </row>
    <row r="181" spans="1:6" x14ac:dyDescent="0.25">
      <c r="A181" t="s">
        <v>166</v>
      </c>
      <c r="B181">
        <v>79597108</v>
      </c>
      <c r="C181">
        <v>26630000</v>
      </c>
      <c r="D181" s="17">
        <f t="shared" si="3"/>
        <v>26630000</v>
      </c>
      <c r="E181" s="49">
        <f>VLOOKUP($A181,'Data shares'!$C:$FA,128)*100</f>
        <v>35.949999999999996</v>
      </c>
      <c r="F181" s="49">
        <f>VLOOKUP($A181,'Data shares'!$C:$FA,129)</f>
        <v>335125</v>
      </c>
    </row>
    <row r="182" spans="1:6" x14ac:dyDescent="0.25">
      <c r="A182" t="s">
        <v>241</v>
      </c>
      <c r="B182">
        <v>913205148</v>
      </c>
      <c r="C182">
        <v>118527500</v>
      </c>
      <c r="D182" s="17">
        <f t="shared" si="3"/>
        <v>118527500</v>
      </c>
      <c r="E182" s="49">
        <f>VLOOKUP($A182,'Data shares'!$C:$FA,128)*100</f>
        <v>40.739999999999995</v>
      </c>
      <c r="F182" s="49">
        <f>VLOOKUP($A182,'Data shares'!$C:$FA,129)</f>
        <v>18744375</v>
      </c>
    </row>
    <row r="183" spans="1:6" x14ac:dyDescent="0.25">
      <c r="A183" t="s">
        <v>517</v>
      </c>
      <c r="B183">
        <v>10180563</v>
      </c>
      <c r="C183">
        <v>3926650</v>
      </c>
      <c r="D183" s="17">
        <f t="shared" si="3"/>
        <v>3926650</v>
      </c>
      <c r="E183" s="49">
        <f>VLOOKUP($A183,'Data shares'!$C:$FA,128)*100</f>
        <v>36.86</v>
      </c>
      <c r="F183" s="49">
        <f>VLOOKUP($A183,'Data shares'!$C:$FA,129)</f>
        <v>1564375</v>
      </c>
    </row>
    <row r="184" spans="1:6" x14ac:dyDescent="0.25">
      <c r="A184" t="s">
        <v>211</v>
      </c>
      <c r="B184">
        <v>91809066</v>
      </c>
      <c r="C184">
        <v>33516000</v>
      </c>
      <c r="D184" s="17">
        <f t="shared" si="3"/>
        <v>33516000</v>
      </c>
      <c r="E184" s="49">
        <f>VLOOKUP($A184,'Data shares'!$C:$FA,128)*100</f>
        <v>50.839999999999996</v>
      </c>
      <c r="F184" s="49">
        <f>VLOOKUP($A184,'Data shares'!$C:$FA,129)</f>
        <v>9401400</v>
      </c>
    </row>
    <row r="185" spans="1:6" x14ac:dyDescent="0.25">
      <c r="A185" t="s">
        <v>518</v>
      </c>
      <c r="B185">
        <v>4636018</v>
      </c>
      <c r="C185">
        <v>608375</v>
      </c>
      <c r="D185" s="17">
        <f t="shared" si="3"/>
        <v>608375</v>
      </c>
      <c r="E185" s="49">
        <f>VLOOKUP($A185,'Data shares'!$C:$FA,128)*100</f>
        <v>36.700000000000003</v>
      </c>
      <c r="F185" s="49">
        <f>VLOOKUP($A185,'Data shares'!$C:$FA,129)</f>
        <v>233625</v>
      </c>
    </row>
    <row r="186" spans="1:6" x14ac:dyDescent="0.25">
      <c r="A186" t="s">
        <v>511</v>
      </c>
      <c r="B186">
        <v>18644752</v>
      </c>
      <c r="C186">
        <v>4227600</v>
      </c>
      <c r="D186" s="17">
        <f t="shared" si="3"/>
        <v>4227600</v>
      </c>
      <c r="E186" s="49">
        <f>VLOOKUP($A186,'Data shares'!$C:$FA,128)*100</f>
        <v>50.690000000000005</v>
      </c>
      <c r="F186" s="49">
        <f>VLOOKUP($A186,'Data shares'!$C:$FA,129)</f>
        <v>55053000</v>
      </c>
    </row>
    <row r="187" spans="1:6" x14ac:dyDescent="0.25">
      <c r="A187" t="s">
        <v>186</v>
      </c>
      <c r="B187">
        <v>48589957</v>
      </c>
      <c r="C187">
        <v>5942200</v>
      </c>
      <c r="D187" s="17">
        <f t="shared" si="3"/>
        <v>5942200</v>
      </c>
      <c r="E187" s="49">
        <f>VLOOKUP($A187,'Data shares'!$C:$FA,128)*100</f>
        <v>42.089999999999996</v>
      </c>
      <c r="F187" s="49">
        <f>VLOOKUP($A187,'Data shares'!$C:$FA,129)</f>
        <v>28519950</v>
      </c>
    </row>
    <row r="188" spans="1:6" x14ac:dyDescent="0.25">
      <c r="A188" t="s">
        <v>522</v>
      </c>
      <c r="B188">
        <v>1063050</v>
      </c>
      <c r="C188">
        <v>54050</v>
      </c>
      <c r="D188" s="17">
        <f t="shared" si="3"/>
        <v>54050</v>
      </c>
      <c r="E188" s="49">
        <f>VLOOKUP($A188,'Data shares'!$C:$FA,128)*100</f>
        <v>39.22</v>
      </c>
      <c r="F188" s="49">
        <f>VLOOKUP($A188,'Data shares'!$C:$FA,129)</f>
        <v>392875</v>
      </c>
    </row>
    <row r="189" spans="1:6" x14ac:dyDescent="0.25">
      <c r="A189" t="s">
        <v>300</v>
      </c>
      <c r="B189">
        <v>45360865</v>
      </c>
      <c r="C189">
        <v>14277200</v>
      </c>
      <c r="D189" s="17">
        <f t="shared" si="3"/>
        <v>14277200</v>
      </c>
      <c r="E189" s="49">
        <f>VLOOKUP($A189,'Data shares'!$C:$FA,128)*100</f>
        <v>33.18</v>
      </c>
      <c r="F189" s="49">
        <f>VLOOKUP($A189,'Data shares'!$C:$FA,129)</f>
        <v>970725</v>
      </c>
    </row>
    <row r="190" spans="1:6" x14ac:dyDescent="0.25">
      <c r="A190" t="s">
        <v>520</v>
      </c>
      <c r="B190">
        <v>23139622</v>
      </c>
      <c r="C190">
        <v>1555500</v>
      </c>
      <c r="D190" s="17">
        <f t="shared" si="3"/>
        <v>1555500</v>
      </c>
      <c r="E190" s="49">
        <f>VLOOKUP($A190,'Data shares'!$C:$FA,128)*100</f>
        <v>39.550000000000004</v>
      </c>
      <c r="F190" s="49">
        <f>VLOOKUP($A190,'Data shares'!$C:$FA,129)</f>
        <v>6806800</v>
      </c>
    </row>
    <row r="191" spans="1:6" x14ac:dyDescent="0.25">
      <c r="A191" t="s">
        <v>294</v>
      </c>
      <c r="B191">
        <v>161436977</v>
      </c>
      <c r="C191">
        <v>59382700</v>
      </c>
      <c r="D191" s="17">
        <f t="shared" si="3"/>
        <v>59382700</v>
      </c>
      <c r="E191" s="49">
        <f>VLOOKUP($A191,'Data shares'!$C:$FA,128)*100</f>
        <v>36.24</v>
      </c>
      <c r="F191" s="49">
        <f>VLOOKUP($A191,'Data shares'!$C:$FA,129)</f>
        <v>39644000</v>
      </c>
    </row>
    <row r="192" spans="1:6" x14ac:dyDescent="0.25">
      <c r="A192" t="s">
        <v>244</v>
      </c>
      <c r="B192">
        <v>265685393</v>
      </c>
      <c r="C192">
        <v>44023500</v>
      </c>
      <c r="D192" s="17">
        <f t="shared" si="3"/>
        <v>44023500</v>
      </c>
      <c r="E192" s="49">
        <f>VLOOKUP($A192,'Data shares'!$C:$FA,128)*100</f>
        <v>53.680000000000007</v>
      </c>
      <c r="F192" s="49">
        <f>VLOOKUP($A192,'Data shares'!$C:$FA,129)</f>
        <v>15178725</v>
      </c>
    </row>
    <row r="193" spans="1:6" x14ac:dyDescent="0.25">
      <c r="A193" t="s">
        <v>160</v>
      </c>
      <c r="B193">
        <v>145684825</v>
      </c>
      <c r="C193">
        <v>110820000</v>
      </c>
      <c r="D193" s="17">
        <f t="shared" si="3"/>
        <v>110820000</v>
      </c>
      <c r="E193" s="49">
        <f>VLOOKUP($A193,'Data shares'!$C:$FA,128)*100</f>
        <v>39.75</v>
      </c>
      <c r="F193" s="49">
        <f>VLOOKUP($A193,'Data shares'!$C:$FA,129)</f>
        <v>4132975</v>
      </c>
    </row>
    <row r="194" spans="1:6" x14ac:dyDescent="0.25">
      <c r="A194" t="s">
        <v>496</v>
      </c>
      <c r="B194">
        <v>11999202</v>
      </c>
      <c r="C194">
        <v>2345700</v>
      </c>
      <c r="D194" s="17">
        <f t="shared" si="3"/>
        <v>2345700</v>
      </c>
      <c r="E194" s="49">
        <f>VLOOKUP($A194,'Data shares'!$C:$FA,128)*100</f>
        <v>51.89</v>
      </c>
      <c r="F194" s="49">
        <f>VLOOKUP($A194,'Data shares'!$C:$FA,129)</f>
        <v>781550</v>
      </c>
    </row>
    <row r="195" spans="1:6" x14ac:dyDescent="0.25">
      <c r="A195" t="s">
        <v>230</v>
      </c>
      <c r="B195">
        <v>179034270</v>
      </c>
      <c r="C195">
        <v>24257400</v>
      </c>
      <c r="D195" s="17">
        <f t="shared" si="3"/>
        <v>24257400</v>
      </c>
      <c r="E195" s="49">
        <f>VLOOKUP($A195,'Data shares'!$C:$FA,128)*100</f>
        <v>38.519999999999996</v>
      </c>
      <c r="F195" s="49">
        <f>VLOOKUP($A195,'Data shares'!$C:$FA,129)</f>
        <v>1947300</v>
      </c>
    </row>
    <row r="196" spans="1:6" x14ac:dyDescent="0.25">
      <c r="A196" t="s">
        <v>203</v>
      </c>
      <c r="B196">
        <v>27165463</v>
      </c>
      <c r="C196">
        <v>3318000</v>
      </c>
      <c r="D196" s="17">
        <f t="shared" si="3"/>
        <v>3318000</v>
      </c>
      <c r="E196" s="49">
        <f>VLOOKUP($A196,'Data shares'!$C:$FA,128)*100</f>
        <v>41.010000000000005</v>
      </c>
      <c r="F196" s="49">
        <f>VLOOKUP($A196,'Data shares'!$C:$FA,129)</f>
        <v>721400</v>
      </c>
    </row>
    <row r="197" spans="1:6" x14ac:dyDescent="0.25">
      <c r="A197" t="s">
        <v>251</v>
      </c>
      <c r="B197">
        <v>184464522</v>
      </c>
      <c r="C197">
        <v>32566800</v>
      </c>
      <c r="D197" s="17">
        <f t="shared" si="3"/>
        <v>32566800</v>
      </c>
      <c r="E197" s="49">
        <f>VLOOKUP($A197,'Data shares'!$C:$FA,128)*100</f>
        <v>52.12</v>
      </c>
      <c r="F197" s="49">
        <f>VLOOKUP($A197,'Data shares'!$C:$FA,129)</f>
        <v>5972200</v>
      </c>
    </row>
    <row r="198" spans="1:6" x14ac:dyDescent="0.25">
      <c r="A198" t="s">
        <v>254</v>
      </c>
      <c r="B198">
        <v>104419539</v>
      </c>
      <c r="C198">
        <v>12741000</v>
      </c>
      <c r="D198" s="17">
        <f t="shared" si="3"/>
        <v>12741000</v>
      </c>
      <c r="E198" s="49">
        <f>VLOOKUP($A198,'Data shares'!$C:$FA,128)*100</f>
        <v>38.81</v>
      </c>
      <c r="F198" s="49">
        <f>VLOOKUP($A198,'Data shares'!$C:$FA,129)</f>
        <v>2115600</v>
      </c>
    </row>
    <row r="199" spans="1:6" x14ac:dyDescent="0.25">
      <c r="A199" t="s">
        <v>159</v>
      </c>
      <c r="B199">
        <v>55169320</v>
      </c>
      <c r="C199">
        <v>29565500</v>
      </c>
      <c r="D199" s="17">
        <f t="shared" si="3"/>
        <v>29565500</v>
      </c>
      <c r="E199" s="49">
        <f>VLOOKUP($A199,'Data shares'!$C:$FA,128)*100</f>
        <v>35.44</v>
      </c>
      <c r="F199" s="49">
        <f>VLOOKUP($A199,'Data shares'!$C:$FA,129)</f>
        <v>3751569</v>
      </c>
    </row>
    <row r="200" spans="1:6" x14ac:dyDescent="0.25">
      <c r="A200" t="s">
        <v>201</v>
      </c>
      <c r="B200">
        <v>26654592</v>
      </c>
      <c r="C200">
        <v>3469200</v>
      </c>
      <c r="D200" s="17">
        <f t="shared" si="3"/>
        <v>3469200</v>
      </c>
      <c r="E200" s="49">
        <f>VLOOKUP($A200,'Data shares'!$C:$FA,128)*100</f>
        <v>33.82</v>
      </c>
      <c r="F200" s="49">
        <f>VLOOKUP($A200,'Data shares'!$C:$FA,129)</f>
        <v>712575</v>
      </c>
    </row>
    <row r="201" spans="1:6" x14ac:dyDescent="0.25">
      <c r="A201" t="s">
        <v>199</v>
      </c>
      <c r="B201">
        <v>102562642</v>
      </c>
      <c r="C201">
        <v>20641400</v>
      </c>
      <c r="D201" s="17">
        <f t="shared" si="3"/>
        <v>20641400</v>
      </c>
      <c r="E201" s="49">
        <f>VLOOKUP($A201,'Data shares'!$C:$FA,128)*100</f>
        <v>49.93</v>
      </c>
      <c r="F201" s="49">
        <f>VLOOKUP($A201,'Data shares'!$C:$FA,129)</f>
        <v>3849750</v>
      </c>
    </row>
    <row r="202" spans="1:6" x14ac:dyDescent="0.25">
      <c r="A202" t="s">
        <v>296</v>
      </c>
      <c r="B202">
        <v>124861039</v>
      </c>
      <c r="C202">
        <v>20543400</v>
      </c>
      <c r="D202" s="17">
        <f t="shared" si="3"/>
        <v>20543400</v>
      </c>
      <c r="E202" s="49">
        <f>VLOOKUP($A202,'Data shares'!$C:$FA,128)*100</f>
        <v>41.58</v>
      </c>
      <c r="F202" s="49">
        <f>VLOOKUP($A202,'Data shares'!$C:$FA,129)</f>
        <v>2634000</v>
      </c>
    </row>
    <row r="203" spans="1:6" x14ac:dyDescent="0.25">
      <c r="A203" t="s">
        <v>229</v>
      </c>
      <c r="B203">
        <v>127940594</v>
      </c>
      <c r="C203">
        <v>33552900</v>
      </c>
      <c r="D203" s="17">
        <f t="shared" si="3"/>
        <v>33552900</v>
      </c>
      <c r="E203" s="49">
        <f>VLOOKUP($A203,'Data shares'!$C:$FA,128)*100</f>
        <v>35.49</v>
      </c>
      <c r="F203" s="49">
        <f>VLOOKUP($A203,'Data shares'!$C:$FA,129)</f>
        <v>5520150</v>
      </c>
    </row>
    <row r="204" spans="1:6" x14ac:dyDescent="0.25">
      <c r="A204" t="s">
        <v>497</v>
      </c>
      <c r="B204">
        <v>10251929</v>
      </c>
      <c r="C204">
        <v>266200</v>
      </c>
      <c r="D204" s="17">
        <f t="shared" si="3"/>
        <v>266200</v>
      </c>
      <c r="E204" s="49">
        <f>VLOOKUP($A204,'Data shares'!$C:$FA,128)*100</f>
        <v>34.050000000000004</v>
      </c>
      <c r="F204" s="49">
        <f>VLOOKUP($A204,'Data shares'!$C:$FA,129)</f>
        <v>48375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D14" sqref="D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L14" sqref="L14"/>
    </sheetView>
  </sheetViews>
  <sheetFormatPr defaultRowHeight="15" x14ac:dyDescent="0.25"/>
  <cols>
    <col min="1" max="1" width="12.14062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4" bestFit="1" customWidth="1"/>
    <col min="82" max="82" width="11.42578125" bestFit="1" customWidth="1"/>
    <col min="83" max="83" width="14.28515625" bestFit="1" customWidth="1"/>
    <col min="84" max="84" width="14.42578125" bestFit="1" customWidth="1"/>
    <col min="85" max="85" width="13.5703125" bestFit="1" customWidth="1"/>
    <col min="86" max="86" width="11.42578125" bestFit="1" customWidth="1"/>
    <col min="87" max="88" width="13.140625" bestFit="1" customWidth="1"/>
    <col min="89" max="89" width="11.5703125" bestFit="1" customWidth="1"/>
    <col min="90" max="90" width="10.140625" bestFit="1" customWidth="1"/>
    <col min="91" max="92" width="14.28515625" bestFit="1" customWidth="1"/>
    <col min="93" max="93" width="12.42578125" bestFit="1" customWidth="1"/>
    <col min="94" max="94" width="10.42578125" bestFit="1" customWidth="1"/>
    <col min="95" max="95" width="13.140625" bestFit="1" customWidth="1"/>
    <col min="96" max="96" width="14.28515625" bestFit="1" customWidth="1"/>
    <col min="97" max="97" width="12.28515625" bestFit="1" customWidth="1"/>
    <col min="98" max="98" width="10.28515625" bestFit="1" customWidth="1"/>
    <col min="99" max="99" width="14.28515625" bestFit="1" customWidth="1"/>
    <col min="100" max="100" width="14.7109375" bestFit="1" customWidth="1"/>
    <col min="101" max="101" width="14" bestFit="1" customWidth="1"/>
    <col min="102" max="102" width="11.7109375" bestFit="1" customWidth="1"/>
    <col min="103" max="103" width="8.140625" bestFit="1" customWidth="1"/>
    <col min="104" max="104" width="8.85546875" bestFit="1" customWidth="1"/>
    <col min="105" max="106" width="9"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46135</v>
      </c>
      <c r="B2" s="227" t="s">
        <v>215</v>
      </c>
      <c r="C2" s="227" t="s">
        <v>159</v>
      </c>
      <c r="D2" s="231">
        <v>2307.1999999999998</v>
      </c>
      <c r="E2" s="231">
        <v>2269.1999999999998</v>
      </c>
      <c r="F2" s="228">
        <v>38</v>
      </c>
      <c r="G2" s="229">
        <v>1.67E-2</v>
      </c>
      <c r="H2" s="231">
        <v>2300</v>
      </c>
      <c r="I2" s="231">
        <v>2260.8000000000002</v>
      </c>
      <c r="J2" s="228">
        <v>39.200000000000003</v>
      </c>
      <c r="K2" s="229">
        <v>1.7299999999999999E-2</v>
      </c>
      <c r="L2" s="231">
        <v>2307.1999999999998</v>
      </c>
      <c r="M2" s="231">
        <v>2269.1999999999998</v>
      </c>
      <c r="N2" s="228">
        <v>38</v>
      </c>
      <c r="O2" s="229">
        <v>1.67E-2</v>
      </c>
      <c r="P2" s="231">
        <v>2320.1999999999998</v>
      </c>
      <c r="Q2" s="231">
        <v>2277.3000000000002</v>
      </c>
      <c r="R2" s="228">
        <v>42.9</v>
      </c>
      <c r="S2" s="229">
        <v>1.8800000000000001E-2</v>
      </c>
      <c r="T2" s="231">
        <v>2328.9</v>
      </c>
      <c r="U2" s="231">
        <v>2291.3000000000002</v>
      </c>
      <c r="V2" s="228">
        <v>37.6</v>
      </c>
      <c r="W2" s="229">
        <v>1.6400000000000001E-2</v>
      </c>
      <c r="X2" s="228">
        <v>7.2</v>
      </c>
      <c r="Y2" s="228">
        <v>8.4</v>
      </c>
      <c r="Z2" s="228">
        <v>-1.2</v>
      </c>
      <c r="AA2" s="229">
        <v>3.0999999999999999E-3</v>
      </c>
      <c r="AB2" s="228">
        <v>7.2</v>
      </c>
      <c r="AC2" s="228">
        <v>8.4</v>
      </c>
      <c r="AD2" s="228">
        <v>-1.2</v>
      </c>
      <c r="AE2" s="229">
        <v>3.0999999999999999E-3</v>
      </c>
      <c r="AF2" s="228">
        <v>20.2</v>
      </c>
      <c r="AG2" s="228">
        <v>16.5</v>
      </c>
      <c r="AH2" s="228">
        <v>3.7</v>
      </c>
      <c r="AI2" s="229">
        <v>8.8000000000000005E-3</v>
      </c>
      <c r="AJ2" s="228">
        <v>28.9</v>
      </c>
      <c r="AK2" s="228">
        <v>30.5</v>
      </c>
      <c r="AL2" s="228">
        <v>-1.6</v>
      </c>
      <c r="AM2" s="229">
        <v>1.26E-2</v>
      </c>
      <c r="AN2" s="231">
        <v>2293.85</v>
      </c>
      <c r="AO2" s="231">
        <v>2307.83</v>
      </c>
      <c r="AP2" s="228">
        <v>0</v>
      </c>
      <c r="AQ2" s="230">
        <v>30818</v>
      </c>
      <c r="AR2" s="230">
        <v>17897</v>
      </c>
      <c r="AS2" s="230">
        <v>12921</v>
      </c>
      <c r="AT2" s="229">
        <v>0.72199999999999998</v>
      </c>
      <c r="AU2" s="230">
        <v>16230</v>
      </c>
      <c r="AV2" s="230">
        <v>10450</v>
      </c>
      <c r="AW2" s="230">
        <v>5780</v>
      </c>
      <c r="AX2" s="229">
        <v>0.55310000000000004</v>
      </c>
      <c r="AY2" s="230">
        <v>14305</v>
      </c>
      <c r="AZ2" s="230">
        <v>7272</v>
      </c>
      <c r="BA2" s="230">
        <v>7033</v>
      </c>
      <c r="BB2" s="229">
        <v>0.96709999999999996</v>
      </c>
      <c r="BC2" s="228">
        <v>283</v>
      </c>
      <c r="BD2" s="228">
        <v>175</v>
      </c>
      <c r="BE2" s="228">
        <v>108</v>
      </c>
      <c r="BF2" s="229">
        <v>0.61709999999999998</v>
      </c>
      <c r="BG2" s="230">
        <v>83564</v>
      </c>
      <c r="BH2" s="230">
        <v>47073</v>
      </c>
      <c r="BI2" s="230">
        <v>36491</v>
      </c>
      <c r="BJ2" s="229">
        <v>0.7752</v>
      </c>
      <c r="BK2" s="230">
        <v>31819</v>
      </c>
      <c r="BL2" s="230">
        <v>26060</v>
      </c>
      <c r="BM2" s="230">
        <v>5759</v>
      </c>
      <c r="BN2" s="229">
        <v>0.221</v>
      </c>
      <c r="BO2" s="230">
        <v>146201</v>
      </c>
      <c r="BP2" s="230">
        <v>91030</v>
      </c>
      <c r="BQ2" s="230">
        <v>55171</v>
      </c>
      <c r="BR2" s="229">
        <v>0.60609999999999997</v>
      </c>
      <c r="BS2" s="230">
        <v>3211060</v>
      </c>
      <c r="BT2" s="230">
        <v>3579892</v>
      </c>
      <c r="BU2" s="230">
        <v>-368832</v>
      </c>
      <c r="BV2" s="229">
        <v>-0.10299999999999999</v>
      </c>
      <c r="BW2" s="230">
        <v>19292106</v>
      </c>
      <c r="BX2" s="230">
        <v>18764952</v>
      </c>
      <c r="BY2" s="230">
        <v>527154</v>
      </c>
      <c r="BZ2" s="229">
        <v>2.81E-2</v>
      </c>
      <c r="CA2" s="230">
        <v>12455172</v>
      </c>
      <c r="CB2" s="230">
        <v>15013383</v>
      </c>
      <c r="CC2" s="230">
        <v>-2558211</v>
      </c>
      <c r="CD2" s="229">
        <v>-0.1704</v>
      </c>
      <c r="CE2" s="230">
        <v>6675327</v>
      </c>
      <c r="CF2" s="230">
        <v>3613755</v>
      </c>
      <c r="CG2" s="230">
        <v>3061572</v>
      </c>
      <c r="CH2" s="229">
        <v>0.84719999999999995</v>
      </c>
      <c r="CI2" s="230">
        <v>161607</v>
      </c>
      <c r="CJ2" s="230">
        <v>137814</v>
      </c>
      <c r="CK2" s="230">
        <v>23793</v>
      </c>
      <c r="CL2" s="229">
        <v>0.1726</v>
      </c>
      <c r="CM2" s="230">
        <v>8326932</v>
      </c>
      <c r="CN2" s="230">
        <v>7528476</v>
      </c>
      <c r="CO2" s="230">
        <v>798456</v>
      </c>
      <c r="CP2" s="229">
        <v>0.1061</v>
      </c>
      <c r="CQ2" s="230">
        <v>7291473</v>
      </c>
      <c r="CR2" s="230">
        <v>7188576</v>
      </c>
      <c r="CS2" s="230">
        <v>102897</v>
      </c>
      <c r="CT2" s="229">
        <v>1.43E-2</v>
      </c>
      <c r="CU2" s="230">
        <v>34910511</v>
      </c>
      <c r="CV2" s="230">
        <v>33482004</v>
      </c>
      <c r="CW2" s="230">
        <v>1428507</v>
      </c>
      <c r="CX2" s="229">
        <v>4.2700000000000002E-2</v>
      </c>
      <c r="CY2" s="228">
        <v>42.48</v>
      </c>
      <c r="CZ2" s="228">
        <v>37.49</v>
      </c>
      <c r="DA2" s="228">
        <v>4.99</v>
      </c>
      <c r="DB2" s="228">
        <v>4.99</v>
      </c>
      <c r="DC2" s="228">
        <v>49.24</v>
      </c>
      <c r="DD2" s="228">
        <v>49.31</v>
      </c>
      <c r="DE2" s="228">
        <v>-6.76</v>
      </c>
      <c r="DF2" s="228">
        <v>-7.0000000000000007E-2</v>
      </c>
      <c r="DG2" s="228">
        <v>42.17</v>
      </c>
      <c r="DH2" s="228">
        <v>35.28</v>
      </c>
      <c r="DI2" s="228">
        <v>6.89</v>
      </c>
      <c r="DJ2" s="228">
        <v>6.89</v>
      </c>
      <c r="DK2" s="228">
        <v>43.28</v>
      </c>
      <c r="DL2" s="228">
        <v>41.49</v>
      </c>
      <c r="DM2" s="228">
        <v>1.79</v>
      </c>
      <c r="DN2" s="228">
        <v>1.79</v>
      </c>
      <c r="DO2" s="228">
        <v>0.88</v>
      </c>
      <c r="DP2" s="228">
        <v>0.95</v>
      </c>
      <c r="DQ2" s="228">
        <v>-7.0000000000000007E-2</v>
      </c>
      <c r="DR2" s="229">
        <v>-7.3700000000000002E-2</v>
      </c>
      <c r="DS2" s="231">
        <v>2400</v>
      </c>
      <c r="DT2" s="231">
        <v>2200</v>
      </c>
      <c r="DU2" s="228">
        <v>0.38</v>
      </c>
      <c r="DV2" s="228">
        <v>0.55000000000000004</v>
      </c>
      <c r="DW2" s="228">
        <v>-0.17</v>
      </c>
      <c r="DX2" s="229">
        <v>-0.30909999999999999</v>
      </c>
      <c r="DY2" s="229">
        <v>0.35439999999999999</v>
      </c>
      <c r="DZ2" s="230">
        <v>3751569</v>
      </c>
      <c r="EA2" s="229">
        <v>5.5999999999999999E-3</v>
      </c>
      <c r="EB2" s="229">
        <v>0.35439999999999999</v>
      </c>
      <c r="EC2" s="228">
        <v>13.98</v>
      </c>
      <c r="ED2" s="229">
        <v>6.1000000000000004E-3</v>
      </c>
      <c r="EE2" s="230">
        <v>957336</v>
      </c>
      <c r="EF2" s="230">
        <v>1649148</v>
      </c>
      <c r="EG2" s="229">
        <v>-0.41949999999999998</v>
      </c>
      <c r="EH2" s="229">
        <v>0.29809999999999998</v>
      </c>
      <c r="EI2" s="231">
        <v>616415.78</v>
      </c>
      <c r="EJ2" s="231">
        <v>218944.67</v>
      </c>
      <c r="EK2" s="231">
        <v>219078.63</v>
      </c>
      <c r="EL2" s="231">
        <v>11601</v>
      </c>
      <c r="EM2" s="231">
        <v>1054439.08</v>
      </c>
      <c r="EN2" s="231">
        <v>639367.31999999995</v>
      </c>
      <c r="EO2" s="231">
        <v>415071.76</v>
      </c>
      <c r="EP2" s="229">
        <v>0.6492</v>
      </c>
      <c r="EQ2" s="231">
        <v>182936</v>
      </c>
      <c r="ER2" s="231">
        <v>150263</v>
      </c>
      <c r="ES2" s="231">
        <v>446010</v>
      </c>
      <c r="ET2" s="231">
        <v>33645895</v>
      </c>
      <c r="EU2" s="231">
        <v>779209</v>
      </c>
      <c r="EV2" s="231">
        <v>736256</v>
      </c>
      <c r="EW2" s="231">
        <v>42953</v>
      </c>
      <c r="EX2" s="229">
        <v>5.8299999999999998E-2</v>
      </c>
      <c r="EY2" s="229">
        <v>1.0376000000000001</v>
      </c>
    </row>
    <row r="3" spans="1:155" ht="17.25" thickBot="1" x14ac:dyDescent="0.3">
      <c r="A3" s="226">
        <v>46135</v>
      </c>
      <c r="B3" s="227" t="s">
        <v>215</v>
      </c>
      <c r="C3" s="227" t="s">
        <v>160</v>
      </c>
      <c r="D3" s="231">
        <v>1599.8</v>
      </c>
      <c r="E3" s="231">
        <v>1591</v>
      </c>
      <c r="F3" s="228">
        <v>8.8000000000000007</v>
      </c>
      <c r="G3" s="229">
        <v>5.4999999999999997E-3</v>
      </c>
      <c r="H3" s="231">
        <v>1602.9</v>
      </c>
      <c r="I3" s="231">
        <v>1588.6</v>
      </c>
      <c r="J3" s="228">
        <v>14.3</v>
      </c>
      <c r="K3" s="229">
        <v>8.9999999999999993E-3</v>
      </c>
      <c r="L3" s="231">
        <v>1599.8</v>
      </c>
      <c r="M3" s="231">
        <v>1591</v>
      </c>
      <c r="N3" s="228">
        <v>8.8000000000000007</v>
      </c>
      <c r="O3" s="229">
        <v>5.4999999999999997E-3</v>
      </c>
      <c r="P3" s="231">
        <v>1608.6</v>
      </c>
      <c r="Q3" s="231">
        <v>1599.5</v>
      </c>
      <c r="R3" s="228">
        <v>9.1</v>
      </c>
      <c r="S3" s="229">
        <v>5.7000000000000002E-3</v>
      </c>
      <c r="T3" s="231">
        <v>1613.9</v>
      </c>
      <c r="U3" s="231">
        <v>1604.6</v>
      </c>
      <c r="V3" s="228">
        <v>9.3000000000000007</v>
      </c>
      <c r="W3" s="229">
        <v>5.7999999999999996E-3</v>
      </c>
      <c r="X3" s="228">
        <v>-3.1</v>
      </c>
      <c r="Y3" s="228">
        <v>2.4</v>
      </c>
      <c r="Z3" s="228">
        <v>-5.5</v>
      </c>
      <c r="AA3" s="229">
        <v>-1.9E-3</v>
      </c>
      <c r="AB3" s="228">
        <v>-3.1</v>
      </c>
      <c r="AC3" s="228">
        <v>2.4</v>
      </c>
      <c r="AD3" s="228">
        <v>-5.5</v>
      </c>
      <c r="AE3" s="229">
        <v>-1.9E-3</v>
      </c>
      <c r="AF3" s="228">
        <v>5.7</v>
      </c>
      <c r="AG3" s="228">
        <v>10.9</v>
      </c>
      <c r="AH3" s="228">
        <v>-5.2</v>
      </c>
      <c r="AI3" s="229">
        <v>3.5999999999999999E-3</v>
      </c>
      <c r="AJ3" s="228">
        <v>11</v>
      </c>
      <c r="AK3" s="228">
        <v>16</v>
      </c>
      <c r="AL3" s="228">
        <v>-5</v>
      </c>
      <c r="AM3" s="229">
        <v>6.8999999999999999E-3</v>
      </c>
      <c r="AN3" s="231">
        <v>1596.21</v>
      </c>
      <c r="AO3" s="231">
        <v>1605.04</v>
      </c>
      <c r="AP3" s="228">
        <v>0</v>
      </c>
      <c r="AQ3" s="230">
        <v>22685</v>
      </c>
      <c r="AR3" s="230">
        <v>6979</v>
      </c>
      <c r="AS3" s="230">
        <v>15706</v>
      </c>
      <c r="AT3" s="229">
        <v>2.2505000000000002</v>
      </c>
      <c r="AU3" s="230">
        <v>11679</v>
      </c>
      <c r="AV3" s="230">
        <v>4206</v>
      </c>
      <c r="AW3" s="230">
        <v>7473</v>
      </c>
      <c r="AX3" s="229">
        <v>1.7766999999999999</v>
      </c>
      <c r="AY3" s="230">
        <v>10847</v>
      </c>
      <c r="AZ3" s="230">
        <v>2539</v>
      </c>
      <c r="BA3" s="230">
        <v>8308</v>
      </c>
      <c r="BB3" s="229">
        <v>3.2722000000000002</v>
      </c>
      <c r="BC3" s="228">
        <v>159</v>
      </c>
      <c r="BD3" s="228">
        <v>234</v>
      </c>
      <c r="BE3" s="228">
        <v>-75</v>
      </c>
      <c r="BF3" s="229">
        <v>-0.32050000000000001</v>
      </c>
      <c r="BG3" s="230">
        <v>31794</v>
      </c>
      <c r="BH3" s="230">
        <v>26064</v>
      </c>
      <c r="BI3" s="230">
        <v>5730</v>
      </c>
      <c r="BJ3" s="229">
        <v>0.2198</v>
      </c>
      <c r="BK3" s="230">
        <v>18419</v>
      </c>
      <c r="BL3" s="230">
        <v>15666</v>
      </c>
      <c r="BM3" s="230">
        <v>2753</v>
      </c>
      <c r="BN3" s="229">
        <v>0.1757</v>
      </c>
      <c r="BO3" s="230">
        <v>72898</v>
      </c>
      <c r="BP3" s="230">
        <v>48709</v>
      </c>
      <c r="BQ3" s="230">
        <v>24189</v>
      </c>
      <c r="BR3" s="229">
        <v>0.49659999999999999</v>
      </c>
      <c r="BS3" s="230">
        <v>2548131</v>
      </c>
      <c r="BT3" s="230">
        <v>2065514</v>
      </c>
      <c r="BU3" s="230">
        <v>482617</v>
      </c>
      <c r="BV3" s="229">
        <v>0.23369999999999999</v>
      </c>
      <c r="BW3" s="230">
        <v>20196050</v>
      </c>
      <c r="BX3" s="230">
        <v>20007950</v>
      </c>
      <c r="BY3" s="230">
        <v>188100</v>
      </c>
      <c r="BZ3" s="229">
        <v>9.4000000000000004E-3</v>
      </c>
      <c r="CA3" s="230">
        <v>12168550</v>
      </c>
      <c r="CB3" s="230">
        <v>15874975</v>
      </c>
      <c r="CC3" s="230">
        <v>-3706425</v>
      </c>
      <c r="CD3" s="229">
        <v>-0.23350000000000001</v>
      </c>
      <c r="CE3" s="230">
        <v>7777650</v>
      </c>
      <c r="CF3" s="230">
        <v>3920650</v>
      </c>
      <c r="CG3" s="230">
        <v>3857000</v>
      </c>
      <c r="CH3" s="229">
        <v>0.98380000000000001</v>
      </c>
      <c r="CI3" s="230">
        <v>249850</v>
      </c>
      <c r="CJ3" s="230">
        <v>212325</v>
      </c>
      <c r="CK3" s="230">
        <v>37525</v>
      </c>
      <c r="CL3" s="229">
        <v>0.1767</v>
      </c>
      <c r="CM3" s="230">
        <v>10317950</v>
      </c>
      <c r="CN3" s="230">
        <v>10425775</v>
      </c>
      <c r="CO3" s="230">
        <v>-107825</v>
      </c>
      <c r="CP3" s="229">
        <v>-1.03E-2</v>
      </c>
      <c r="CQ3" s="230">
        <v>8778475</v>
      </c>
      <c r="CR3" s="230">
        <v>9108600</v>
      </c>
      <c r="CS3" s="230">
        <v>-330125</v>
      </c>
      <c r="CT3" s="229">
        <v>-3.6200000000000003E-2</v>
      </c>
      <c r="CU3" s="230">
        <v>39292475</v>
      </c>
      <c r="CV3" s="230">
        <v>39542325</v>
      </c>
      <c r="CW3" s="230">
        <v>-249850</v>
      </c>
      <c r="CX3" s="229">
        <v>-6.3E-3</v>
      </c>
      <c r="CY3" s="228">
        <v>35.31</v>
      </c>
      <c r="CZ3" s="228">
        <v>32.08</v>
      </c>
      <c r="DA3" s="228">
        <v>3.23</v>
      </c>
      <c r="DB3" s="228">
        <v>3.23</v>
      </c>
      <c r="DC3" s="228">
        <v>39.94</v>
      </c>
      <c r="DD3" s="228">
        <v>40.03</v>
      </c>
      <c r="DE3" s="228">
        <v>-4.63</v>
      </c>
      <c r="DF3" s="228">
        <v>-0.09</v>
      </c>
      <c r="DG3" s="228">
        <v>34.35</v>
      </c>
      <c r="DH3" s="228">
        <v>30.83</v>
      </c>
      <c r="DI3" s="228">
        <v>3.52</v>
      </c>
      <c r="DJ3" s="228">
        <v>3.52</v>
      </c>
      <c r="DK3" s="228">
        <v>37.409999999999997</v>
      </c>
      <c r="DL3" s="228">
        <v>34.14</v>
      </c>
      <c r="DM3" s="228">
        <v>3.27</v>
      </c>
      <c r="DN3" s="228">
        <v>3.27</v>
      </c>
      <c r="DO3" s="228">
        <v>0.85</v>
      </c>
      <c r="DP3" s="228">
        <v>0.87</v>
      </c>
      <c r="DQ3" s="228">
        <v>-0.02</v>
      </c>
      <c r="DR3" s="229">
        <v>-2.3E-2</v>
      </c>
      <c r="DS3" s="231">
        <v>1500</v>
      </c>
      <c r="DT3" s="231">
        <v>1500</v>
      </c>
      <c r="DU3" s="228">
        <v>0.57999999999999996</v>
      </c>
      <c r="DV3" s="228">
        <v>0.6</v>
      </c>
      <c r="DW3" s="228">
        <v>-0.02</v>
      </c>
      <c r="DX3" s="229">
        <v>-3.3300000000000003E-2</v>
      </c>
      <c r="DY3" s="229">
        <v>0.39750000000000002</v>
      </c>
      <c r="DZ3" s="230">
        <v>4132975</v>
      </c>
      <c r="EA3" s="229">
        <v>5.4999999999999997E-3</v>
      </c>
      <c r="EB3" s="229">
        <v>0.39750000000000002</v>
      </c>
      <c r="EC3" s="228">
        <v>8.83</v>
      </c>
      <c r="ED3" s="229">
        <v>5.4999999999999997E-3</v>
      </c>
      <c r="EE3" s="230">
        <v>1204101</v>
      </c>
      <c r="EF3" s="230">
        <v>865597</v>
      </c>
      <c r="EG3" s="229">
        <v>0.3911</v>
      </c>
      <c r="EH3" s="229">
        <v>0.47249999999999998</v>
      </c>
      <c r="EI3" s="231">
        <v>249254.03</v>
      </c>
      <c r="EJ3" s="231">
        <v>135360.12</v>
      </c>
      <c r="EK3" s="231">
        <v>172462.8</v>
      </c>
      <c r="EL3" s="231">
        <v>7995</v>
      </c>
      <c r="EM3" s="231">
        <v>557076.94999999995</v>
      </c>
      <c r="EN3" s="231">
        <v>371888.63</v>
      </c>
      <c r="EO3" s="231">
        <v>185188.32</v>
      </c>
      <c r="EP3" s="229">
        <v>0.498</v>
      </c>
      <c r="EQ3" s="231">
        <v>161097</v>
      </c>
      <c r="ER3" s="231">
        <v>128763</v>
      </c>
      <c r="ES3" s="231">
        <v>323816</v>
      </c>
      <c r="ET3" s="231">
        <v>88142691</v>
      </c>
      <c r="EU3" s="231">
        <v>613676</v>
      </c>
      <c r="EV3" s="231">
        <v>614497</v>
      </c>
      <c r="EW3" s="228">
        <v>-821</v>
      </c>
      <c r="EX3" s="229">
        <v>-1.2999999999999999E-3</v>
      </c>
      <c r="EY3" s="229">
        <v>0.44579999999999997</v>
      </c>
    </row>
    <row r="4" spans="1:155" ht="17.25" thickBot="1" x14ac:dyDescent="0.3">
      <c r="A4" s="226">
        <v>46135</v>
      </c>
      <c r="B4" s="227" t="s">
        <v>170</v>
      </c>
      <c r="C4" s="227" t="s">
        <v>165</v>
      </c>
      <c r="D4" s="231">
        <v>7766.5</v>
      </c>
      <c r="E4" s="231">
        <v>7646</v>
      </c>
      <c r="F4" s="228">
        <v>120.5</v>
      </c>
      <c r="G4" s="229">
        <v>1.5800000000000002E-2</v>
      </c>
      <c r="H4" s="231">
        <v>7781</v>
      </c>
      <c r="I4" s="231">
        <v>7662</v>
      </c>
      <c r="J4" s="228">
        <v>119</v>
      </c>
      <c r="K4" s="229">
        <v>1.55E-2</v>
      </c>
      <c r="L4" s="231">
        <v>7766.5</v>
      </c>
      <c r="M4" s="231">
        <v>7646</v>
      </c>
      <c r="N4" s="228">
        <v>120.5</v>
      </c>
      <c r="O4" s="229">
        <v>1.5800000000000002E-2</v>
      </c>
      <c r="P4" s="231">
        <v>7810</v>
      </c>
      <c r="Q4" s="231">
        <v>7694.5</v>
      </c>
      <c r="R4" s="228">
        <v>115.5</v>
      </c>
      <c r="S4" s="229">
        <v>1.4999999999999999E-2</v>
      </c>
      <c r="T4" s="231">
        <v>7864</v>
      </c>
      <c r="U4" s="231">
        <v>7744</v>
      </c>
      <c r="V4" s="228">
        <v>120</v>
      </c>
      <c r="W4" s="229">
        <v>1.55E-2</v>
      </c>
      <c r="X4" s="228">
        <v>-14.5</v>
      </c>
      <c r="Y4" s="228">
        <v>-16</v>
      </c>
      <c r="Z4" s="228">
        <v>1.5</v>
      </c>
      <c r="AA4" s="229">
        <v>-1.9E-3</v>
      </c>
      <c r="AB4" s="228">
        <v>-14.5</v>
      </c>
      <c r="AC4" s="228">
        <v>-16</v>
      </c>
      <c r="AD4" s="228">
        <v>1.5</v>
      </c>
      <c r="AE4" s="229">
        <v>-1.9E-3</v>
      </c>
      <c r="AF4" s="228">
        <v>29</v>
      </c>
      <c r="AG4" s="228">
        <v>32.5</v>
      </c>
      <c r="AH4" s="228">
        <v>-3.5</v>
      </c>
      <c r="AI4" s="229">
        <v>3.7000000000000002E-3</v>
      </c>
      <c r="AJ4" s="228">
        <v>83</v>
      </c>
      <c r="AK4" s="228">
        <v>82</v>
      </c>
      <c r="AL4" s="228">
        <v>1</v>
      </c>
      <c r="AM4" s="229">
        <v>1.0699999999999999E-2</v>
      </c>
      <c r="AN4" s="231">
        <v>7717.12</v>
      </c>
      <c r="AO4" s="231">
        <v>7758.44</v>
      </c>
      <c r="AP4" s="228">
        <v>0</v>
      </c>
      <c r="AQ4" s="230">
        <v>9866</v>
      </c>
      <c r="AR4" s="230">
        <v>7605</v>
      </c>
      <c r="AS4" s="230">
        <v>2261</v>
      </c>
      <c r="AT4" s="229">
        <v>0.29730000000000001</v>
      </c>
      <c r="AU4" s="230">
        <v>5452</v>
      </c>
      <c r="AV4" s="230">
        <v>5913</v>
      </c>
      <c r="AW4" s="228">
        <v>-461</v>
      </c>
      <c r="AX4" s="229">
        <v>-7.8E-2</v>
      </c>
      <c r="AY4" s="230">
        <v>4305</v>
      </c>
      <c r="AZ4" s="230">
        <v>1110</v>
      </c>
      <c r="BA4" s="230">
        <v>3195</v>
      </c>
      <c r="BB4" s="229">
        <v>2.8784000000000001</v>
      </c>
      <c r="BC4" s="228">
        <v>109</v>
      </c>
      <c r="BD4" s="228">
        <v>582</v>
      </c>
      <c r="BE4" s="228">
        <v>-473</v>
      </c>
      <c r="BF4" s="229">
        <v>-0.81269999999999998</v>
      </c>
      <c r="BG4" s="230">
        <v>24507</v>
      </c>
      <c r="BH4" s="230">
        <v>24305</v>
      </c>
      <c r="BI4" s="228">
        <v>202</v>
      </c>
      <c r="BJ4" s="229">
        <v>8.3000000000000001E-3</v>
      </c>
      <c r="BK4" s="230">
        <v>13572</v>
      </c>
      <c r="BL4" s="230">
        <v>26484</v>
      </c>
      <c r="BM4" s="230">
        <v>-12912</v>
      </c>
      <c r="BN4" s="229">
        <v>-0.48749999999999999</v>
      </c>
      <c r="BO4" s="230">
        <v>47945</v>
      </c>
      <c r="BP4" s="230">
        <v>58394</v>
      </c>
      <c r="BQ4" s="230">
        <v>-10449</v>
      </c>
      <c r="BR4" s="229">
        <v>-0.1789</v>
      </c>
      <c r="BS4" s="230">
        <v>312242</v>
      </c>
      <c r="BT4" s="230">
        <v>619194</v>
      </c>
      <c r="BU4" s="230">
        <v>-306952</v>
      </c>
      <c r="BV4" s="229">
        <v>-0.49569999999999997</v>
      </c>
      <c r="BW4" s="230">
        <v>2116375</v>
      </c>
      <c r="BX4" s="230">
        <v>2153125</v>
      </c>
      <c r="BY4" s="230">
        <v>-36750</v>
      </c>
      <c r="BZ4" s="229">
        <v>-1.7100000000000001E-2</v>
      </c>
      <c r="CA4" s="230">
        <v>1355625</v>
      </c>
      <c r="CB4" s="230">
        <v>1818000</v>
      </c>
      <c r="CC4" s="230">
        <v>-462375</v>
      </c>
      <c r="CD4" s="229">
        <v>-0.25430000000000003</v>
      </c>
      <c r="CE4" s="230">
        <v>660750</v>
      </c>
      <c r="CF4" s="230">
        <v>238000</v>
      </c>
      <c r="CG4" s="230">
        <v>422750</v>
      </c>
      <c r="CH4" s="229">
        <v>1.7763</v>
      </c>
      <c r="CI4" s="230">
        <v>100000</v>
      </c>
      <c r="CJ4" s="230">
        <v>97125</v>
      </c>
      <c r="CK4" s="230">
        <v>2875</v>
      </c>
      <c r="CL4" s="229">
        <v>2.9600000000000001E-2</v>
      </c>
      <c r="CM4" s="230">
        <v>840000</v>
      </c>
      <c r="CN4" s="230">
        <v>920875</v>
      </c>
      <c r="CO4" s="230">
        <v>-80875</v>
      </c>
      <c r="CP4" s="229">
        <v>-8.7800000000000003E-2</v>
      </c>
      <c r="CQ4" s="230">
        <v>951125</v>
      </c>
      <c r="CR4" s="230">
        <v>867125</v>
      </c>
      <c r="CS4" s="230">
        <v>84000</v>
      </c>
      <c r="CT4" s="229">
        <v>9.69E-2</v>
      </c>
      <c r="CU4" s="230">
        <v>3907500</v>
      </c>
      <c r="CV4" s="230">
        <v>3941125</v>
      </c>
      <c r="CW4" s="230">
        <v>-33625</v>
      </c>
      <c r="CX4" s="229">
        <v>-8.5000000000000006E-3</v>
      </c>
      <c r="CY4" s="228">
        <v>26.13</v>
      </c>
      <c r="CZ4" s="228">
        <v>23.54</v>
      </c>
      <c r="DA4" s="228">
        <v>2.59</v>
      </c>
      <c r="DB4" s="228">
        <v>2.59</v>
      </c>
      <c r="DC4" s="228">
        <v>25.16</v>
      </c>
      <c r="DD4" s="228">
        <v>25.14</v>
      </c>
      <c r="DE4" s="228">
        <v>0.97</v>
      </c>
      <c r="DF4" s="228">
        <v>0.02</v>
      </c>
      <c r="DG4" s="228">
        <v>25.99</v>
      </c>
      <c r="DH4" s="228">
        <v>22.93</v>
      </c>
      <c r="DI4" s="228">
        <v>3.06</v>
      </c>
      <c r="DJ4" s="228">
        <v>3.06</v>
      </c>
      <c r="DK4" s="228">
        <v>26.46</v>
      </c>
      <c r="DL4" s="228">
        <v>24.09</v>
      </c>
      <c r="DM4" s="228">
        <v>2.37</v>
      </c>
      <c r="DN4" s="228">
        <v>2.37</v>
      </c>
      <c r="DO4" s="228">
        <v>1.1299999999999999</v>
      </c>
      <c r="DP4" s="228">
        <v>0.94</v>
      </c>
      <c r="DQ4" s="228">
        <v>0.19</v>
      </c>
      <c r="DR4" s="229">
        <v>0.2021</v>
      </c>
      <c r="DS4" s="231">
        <v>8000</v>
      </c>
      <c r="DT4" s="231">
        <v>7700</v>
      </c>
      <c r="DU4" s="228">
        <v>0.55000000000000004</v>
      </c>
      <c r="DV4" s="228">
        <v>1.0900000000000001</v>
      </c>
      <c r="DW4" s="228">
        <v>-0.54</v>
      </c>
      <c r="DX4" s="229">
        <v>-0.49540000000000001</v>
      </c>
      <c r="DY4" s="229">
        <v>0.35949999999999999</v>
      </c>
      <c r="DZ4" s="230">
        <v>335125</v>
      </c>
      <c r="EA4" s="229">
        <v>5.5999999999999999E-3</v>
      </c>
      <c r="EB4" s="229">
        <v>0.35949999999999999</v>
      </c>
      <c r="EC4" s="228">
        <v>41.32</v>
      </c>
      <c r="ED4" s="229">
        <v>5.4000000000000003E-3</v>
      </c>
      <c r="EE4" s="230">
        <v>159074</v>
      </c>
      <c r="EF4" s="230">
        <v>371109</v>
      </c>
      <c r="EG4" s="229">
        <v>-0.57140000000000002</v>
      </c>
      <c r="EH4" s="229">
        <v>0.50949999999999995</v>
      </c>
      <c r="EI4" s="231">
        <v>242018.26</v>
      </c>
      <c r="EJ4" s="231">
        <v>129340.98</v>
      </c>
      <c r="EK4" s="231">
        <v>95405.440000000002</v>
      </c>
      <c r="EL4" s="231">
        <v>3693</v>
      </c>
      <c r="EM4" s="231">
        <v>466764.68</v>
      </c>
      <c r="EN4" s="231">
        <v>564421.64</v>
      </c>
      <c r="EO4" s="231">
        <v>-97656.960000000006</v>
      </c>
      <c r="EP4" s="229">
        <v>-0.17299999999999999</v>
      </c>
      <c r="EQ4" s="231">
        <v>65355</v>
      </c>
      <c r="ER4" s="231">
        <v>69259</v>
      </c>
      <c r="ES4" s="231">
        <v>164753</v>
      </c>
      <c r="ET4" s="231">
        <v>15524629</v>
      </c>
      <c r="EU4" s="231">
        <v>299368</v>
      </c>
      <c r="EV4" s="231">
        <v>299063</v>
      </c>
      <c r="EW4" s="228">
        <v>305</v>
      </c>
      <c r="EX4" s="229">
        <v>1E-3</v>
      </c>
      <c r="EY4" s="229">
        <v>0.25169999999999998</v>
      </c>
    </row>
    <row r="5" spans="1:155" ht="17.25" thickBot="1" x14ac:dyDescent="0.3">
      <c r="A5" s="226">
        <v>46135</v>
      </c>
      <c r="B5" s="227" t="s">
        <v>168</v>
      </c>
      <c r="C5" s="227" t="s">
        <v>169</v>
      </c>
      <c r="D5" s="231">
        <v>2516.8000000000002</v>
      </c>
      <c r="E5" s="231">
        <v>2559.9</v>
      </c>
      <c r="F5" s="228">
        <v>-43.1</v>
      </c>
      <c r="G5" s="229">
        <v>-1.6799999999999999E-2</v>
      </c>
      <c r="H5" s="231">
        <v>2521.4</v>
      </c>
      <c r="I5" s="231">
        <v>2562.9</v>
      </c>
      <c r="J5" s="228">
        <v>-41.5</v>
      </c>
      <c r="K5" s="229">
        <v>-1.6199999999999999E-2</v>
      </c>
      <c r="L5" s="231">
        <v>2516.8000000000002</v>
      </c>
      <c r="M5" s="231">
        <v>2559.9</v>
      </c>
      <c r="N5" s="228">
        <v>-43.1</v>
      </c>
      <c r="O5" s="229">
        <v>-1.6799999999999999E-2</v>
      </c>
      <c r="P5" s="231">
        <v>2532.1</v>
      </c>
      <c r="Q5" s="231">
        <v>2573.9</v>
      </c>
      <c r="R5" s="228">
        <v>-41.8</v>
      </c>
      <c r="S5" s="229">
        <v>-1.6199999999999999E-2</v>
      </c>
      <c r="T5" s="231">
        <v>2524.6</v>
      </c>
      <c r="U5" s="231">
        <v>2566.1999999999998</v>
      </c>
      <c r="V5" s="228">
        <v>-41.6</v>
      </c>
      <c r="W5" s="229">
        <v>-1.6199999999999999E-2</v>
      </c>
      <c r="X5" s="228">
        <v>-4.5999999999999996</v>
      </c>
      <c r="Y5" s="228">
        <v>-3</v>
      </c>
      <c r="Z5" s="228">
        <v>-1.6</v>
      </c>
      <c r="AA5" s="229">
        <v>-1.8E-3</v>
      </c>
      <c r="AB5" s="228">
        <v>-4.5999999999999996</v>
      </c>
      <c r="AC5" s="228">
        <v>-3</v>
      </c>
      <c r="AD5" s="228">
        <v>-1.6</v>
      </c>
      <c r="AE5" s="229">
        <v>-1.8E-3</v>
      </c>
      <c r="AF5" s="228">
        <v>10.7</v>
      </c>
      <c r="AG5" s="228">
        <v>11</v>
      </c>
      <c r="AH5" s="228">
        <v>-0.3</v>
      </c>
      <c r="AI5" s="229">
        <v>4.1999999999999997E-3</v>
      </c>
      <c r="AJ5" s="228">
        <v>3.2</v>
      </c>
      <c r="AK5" s="228">
        <v>3.3</v>
      </c>
      <c r="AL5" s="228">
        <v>-0.1</v>
      </c>
      <c r="AM5" s="229">
        <v>1.2999999999999999E-3</v>
      </c>
      <c r="AN5" s="231">
        <v>2523.35</v>
      </c>
      <c r="AO5" s="231">
        <v>2537.02</v>
      </c>
      <c r="AP5" s="228">
        <v>0</v>
      </c>
      <c r="AQ5" s="230">
        <v>33000</v>
      </c>
      <c r="AR5" s="230">
        <v>7256</v>
      </c>
      <c r="AS5" s="230">
        <v>25744</v>
      </c>
      <c r="AT5" s="229">
        <v>3.548</v>
      </c>
      <c r="AU5" s="230">
        <v>17055</v>
      </c>
      <c r="AV5" s="230">
        <v>4654</v>
      </c>
      <c r="AW5" s="230">
        <v>12401</v>
      </c>
      <c r="AX5" s="229">
        <v>2.6646000000000001</v>
      </c>
      <c r="AY5" s="230">
        <v>15706</v>
      </c>
      <c r="AZ5" s="230">
        <v>2461</v>
      </c>
      <c r="BA5" s="230">
        <v>13245</v>
      </c>
      <c r="BB5" s="229">
        <v>5.3819999999999997</v>
      </c>
      <c r="BC5" s="228">
        <v>239</v>
      </c>
      <c r="BD5" s="228">
        <v>141</v>
      </c>
      <c r="BE5" s="228">
        <v>98</v>
      </c>
      <c r="BF5" s="229">
        <v>0.69499999999999995</v>
      </c>
      <c r="BG5" s="230">
        <v>22863</v>
      </c>
      <c r="BH5" s="230">
        <v>31038</v>
      </c>
      <c r="BI5" s="230">
        <v>-8175</v>
      </c>
      <c r="BJ5" s="229">
        <v>-0.26340000000000002</v>
      </c>
      <c r="BK5" s="230">
        <v>26132</v>
      </c>
      <c r="BL5" s="230">
        <v>25630</v>
      </c>
      <c r="BM5" s="228">
        <v>502</v>
      </c>
      <c r="BN5" s="229">
        <v>1.9599999999999999E-2</v>
      </c>
      <c r="BO5" s="230">
        <v>81995</v>
      </c>
      <c r="BP5" s="230">
        <v>63924</v>
      </c>
      <c r="BQ5" s="230">
        <v>18071</v>
      </c>
      <c r="BR5" s="229">
        <v>0.28270000000000001</v>
      </c>
      <c r="BS5" s="230">
        <v>1410061</v>
      </c>
      <c r="BT5" s="230">
        <v>1159795</v>
      </c>
      <c r="BU5" s="230">
        <v>250266</v>
      </c>
      <c r="BV5" s="229">
        <v>0.21579999999999999</v>
      </c>
      <c r="BW5" s="230">
        <v>14343500</v>
      </c>
      <c r="BX5" s="230">
        <v>14444250</v>
      </c>
      <c r="BY5" s="230">
        <v>-100750</v>
      </c>
      <c r="BZ5" s="229">
        <v>-7.0000000000000001E-3</v>
      </c>
      <c r="CA5" s="230">
        <v>8633000</v>
      </c>
      <c r="CB5" s="230">
        <v>11642000</v>
      </c>
      <c r="CC5" s="230">
        <v>-3009000</v>
      </c>
      <c r="CD5" s="229">
        <v>-0.25850000000000001</v>
      </c>
      <c r="CE5" s="230">
        <v>4873500</v>
      </c>
      <c r="CF5" s="230">
        <v>1994500</v>
      </c>
      <c r="CG5" s="230">
        <v>2879000</v>
      </c>
      <c r="CH5" s="229">
        <v>1.4435</v>
      </c>
      <c r="CI5" s="230">
        <v>837000</v>
      </c>
      <c r="CJ5" s="230">
        <v>807750</v>
      </c>
      <c r="CK5" s="230">
        <v>29250</v>
      </c>
      <c r="CL5" s="229">
        <v>3.6200000000000003E-2</v>
      </c>
      <c r="CM5" s="230">
        <v>5094000</v>
      </c>
      <c r="CN5" s="230">
        <v>5070000</v>
      </c>
      <c r="CO5" s="230">
        <v>24000</v>
      </c>
      <c r="CP5" s="229">
        <v>4.7000000000000002E-3</v>
      </c>
      <c r="CQ5" s="230">
        <v>5790250</v>
      </c>
      <c r="CR5" s="230">
        <v>6326750</v>
      </c>
      <c r="CS5" s="230">
        <v>-536500</v>
      </c>
      <c r="CT5" s="229">
        <v>-8.48E-2</v>
      </c>
      <c r="CU5" s="230">
        <v>25227750</v>
      </c>
      <c r="CV5" s="230">
        <v>25841000</v>
      </c>
      <c r="CW5" s="230">
        <v>-613250</v>
      </c>
      <c r="CX5" s="229">
        <v>-2.3699999999999999E-2</v>
      </c>
      <c r="CY5" s="228">
        <v>30.85</v>
      </c>
      <c r="CZ5" s="228">
        <v>27.9</v>
      </c>
      <c r="DA5" s="228">
        <v>2.95</v>
      </c>
      <c r="DB5" s="228">
        <v>2.95</v>
      </c>
      <c r="DC5" s="228">
        <v>29.19</v>
      </c>
      <c r="DD5" s="228">
        <v>29.17</v>
      </c>
      <c r="DE5" s="228">
        <v>1.66</v>
      </c>
      <c r="DF5" s="228">
        <v>0.02</v>
      </c>
      <c r="DG5" s="228">
        <v>30.1</v>
      </c>
      <c r="DH5" s="228">
        <v>26.28</v>
      </c>
      <c r="DI5" s="228">
        <v>3.82</v>
      </c>
      <c r="DJ5" s="228">
        <v>3.82</v>
      </c>
      <c r="DK5" s="228">
        <v>31.6</v>
      </c>
      <c r="DL5" s="228">
        <v>29.86</v>
      </c>
      <c r="DM5" s="228">
        <v>1.74</v>
      </c>
      <c r="DN5" s="228">
        <v>1.74</v>
      </c>
      <c r="DO5" s="228">
        <v>1.1399999999999999</v>
      </c>
      <c r="DP5" s="228">
        <v>1.25</v>
      </c>
      <c r="DQ5" s="228">
        <v>-0.11</v>
      </c>
      <c r="DR5" s="229">
        <v>-8.7999999999999995E-2</v>
      </c>
      <c r="DS5" s="231">
        <v>2600</v>
      </c>
      <c r="DT5" s="231">
        <v>2400</v>
      </c>
      <c r="DU5" s="228">
        <v>1.1399999999999999</v>
      </c>
      <c r="DV5" s="228">
        <v>0.83</v>
      </c>
      <c r="DW5" s="228">
        <v>0.31</v>
      </c>
      <c r="DX5" s="229">
        <v>0.3735</v>
      </c>
      <c r="DY5" s="229">
        <v>0.39810000000000001</v>
      </c>
      <c r="DZ5" s="230">
        <v>2802250</v>
      </c>
      <c r="EA5" s="229">
        <v>6.1000000000000004E-3</v>
      </c>
      <c r="EB5" s="229">
        <v>0.39810000000000001</v>
      </c>
      <c r="EC5" s="228">
        <v>13.67</v>
      </c>
      <c r="ED5" s="229">
        <v>5.4000000000000003E-3</v>
      </c>
      <c r="EE5" s="230">
        <v>798941</v>
      </c>
      <c r="EF5" s="230">
        <v>515460</v>
      </c>
      <c r="EG5" s="229">
        <v>0.55000000000000004</v>
      </c>
      <c r="EH5" s="229">
        <v>0.56659999999999999</v>
      </c>
      <c r="EI5" s="231">
        <v>148226</v>
      </c>
      <c r="EJ5" s="231">
        <v>161781.9</v>
      </c>
      <c r="EK5" s="231">
        <v>208717.1</v>
      </c>
      <c r="EL5" s="231">
        <v>8502</v>
      </c>
      <c r="EM5" s="231">
        <v>518725</v>
      </c>
      <c r="EN5" s="231">
        <v>408150.67</v>
      </c>
      <c r="EO5" s="231">
        <v>110574.33</v>
      </c>
      <c r="EP5" s="229">
        <v>0.27089999999999997</v>
      </c>
      <c r="EQ5" s="231">
        <v>126430</v>
      </c>
      <c r="ER5" s="231">
        <v>132317</v>
      </c>
      <c r="ES5" s="231">
        <v>361808</v>
      </c>
      <c r="ET5" s="231">
        <v>62818628</v>
      </c>
      <c r="EU5" s="231">
        <v>620555</v>
      </c>
      <c r="EV5" s="231">
        <v>640828</v>
      </c>
      <c r="EW5" s="231">
        <v>-20273</v>
      </c>
      <c r="EX5" s="229">
        <v>-3.1600000000000003E-2</v>
      </c>
      <c r="EY5" s="229">
        <v>0.40160000000000001</v>
      </c>
    </row>
    <row r="6" spans="1:155" ht="17.25" thickBot="1" x14ac:dyDescent="0.3">
      <c r="A6" s="226">
        <v>46135</v>
      </c>
      <c r="B6" s="227" t="s">
        <v>172</v>
      </c>
      <c r="C6" s="227" t="s">
        <v>173</v>
      </c>
      <c r="D6" s="231">
        <v>1367.3</v>
      </c>
      <c r="E6" s="231">
        <v>1377.7</v>
      </c>
      <c r="F6" s="228">
        <v>-10.4</v>
      </c>
      <c r="G6" s="229">
        <v>-7.4999999999999997E-3</v>
      </c>
      <c r="H6" s="231">
        <v>1369.6</v>
      </c>
      <c r="I6" s="231">
        <v>1379.6</v>
      </c>
      <c r="J6" s="228">
        <v>-10</v>
      </c>
      <c r="K6" s="229">
        <v>-7.1999999999999998E-3</v>
      </c>
      <c r="L6" s="231">
        <v>1367.3</v>
      </c>
      <c r="M6" s="231">
        <v>1377.7</v>
      </c>
      <c r="N6" s="228">
        <v>-10.4</v>
      </c>
      <c r="O6" s="229">
        <v>-7.4999999999999997E-3</v>
      </c>
      <c r="P6" s="231">
        <v>1375.2</v>
      </c>
      <c r="Q6" s="231">
        <v>1385.5</v>
      </c>
      <c r="R6" s="228">
        <v>-10.3</v>
      </c>
      <c r="S6" s="229">
        <v>-7.4000000000000003E-3</v>
      </c>
      <c r="T6" s="231">
        <v>1385.2</v>
      </c>
      <c r="U6" s="231">
        <v>1394</v>
      </c>
      <c r="V6" s="228">
        <v>-8.8000000000000007</v>
      </c>
      <c r="W6" s="229">
        <v>-6.3E-3</v>
      </c>
      <c r="X6" s="228">
        <v>-2.2999999999999998</v>
      </c>
      <c r="Y6" s="228">
        <v>-1.9</v>
      </c>
      <c r="Z6" s="228">
        <v>-0.4</v>
      </c>
      <c r="AA6" s="229">
        <v>-1.6999999999999999E-3</v>
      </c>
      <c r="AB6" s="228">
        <v>-2.2999999999999998</v>
      </c>
      <c r="AC6" s="228">
        <v>-1.9</v>
      </c>
      <c r="AD6" s="228">
        <v>-0.4</v>
      </c>
      <c r="AE6" s="229">
        <v>-1.6999999999999999E-3</v>
      </c>
      <c r="AF6" s="228">
        <v>5.6</v>
      </c>
      <c r="AG6" s="228">
        <v>5.9</v>
      </c>
      <c r="AH6" s="228">
        <v>-0.3</v>
      </c>
      <c r="AI6" s="229">
        <v>4.1000000000000003E-3</v>
      </c>
      <c r="AJ6" s="228">
        <v>15.6</v>
      </c>
      <c r="AK6" s="228">
        <v>14.4</v>
      </c>
      <c r="AL6" s="228">
        <v>1.2</v>
      </c>
      <c r="AM6" s="229">
        <v>1.14E-2</v>
      </c>
      <c r="AN6" s="231">
        <v>1371.76</v>
      </c>
      <c r="AO6" s="231">
        <v>1379.6</v>
      </c>
      <c r="AP6" s="228">
        <v>0</v>
      </c>
      <c r="AQ6" s="230">
        <v>53415</v>
      </c>
      <c r="AR6" s="230">
        <v>21864</v>
      </c>
      <c r="AS6" s="230">
        <v>31551</v>
      </c>
      <c r="AT6" s="229">
        <v>1.4431</v>
      </c>
      <c r="AU6" s="230">
        <v>26740</v>
      </c>
      <c r="AV6" s="230">
        <v>13275</v>
      </c>
      <c r="AW6" s="230">
        <v>13465</v>
      </c>
      <c r="AX6" s="229">
        <v>1.0143</v>
      </c>
      <c r="AY6" s="230">
        <v>25659</v>
      </c>
      <c r="AZ6" s="230">
        <v>4379</v>
      </c>
      <c r="BA6" s="230">
        <v>21280</v>
      </c>
      <c r="BB6" s="229">
        <v>4.8596000000000004</v>
      </c>
      <c r="BC6" s="230">
        <v>1016</v>
      </c>
      <c r="BD6" s="230">
        <v>4210</v>
      </c>
      <c r="BE6" s="230">
        <v>-3194</v>
      </c>
      <c r="BF6" s="229">
        <v>-0.75870000000000004</v>
      </c>
      <c r="BG6" s="230">
        <v>32765</v>
      </c>
      <c r="BH6" s="230">
        <v>32083</v>
      </c>
      <c r="BI6" s="228">
        <v>682</v>
      </c>
      <c r="BJ6" s="229">
        <v>2.1299999999999999E-2</v>
      </c>
      <c r="BK6" s="230">
        <v>25920</v>
      </c>
      <c r="BL6" s="230">
        <v>21692</v>
      </c>
      <c r="BM6" s="230">
        <v>4228</v>
      </c>
      <c r="BN6" s="229">
        <v>0.19489999999999999</v>
      </c>
      <c r="BO6" s="230">
        <v>112100</v>
      </c>
      <c r="BP6" s="230">
        <v>75639</v>
      </c>
      <c r="BQ6" s="230">
        <v>36461</v>
      </c>
      <c r="BR6" s="229">
        <v>0.48199999999999998</v>
      </c>
      <c r="BS6" s="230">
        <v>6541926</v>
      </c>
      <c r="BT6" s="230">
        <v>4215858</v>
      </c>
      <c r="BU6" s="230">
        <v>2326068</v>
      </c>
      <c r="BV6" s="229">
        <v>0.55169999999999997</v>
      </c>
      <c r="BW6" s="230">
        <v>66256250</v>
      </c>
      <c r="BX6" s="230">
        <v>64337500</v>
      </c>
      <c r="BY6" s="230">
        <v>1918750</v>
      </c>
      <c r="BZ6" s="229">
        <v>2.98E-2</v>
      </c>
      <c r="CA6" s="230">
        <v>27733125</v>
      </c>
      <c r="CB6" s="230">
        <v>40877500</v>
      </c>
      <c r="CC6" s="230">
        <v>-13144375</v>
      </c>
      <c r="CD6" s="229">
        <v>-0.3216</v>
      </c>
      <c r="CE6" s="230">
        <v>33605625</v>
      </c>
      <c r="CF6" s="230">
        <v>19095000</v>
      </c>
      <c r="CG6" s="230">
        <v>14510625</v>
      </c>
      <c r="CH6" s="229">
        <v>0.75990000000000002</v>
      </c>
      <c r="CI6" s="230">
        <v>4917500</v>
      </c>
      <c r="CJ6" s="230">
        <v>4365000</v>
      </c>
      <c r="CK6" s="230">
        <v>552500</v>
      </c>
      <c r="CL6" s="229">
        <v>0.12659999999999999</v>
      </c>
      <c r="CM6" s="230">
        <v>18750625</v>
      </c>
      <c r="CN6" s="230">
        <v>17239375</v>
      </c>
      <c r="CO6" s="230">
        <v>1511250</v>
      </c>
      <c r="CP6" s="229">
        <v>8.77E-2</v>
      </c>
      <c r="CQ6" s="230">
        <v>14307500</v>
      </c>
      <c r="CR6" s="230">
        <v>14347500</v>
      </c>
      <c r="CS6" s="230">
        <v>-40000</v>
      </c>
      <c r="CT6" s="229">
        <v>-2.8E-3</v>
      </c>
      <c r="CU6" s="230">
        <v>99314375</v>
      </c>
      <c r="CV6" s="230">
        <v>95924375</v>
      </c>
      <c r="CW6" s="230">
        <v>3390000</v>
      </c>
      <c r="CX6" s="229">
        <v>3.5299999999999998E-2</v>
      </c>
      <c r="CY6" s="228">
        <v>28.95</v>
      </c>
      <c r="CZ6" s="228">
        <v>36.56</v>
      </c>
      <c r="DA6" s="228">
        <v>-7.61</v>
      </c>
      <c r="DB6" s="228">
        <v>-7.61</v>
      </c>
      <c r="DC6" s="228">
        <v>29.87</v>
      </c>
      <c r="DD6" s="228">
        <v>29.92</v>
      </c>
      <c r="DE6" s="228">
        <v>-0.92</v>
      </c>
      <c r="DF6" s="228">
        <v>-0.05</v>
      </c>
      <c r="DG6" s="228">
        <v>28.41</v>
      </c>
      <c r="DH6" s="228">
        <v>35.74</v>
      </c>
      <c r="DI6" s="228">
        <v>-7.33</v>
      </c>
      <c r="DJ6" s="228">
        <v>-7.33</v>
      </c>
      <c r="DK6" s="228">
        <v>29.55</v>
      </c>
      <c r="DL6" s="228">
        <v>37.79</v>
      </c>
      <c r="DM6" s="228">
        <v>-8.24</v>
      </c>
      <c r="DN6" s="228">
        <v>-8.24</v>
      </c>
      <c r="DO6" s="228">
        <v>0.76</v>
      </c>
      <c r="DP6" s="228">
        <v>0.83</v>
      </c>
      <c r="DQ6" s="228">
        <v>-7.0000000000000007E-2</v>
      </c>
      <c r="DR6" s="229">
        <v>-8.43E-2</v>
      </c>
      <c r="DS6" s="231">
        <v>1400</v>
      </c>
      <c r="DT6" s="231">
        <v>1300</v>
      </c>
      <c r="DU6" s="228">
        <v>0.79</v>
      </c>
      <c r="DV6" s="228">
        <v>0.68</v>
      </c>
      <c r="DW6" s="228">
        <v>0.11</v>
      </c>
      <c r="DX6" s="229">
        <v>0.1618</v>
      </c>
      <c r="DY6" s="229">
        <v>0.58140000000000003</v>
      </c>
      <c r="DZ6" s="230">
        <v>23460000</v>
      </c>
      <c r="EA6" s="229">
        <v>5.7999999999999996E-3</v>
      </c>
      <c r="EB6" s="229">
        <v>0.58140000000000003</v>
      </c>
      <c r="EC6" s="228">
        <v>7.84</v>
      </c>
      <c r="ED6" s="229">
        <v>5.7000000000000002E-3</v>
      </c>
      <c r="EE6" s="230">
        <v>3374544</v>
      </c>
      <c r="EF6" s="230">
        <v>2474286</v>
      </c>
      <c r="EG6" s="229">
        <v>0.36380000000000001</v>
      </c>
      <c r="EH6" s="229">
        <v>0.51580000000000004</v>
      </c>
      <c r="EI6" s="231">
        <v>289587.61</v>
      </c>
      <c r="EJ6" s="231">
        <v>215302.7</v>
      </c>
      <c r="EK6" s="231">
        <v>459306.68</v>
      </c>
      <c r="EL6" s="231">
        <v>13697</v>
      </c>
      <c r="EM6" s="231">
        <v>964196.99</v>
      </c>
      <c r="EN6" s="231">
        <v>657507.22</v>
      </c>
      <c r="EO6" s="231">
        <v>306689.77</v>
      </c>
      <c r="EP6" s="229">
        <v>0.46639999999999998</v>
      </c>
      <c r="EQ6" s="231">
        <v>253023</v>
      </c>
      <c r="ER6" s="231">
        <v>180339</v>
      </c>
      <c r="ES6" s="231">
        <v>909457</v>
      </c>
      <c r="ET6" s="231">
        <v>331596880</v>
      </c>
      <c r="EU6" s="231">
        <v>1342818</v>
      </c>
      <c r="EV6" s="231">
        <v>1301254</v>
      </c>
      <c r="EW6" s="231">
        <v>41564</v>
      </c>
      <c r="EX6" s="229">
        <v>3.1899999999999998E-2</v>
      </c>
      <c r="EY6" s="229">
        <v>0.29949999999999999</v>
      </c>
    </row>
    <row r="7" spans="1:155" ht="17.25" thickBot="1" x14ac:dyDescent="0.3">
      <c r="A7" s="226">
        <v>46135</v>
      </c>
      <c r="B7" s="227" t="s">
        <v>162</v>
      </c>
      <c r="C7" s="227" t="s">
        <v>174</v>
      </c>
      <c r="D7" s="231">
        <v>9574</v>
      </c>
      <c r="E7" s="231">
        <v>9635</v>
      </c>
      <c r="F7" s="228">
        <v>-61</v>
      </c>
      <c r="G7" s="229">
        <v>-6.3E-3</v>
      </c>
      <c r="H7" s="231">
        <v>9550.5</v>
      </c>
      <c r="I7" s="231">
        <v>9602</v>
      </c>
      <c r="J7" s="228">
        <v>-51.5</v>
      </c>
      <c r="K7" s="229">
        <v>-5.4000000000000003E-3</v>
      </c>
      <c r="L7" s="231">
        <v>9574</v>
      </c>
      <c r="M7" s="231">
        <v>9635</v>
      </c>
      <c r="N7" s="228">
        <v>-61</v>
      </c>
      <c r="O7" s="229">
        <v>-6.3E-3</v>
      </c>
      <c r="P7" s="231">
        <v>9564.5</v>
      </c>
      <c r="Q7" s="231">
        <v>9635</v>
      </c>
      <c r="R7" s="228">
        <v>-70.5</v>
      </c>
      <c r="S7" s="229">
        <v>-7.3000000000000001E-3</v>
      </c>
      <c r="T7" s="231">
        <v>9573</v>
      </c>
      <c r="U7" s="231">
        <v>9636</v>
      </c>
      <c r="V7" s="228">
        <v>-63</v>
      </c>
      <c r="W7" s="229">
        <v>-6.4999999999999997E-3</v>
      </c>
      <c r="X7" s="228">
        <v>23.5</v>
      </c>
      <c r="Y7" s="228">
        <v>33</v>
      </c>
      <c r="Z7" s="228">
        <v>-9.5</v>
      </c>
      <c r="AA7" s="229">
        <v>2.5000000000000001E-3</v>
      </c>
      <c r="AB7" s="228">
        <v>23.5</v>
      </c>
      <c r="AC7" s="228">
        <v>33</v>
      </c>
      <c r="AD7" s="228">
        <v>-9.5</v>
      </c>
      <c r="AE7" s="229">
        <v>2.5000000000000001E-3</v>
      </c>
      <c r="AF7" s="228">
        <v>14</v>
      </c>
      <c r="AG7" s="228">
        <v>33</v>
      </c>
      <c r="AH7" s="228">
        <v>-19</v>
      </c>
      <c r="AI7" s="229">
        <v>1.5E-3</v>
      </c>
      <c r="AJ7" s="228">
        <v>22.5</v>
      </c>
      <c r="AK7" s="228">
        <v>34</v>
      </c>
      <c r="AL7" s="228">
        <v>-11.5</v>
      </c>
      <c r="AM7" s="229">
        <v>2.3999999999999998E-3</v>
      </c>
      <c r="AN7" s="231">
        <v>9564.44</v>
      </c>
      <c r="AO7" s="231">
        <v>9547.92</v>
      </c>
      <c r="AP7" s="228">
        <v>0</v>
      </c>
      <c r="AQ7" s="230">
        <v>28949</v>
      </c>
      <c r="AR7" s="230">
        <v>8020</v>
      </c>
      <c r="AS7" s="230">
        <v>20929</v>
      </c>
      <c r="AT7" s="229">
        <v>2.6095999999999999</v>
      </c>
      <c r="AU7" s="230">
        <v>14650</v>
      </c>
      <c r="AV7" s="230">
        <v>5362</v>
      </c>
      <c r="AW7" s="230">
        <v>9288</v>
      </c>
      <c r="AX7" s="229">
        <v>1.7322</v>
      </c>
      <c r="AY7" s="230">
        <v>14136</v>
      </c>
      <c r="AZ7" s="230">
        <v>2565</v>
      </c>
      <c r="BA7" s="230">
        <v>11571</v>
      </c>
      <c r="BB7" s="229">
        <v>4.5110999999999999</v>
      </c>
      <c r="BC7" s="228">
        <v>163</v>
      </c>
      <c r="BD7" s="228">
        <v>93</v>
      </c>
      <c r="BE7" s="228">
        <v>70</v>
      </c>
      <c r="BF7" s="229">
        <v>0.75270000000000004</v>
      </c>
      <c r="BG7" s="230">
        <v>25966</v>
      </c>
      <c r="BH7" s="230">
        <v>23085</v>
      </c>
      <c r="BI7" s="230">
        <v>2881</v>
      </c>
      <c r="BJ7" s="229">
        <v>0.12479999999999999</v>
      </c>
      <c r="BK7" s="230">
        <v>19232</v>
      </c>
      <c r="BL7" s="230">
        <v>14401</v>
      </c>
      <c r="BM7" s="230">
        <v>4831</v>
      </c>
      <c r="BN7" s="229">
        <v>0.33550000000000002</v>
      </c>
      <c r="BO7" s="230">
        <v>74147</v>
      </c>
      <c r="BP7" s="230">
        <v>45506</v>
      </c>
      <c r="BQ7" s="230">
        <v>28641</v>
      </c>
      <c r="BR7" s="229">
        <v>0.62939999999999996</v>
      </c>
      <c r="BS7" s="230">
        <v>470269</v>
      </c>
      <c r="BT7" s="230">
        <v>314512</v>
      </c>
      <c r="BU7" s="230">
        <v>155757</v>
      </c>
      <c r="BV7" s="229">
        <v>0.49519999999999997</v>
      </c>
      <c r="BW7" s="230">
        <v>2833800</v>
      </c>
      <c r="BX7" s="230">
        <v>3072600</v>
      </c>
      <c r="BY7" s="230">
        <v>-238800</v>
      </c>
      <c r="BZ7" s="229">
        <v>-7.7700000000000005E-2</v>
      </c>
      <c r="CA7" s="230">
        <v>1747950</v>
      </c>
      <c r="CB7" s="230">
        <v>2610525</v>
      </c>
      <c r="CC7" s="230">
        <v>-862575</v>
      </c>
      <c r="CD7" s="229">
        <v>-0.33040000000000003</v>
      </c>
      <c r="CE7" s="230">
        <v>1053900</v>
      </c>
      <c r="CF7" s="230">
        <v>438225</v>
      </c>
      <c r="CG7" s="230">
        <v>615675</v>
      </c>
      <c r="CH7" s="229">
        <v>1.4049</v>
      </c>
      <c r="CI7" s="230">
        <v>31950</v>
      </c>
      <c r="CJ7" s="230">
        <v>23850</v>
      </c>
      <c r="CK7" s="230">
        <v>8100</v>
      </c>
      <c r="CL7" s="229">
        <v>0.33960000000000001</v>
      </c>
      <c r="CM7" s="230">
        <v>1306200</v>
      </c>
      <c r="CN7" s="230">
        <v>1317000</v>
      </c>
      <c r="CO7" s="230">
        <v>-10800</v>
      </c>
      <c r="CP7" s="229">
        <v>-8.2000000000000007E-3</v>
      </c>
      <c r="CQ7" s="230">
        <v>1212075</v>
      </c>
      <c r="CR7" s="230">
        <v>1134525</v>
      </c>
      <c r="CS7" s="230">
        <v>77550</v>
      </c>
      <c r="CT7" s="229">
        <v>6.8400000000000002E-2</v>
      </c>
      <c r="CU7" s="230">
        <v>5352075</v>
      </c>
      <c r="CV7" s="230">
        <v>5524125</v>
      </c>
      <c r="CW7" s="230">
        <v>-172050</v>
      </c>
      <c r="CX7" s="229">
        <v>-3.1099999999999999E-2</v>
      </c>
      <c r="CY7" s="228">
        <v>30.01</v>
      </c>
      <c r="CZ7" s="228">
        <v>28.38</v>
      </c>
      <c r="DA7" s="228">
        <v>1.63</v>
      </c>
      <c r="DB7" s="228">
        <v>1.63</v>
      </c>
      <c r="DC7" s="228">
        <v>29.52</v>
      </c>
      <c r="DD7" s="228">
        <v>29.58</v>
      </c>
      <c r="DE7" s="228">
        <v>0.49</v>
      </c>
      <c r="DF7" s="228">
        <v>-0.06</v>
      </c>
      <c r="DG7" s="228">
        <v>30.37</v>
      </c>
      <c r="DH7" s="228">
        <v>26.44</v>
      </c>
      <c r="DI7" s="228">
        <v>3.93</v>
      </c>
      <c r="DJ7" s="228">
        <v>3.93</v>
      </c>
      <c r="DK7" s="228">
        <v>29.67</v>
      </c>
      <c r="DL7" s="228">
        <v>31.47</v>
      </c>
      <c r="DM7" s="228">
        <v>-1.8</v>
      </c>
      <c r="DN7" s="228">
        <v>-1.8</v>
      </c>
      <c r="DO7" s="228">
        <v>0.93</v>
      </c>
      <c r="DP7" s="228">
        <v>0.86</v>
      </c>
      <c r="DQ7" s="228">
        <v>7.0000000000000007E-2</v>
      </c>
      <c r="DR7" s="229">
        <v>8.14E-2</v>
      </c>
      <c r="DS7" s="231">
        <v>9800</v>
      </c>
      <c r="DT7" s="231">
        <v>8000</v>
      </c>
      <c r="DU7" s="228">
        <v>0.74</v>
      </c>
      <c r="DV7" s="228">
        <v>0.62</v>
      </c>
      <c r="DW7" s="228">
        <v>0.12</v>
      </c>
      <c r="DX7" s="229">
        <v>0.19350000000000001</v>
      </c>
      <c r="DY7" s="229">
        <v>0.38319999999999999</v>
      </c>
      <c r="DZ7" s="230">
        <v>462075</v>
      </c>
      <c r="EA7" s="229">
        <v>-1E-3</v>
      </c>
      <c r="EB7" s="229">
        <v>0.38319999999999999</v>
      </c>
      <c r="EC7" s="228">
        <v>-16.52</v>
      </c>
      <c r="ED7" s="229">
        <v>-1.6999999999999999E-3</v>
      </c>
      <c r="EE7" s="230">
        <v>289912</v>
      </c>
      <c r="EF7" s="230">
        <v>191744</v>
      </c>
      <c r="EG7" s="229">
        <v>0.51200000000000001</v>
      </c>
      <c r="EH7" s="229">
        <v>0.61650000000000005</v>
      </c>
      <c r="EI7" s="231">
        <v>192513.03</v>
      </c>
      <c r="EJ7" s="231">
        <v>135271.45000000001</v>
      </c>
      <c r="EK7" s="231">
        <v>207483.13</v>
      </c>
      <c r="EL7" s="231">
        <v>5450</v>
      </c>
      <c r="EM7" s="231">
        <v>535267.61</v>
      </c>
      <c r="EN7" s="231">
        <v>334307.07</v>
      </c>
      <c r="EO7" s="231">
        <v>200960.54</v>
      </c>
      <c r="EP7" s="229">
        <v>0.60109999999999997</v>
      </c>
      <c r="EQ7" s="231">
        <v>127953</v>
      </c>
      <c r="ER7" s="231">
        <v>109637</v>
      </c>
      <c r="ES7" s="231">
        <v>271208</v>
      </c>
      <c r="ET7" s="231">
        <v>12553818</v>
      </c>
      <c r="EU7" s="231">
        <v>508797</v>
      </c>
      <c r="EV7" s="231">
        <v>528292</v>
      </c>
      <c r="EW7" s="231">
        <v>-19495</v>
      </c>
      <c r="EX7" s="229">
        <v>-3.6900000000000002E-2</v>
      </c>
      <c r="EY7" s="229">
        <v>0.42630000000000001</v>
      </c>
    </row>
    <row r="8" spans="1:155" ht="17.25" thickBot="1" x14ac:dyDescent="0.3">
      <c r="A8" s="226">
        <v>46135</v>
      </c>
      <c r="B8" s="227" t="s">
        <v>175</v>
      </c>
      <c r="C8" s="227" t="s">
        <v>176</v>
      </c>
      <c r="D8" s="231">
        <v>1789.4</v>
      </c>
      <c r="E8" s="231">
        <v>1845.8</v>
      </c>
      <c r="F8" s="228">
        <v>-56.4</v>
      </c>
      <c r="G8" s="229">
        <v>-3.0599999999999999E-2</v>
      </c>
      <c r="H8" s="231">
        <v>1792.6</v>
      </c>
      <c r="I8" s="231">
        <v>1842.9</v>
      </c>
      <c r="J8" s="228">
        <v>-50.3</v>
      </c>
      <c r="K8" s="229">
        <v>-2.7300000000000001E-2</v>
      </c>
      <c r="L8" s="231">
        <v>1789.4</v>
      </c>
      <c r="M8" s="231">
        <v>1845.8</v>
      </c>
      <c r="N8" s="228">
        <v>-56.4</v>
      </c>
      <c r="O8" s="229">
        <v>-3.0599999999999999E-2</v>
      </c>
      <c r="P8" s="231">
        <v>1799.8</v>
      </c>
      <c r="Q8" s="231">
        <v>1855.2</v>
      </c>
      <c r="R8" s="228">
        <v>-55.4</v>
      </c>
      <c r="S8" s="229">
        <v>-2.9899999999999999E-2</v>
      </c>
      <c r="T8" s="231">
        <v>1809.3</v>
      </c>
      <c r="U8" s="231">
        <v>1868.2</v>
      </c>
      <c r="V8" s="228">
        <v>-58.9</v>
      </c>
      <c r="W8" s="229">
        <v>-3.15E-2</v>
      </c>
      <c r="X8" s="228">
        <v>-3.2</v>
      </c>
      <c r="Y8" s="228">
        <v>2.9</v>
      </c>
      <c r="Z8" s="228">
        <v>-6.1</v>
      </c>
      <c r="AA8" s="229">
        <v>-1.8E-3</v>
      </c>
      <c r="AB8" s="228">
        <v>-3.2</v>
      </c>
      <c r="AC8" s="228">
        <v>2.9</v>
      </c>
      <c r="AD8" s="228">
        <v>-6.1</v>
      </c>
      <c r="AE8" s="229">
        <v>-1.8E-3</v>
      </c>
      <c r="AF8" s="228">
        <v>7.2</v>
      </c>
      <c r="AG8" s="228">
        <v>12.3</v>
      </c>
      <c r="AH8" s="228">
        <v>-5.0999999999999996</v>
      </c>
      <c r="AI8" s="229">
        <v>4.0000000000000001E-3</v>
      </c>
      <c r="AJ8" s="228">
        <v>16.7</v>
      </c>
      <c r="AK8" s="228">
        <v>25.3</v>
      </c>
      <c r="AL8" s="228">
        <v>-8.6</v>
      </c>
      <c r="AM8" s="229">
        <v>9.2999999999999992E-3</v>
      </c>
      <c r="AN8" s="231">
        <v>1801.67</v>
      </c>
      <c r="AO8" s="231">
        <v>1812.16</v>
      </c>
      <c r="AP8" s="228">
        <v>0</v>
      </c>
      <c r="AQ8" s="230">
        <v>19502</v>
      </c>
      <c r="AR8" s="230">
        <v>6158</v>
      </c>
      <c r="AS8" s="230">
        <v>13344</v>
      </c>
      <c r="AT8" s="229">
        <v>2.1669</v>
      </c>
      <c r="AU8" s="230">
        <v>10263</v>
      </c>
      <c r="AV8" s="230">
        <v>3926</v>
      </c>
      <c r="AW8" s="230">
        <v>6337</v>
      </c>
      <c r="AX8" s="229">
        <v>1.6141000000000001</v>
      </c>
      <c r="AY8" s="230">
        <v>9038</v>
      </c>
      <c r="AZ8" s="230">
        <v>2104</v>
      </c>
      <c r="BA8" s="230">
        <v>6934</v>
      </c>
      <c r="BB8" s="229">
        <v>3.2955999999999999</v>
      </c>
      <c r="BC8" s="228">
        <v>201</v>
      </c>
      <c r="BD8" s="228">
        <v>128</v>
      </c>
      <c r="BE8" s="228">
        <v>73</v>
      </c>
      <c r="BF8" s="229">
        <v>0.57030000000000003</v>
      </c>
      <c r="BG8" s="230">
        <v>24884</v>
      </c>
      <c r="BH8" s="230">
        <v>11180</v>
      </c>
      <c r="BI8" s="230">
        <v>13704</v>
      </c>
      <c r="BJ8" s="229">
        <v>1.2258</v>
      </c>
      <c r="BK8" s="230">
        <v>16863</v>
      </c>
      <c r="BL8" s="230">
        <v>9814</v>
      </c>
      <c r="BM8" s="230">
        <v>7049</v>
      </c>
      <c r="BN8" s="229">
        <v>0.71830000000000005</v>
      </c>
      <c r="BO8" s="230">
        <v>61249</v>
      </c>
      <c r="BP8" s="230">
        <v>27152</v>
      </c>
      <c r="BQ8" s="230">
        <v>34097</v>
      </c>
      <c r="BR8" s="229">
        <v>1.2558</v>
      </c>
      <c r="BS8" s="230">
        <v>930337</v>
      </c>
      <c r="BT8" s="230">
        <v>756811</v>
      </c>
      <c r="BU8" s="230">
        <v>173526</v>
      </c>
      <c r="BV8" s="229">
        <v>0.2293</v>
      </c>
      <c r="BW8" s="230">
        <v>10881750</v>
      </c>
      <c r="BX8" s="230">
        <v>10897000</v>
      </c>
      <c r="BY8" s="230">
        <v>-15250</v>
      </c>
      <c r="BZ8" s="229">
        <v>-1.4E-3</v>
      </c>
      <c r="CA8" s="230">
        <v>6179750</v>
      </c>
      <c r="CB8" s="230">
        <v>8207000</v>
      </c>
      <c r="CC8" s="230">
        <v>-2027250</v>
      </c>
      <c r="CD8" s="229">
        <v>-0.247</v>
      </c>
      <c r="CE8" s="230">
        <v>4317000</v>
      </c>
      <c r="CF8" s="230">
        <v>2337500</v>
      </c>
      <c r="CG8" s="230">
        <v>1979500</v>
      </c>
      <c r="CH8" s="229">
        <v>0.8468</v>
      </c>
      <c r="CI8" s="230">
        <v>385000</v>
      </c>
      <c r="CJ8" s="230">
        <v>352500</v>
      </c>
      <c r="CK8" s="230">
        <v>32500</v>
      </c>
      <c r="CL8" s="229">
        <v>9.2200000000000004E-2</v>
      </c>
      <c r="CM8" s="230">
        <v>4157750</v>
      </c>
      <c r="CN8" s="230">
        <v>3691750</v>
      </c>
      <c r="CO8" s="230">
        <v>466000</v>
      </c>
      <c r="CP8" s="229">
        <v>0.12620000000000001</v>
      </c>
      <c r="CQ8" s="230">
        <v>3673000</v>
      </c>
      <c r="CR8" s="230">
        <v>3620000</v>
      </c>
      <c r="CS8" s="230">
        <v>53000</v>
      </c>
      <c r="CT8" s="229">
        <v>1.46E-2</v>
      </c>
      <c r="CU8" s="230">
        <v>18712500</v>
      </c>
      <c r="CV8" s="230">
        <v>18208750</v>
      </c>
      <c r="CW8" s="230">
        <v>503750</v>
      </c>
      <c r="CX8" s="229">
        <v>2.7699999999999999E-2</v>
      </c>
      <c r="CY8" s="228">
        <v>31.42</v>
      </c>
      <c r="CZ8" s="228">
        <v>29.84</v>
      </c>
      <c r="DA8" s="228">
        <v>1.58</v>
      </c>
      <c r="DB8" s="228">
        <v>1.58</v>
      </c>
      <c r="DC8" s="228">
        <v>30.66</v>
      </c>
      <c r="DD8" s="228">
        <v>30.45</v>
      </c>
      <c r="DE8" s="228">
        <v>0.76</v>
      </c>
      <c r="DF8" s="228">
        <v>0.21</v>
      </c>
      <c r="DG8" s="228">
        <v>31.33</v>
      </c>
      <c r="DH8" s="228">
        <v>26.88</v>
      </c>
      <c r="DI8" s="228">
        <v>4.45</v>
      </c>
      <c r="DJ8" s="228">
        <v>4.45</v>
      </c>
      <c r="DK8" s="228">
        <v>31.58</v>
      </c>
      <c r="DL8" s="228">
        <v>33.22</v>
      </c>
      <c r="DM8" s="228">
        <v>-1.64</v>
      </c>
      <c r="DN8" s="228">
        <v>-1.64</v>
      </c>
      <c r="DO8" s="228">
        <v>0.88</v>
      </c>
      <c r="DP8" s="228">
        <v>0.98</v>
      </c>
      <c r="DQ8" s="228">
        <v>-0.1</v>
      </c>
      <c r="DR8" s="229">
        <v>-0.10199999999999999</v>
      </c>
      <c r="DS8" s="231">
        <v>1800</v>
      </c>
      <c r="DT8" s="231">
        <v>1760</v>
      </c>
      <c r="DU8" s="228">
        <v>0.68</v>
      </c>
      <c r="DV8" s="228">
        <v>0.88</v>
      </c>
      <c r="DW8" s="228">
        <v>-0.2</v>
      </c>
      <c r="DX8" s="229">
        <v>-0.2273</v>
      </c>
      <c r="DY8" s="229">
        <v>0.43209999999999998</v>
      </c>
      <c r="DZ8" s="230">
        <v>2690000</v>
      </c>
      <c r="EA8" s="229">
        <v>5.7999999999999996E-3</v>
      </c>
      <c r="EB8" s="229">
        <v>0.43209999999999998</v>
      </c>
      <c r="EC8" s="228">
        <v>10.49</v>
      </c>
      <c r="ED8" s="229">
        <v>5.7999999999999996E-3</v>
      </c>
      <c r="EE8" s="230">
        <v>450377</v>
      </c>
      <c r="EF8" s="230">
        <v>385731</v>
      </c>
      <c r="EG8" s="229">
        <v>0.1676</v>
      </c>
      <c r="EH8" s="229">
        <v>0.48409999999999997</v>
      </c>
      <c r="EI8" s="231">
        <v>116066.63</v>
      </c>
      <c r="EJ8" s="231">
        <v>74287.02</v>
      </c>
      <c r="EK8" s="231">
        <v>88089.02</v>
      </c>
      <c r="EL8" s="231">
        <v>4459</v>
      </c>
      <c r="EM8" s="231">
        <v>278442.67</v>
      </c>
      <c r="EN8" s="231">
        <v>125343.5</v>
      </c>
      <c r="EO8" s="231">
        <v>153099.17000000001</v>
      </c>
      <c r="EP8" s="229">
        <v>1.2214</v>
      </c>
      <c r="EQ8" s="231">
        <v>75826</v>
      </c>
      <c r="ER8" s="231">
        <v>63118</v>
      </c>
      <c r="ES8" s="231">
        <v>195244</v>
      </c>
      <c r="ET8" s="231">
        <v>65784745</v>
      </c>
      <c r="EU8" s="231">
        <v>334188</v>
      </c>
      <c r="EV8" s="231">
        <v>330911</v>
      </c>
      <c r="EW8" s="231">
        <v>3277</v>
      </c>
      <c r="EX8" s="229">
        <v>9.9000000000000008E-3</v>
      </c>
      <c r="EY8" s="229">
        <v>0.28449999999999998</v>
      </c>
    </row>
    <row r="9" spans="1:155" ht="17.25" thickBot="1" x14ac:dyDescent="0.3">
      <c r="A9" s="226">
        <v>46135</v>
      </c>
      <c r="B9" s="227" t="s">
        <v>175</v>
      </c>
      <c r="C9" s="227" t="s">
        <v>177</v>
      </c>
      <c r="D9" s="228">
        <v>916.75</v>
      </c>
      <c r="E9" s="228">
        <v>933.8</v>
      </c>
      <c r="F9" s="228">
        <v>-17.05</v>
      </c>
      <c r="G9" s="229">
        <v>-1.83E-2</v>
      </c>
      <c r="H9" s="228">
        <v>918.35</v>
      </c>
      <c r="I9" s="228">
        <v>934.75</v>
      </c>
      <c r="J9" s="228">
        <v>-16.399999999999999</v>
      </c>
      <c r="K9" s="229">
        <v>-1.7500000000000002E-2</v>
      </c>
      <c r="L9" s="228">
        <v>916.75</v>
      </c>
      <c r="M9" s="228">
        <v>933.8</v>
      </c>
      <c r="N9" s="228">
        <v>-17.05</v>
      </c>
      <c r="O9" s="229">
        <v>-1.83E-2</v>
      </c>
      <c r="P9" s="228">
        <v>920.3</v>
      </c>
      <c r="Q9" s="228">
        <v>938.35</v>
      </c>
      <c r="R9" s="228">
        <v>-18.05</v>
      </c>
      <c r="S9" s="229">
        <v>-1.9199999999999998E-2</v>
      </c>
      <c r="T9" s="228">
        <v>922.3</v>
      </c>
      <c r="U9" s="228">
        <v>940.65</v>
      </c>
      <c r="V9" s="228">
        <v>-18.350000000000001</v>
      </c>
      <c r="W9" s="229">
        <v>-1.95E-2</v>
      </c>
      <c r="X9" s="228">
        <v>-1.6</v>
      </c>
      <c r="Y9" s="228">
        <v>-0.95</v>
      </c>
      <c r="Z9" s="228">
        <v>-0.65</v>
      </c>
      <c r="AA9" s="229">
        <v>-1.6999999999999999E-3</v>
      </c>
      <c r="AB9" s="228">
        <v>-1.6</v>
      </c>
      <c r="AC9" s="228">
        <v>-0.95</v>
      </c>
      <c r="AD9" s="228">
        <v>-0.65</v>
      </c>
      <c r="AE9" s="229">
        <v>-1.6999999999999999E-3</v>
      </c>
      <c r="AF9" s="228">
        <v>1.95</v>
      </c>
      <c r="AG9" s="228">
        <v>3.6</v>
      </c>
      <c r="AH9" s="228">
        <v>-1.65</v>
      </c>
      <c r="AI9" s="229">
        <v>2.0999999999999999E-3</v>
      </c>
      <c r="AJ9" s="228">
        <v>3.95</v>
      </c>
      <c r="AK9" s="228">
        <v>5.9</v>
      </c>
      <c r="AL9" s="228">
        <v>-1.95</v>
      </c>
      <c r="AM9" s="229">
        <v>4.3E-3</v>
      </c>
      <c r="AN9" s="228">
        <v>917.08</v>
      </c>
      <c r="AO9" s="228">
        <v>920.81</v>
      </c>
      <c r="AP9" s="228">
        <v>0</v>
      </c>
      <c r="AQ9" s="230">
        <v>62414</v>
      </c>
      <c r="AR9" s="230">
        <v>21566</v>
      </c>
      <c r="AS9" s="230">
        <v>40848</v>
      </c>
      <c r="AT9" s="229">
        <v>1.8940999999999999</v>
      </c>
      <c r="AU9" s="230">
        <v>32853</v>
      </c>
      <c r="AV9" s="230">
        <v>12996</v>
      </c>
      <c r="AW9" s="230">
        <v>19857</v>
      </c>
      <c r="AX9" s="229">
        <v>1.5279</v>
      </c>
      <c r="AY9" s="230">
        <v>29049</v>
      </c>
      <c r="AZ9" s="230">
        <v>4654</v>
      </c>
      <c r="BA9" s="230">
        <v>24395</v>
      </c>
      <c r="BB9" s="229">
        <v>5.2416999999999998</v>
      </c>
      <c r="BC9" s="228">
        <v>512</v>
      </c>
      <c r="BD9" s="230">
        <v>3916</v>
      </c>
      <c r="BE9" s="230">
        <v>-3404</v>
      </c>
      <c r="BF9" s="229">
        <v>-0.86929999999999996</v>
      </c>
      <c r="BG9" s="230">
        <v>40924</v>
      </c>
      <c r="BH9" s="230">
        <v>44928</v>
      </c>
      <c r="BI9" s="230">
        <v>-4004</v>
      </c>
      <c r="BJ9" s="229">
        <v>-8.9099999999999999E-2</v>
      </c>
      <c r="BK9" s="230">
        <v>30447</v>
      </c>
      <c r="BL9" s="230">
        <v>29128</v>
      </c>
      <c r="BM9" s="230">
        <v>1319</v>
      </c>
      <c r="BN9" s="229">
        <v>4.53E-2</v>
      </c>
      <c r="BO9" s="230">
        <v>133785</v>
      </c>
      <c r="BP9" s="230">
        <v>95622</v>
      </c>
      <c r="BQ9" s="230">
        <v>38163</v>
      </c>
      <c r="BR9" s="229">
        <v>0.39910000000000001</v>
      </c>
      <c r="BS9" s="230">
        <v>9912166</v>
      </c>
      <c r="BT9" s="230">
        <v>6268490</v>
      </c>
      <c r="BU9" s="230">
        <v>3643676</v>
      </c>
      <c r="BV9" s="229">
        <v>0.58130000000000004</v>
      </c>
      <c r="BW9" s="230">
        <v>72369750</v>
      </c>
      <c r="BX9" s="230">
        <v>70590750</v>
      </c>
      <c r="BY9" s="230">
        <v>1779000</v>
      </c>
      <c r="BZ9" s="229">
        <v>2.52E-2</v>
      </c>
      <c r="CA9" s="230">
        <v>41298750</v>
      </c>
      <c r="CB9" s="230">
        <v>58491750</v>
      </c>
      <c r="CC9" s="230">
        <v>-17193000</v>
      </c>
      <c r="CD9" s="229">
        <v>-0.29389999999999999</v>
      </c>
      <c r="CE9" s="230">
        <v>27442500</v>
      </c>
      <c r="CF9" s="230">
        <v>8719500</v>
      </c>
      <c r="CG9" s="230">
        <v>18723000</v>
      </c>
      <c r="CH9" s="229">
        <v>2.1473</v>
      </c>
      <c r="CI9" s="230">
        <v>3628500</v>
      </c>
      <c r="CJ9" s="230">
        <v>3379500</v>
      </c>
      <c r="CK9" s="230">
        <v>249000</v>
      </c>
      <c r="CL9" s="229">
        <v>7.3700000000000002E-2</v>
      </c>
      <c r="CM9" s="230">
        <v>22275750</v>
      </c>
      <c r="CN9" s="230">
        <v>22965750</v>
      </c>
      <c r="CO9" s="230">
        <v>-690000</v>
      </c>
      <c r="CP9" s="229">
        <v>-0.03</v>
      </c>
      <c r="CQ9" s="230">
        <v>17733000</v>
      </c>
      <c r="CR9" s="230">
        <v>17719500</v>
      </c>
      <c r="CS9" s="230">
        <v>13500</v>
      </c>
      <c r="CT9" s="229">
        <v>8.0000000000000004E-4</v>
      </c>
      <c r="CU9" s="230">
        <v>112378500</v>
      </c>
      <c r="CV9" s="230">
        <v>111276000</v>
      </c>
      <c r="CW9" s="230">
        <v>1102500</v>
      </c>
      <c r="CX9" s="229">
        <v>9.9000000000000008E-3</v>
      </c>
      <c r="CY9" s="228">
        <v>35.64</v>
      </c>
      <c r="CZ9" s="228">
        <v>33.83</v>
      </c>
      <c r="DA9" s="228">
        <v>1.81</v>
      </c>
      <c r="DB9" s="228">
        <v>1.81</v>
      </c>
      <c r="DC9" s="228">
        <v>35.880000000000003</v>
      </c>
      <c r="DD9" s="228">
        <v>35.89</v>
      </c>
      <c r="DE9" s="228">
        <v>-0.24</v>
      </c>
      <c r="DF9" s="228">
        <v>-0.01</v>
      </c>
      <c r="DG9" s="228">
        <v>35.130000000000003</v>
      </c>
      <c r="DH9" s="228">
        <v>32.28</v>
      </c>
      <c r="DI9" s="228">
        <v>2.85</v>
      </c>
      <c r="DJ9" s="228">
        <v>2.85</v>
      </c>
      <c r="DK9" s="228">
        <v>36.31</v>
      </c>
      <c r="DL9" s="228">
        <v>36.24</v>
      </c>
      <c r="DM9" s="228">
        <v>7.0000000000000007E-2</v>
      </c>
      <c r="DN9" s="228">
        <v>7.0000000000000007E-2</v>
      </c>
      <c r="DO9" s="228">
        <v>0.8</v>
      </c>
      <c r="DP9" s="228">
        <v>0.77</v>
      </c>
      <c r="DQ9" s="228">
        <v>0.03</v>
      </c>
      <c r="DR9" s="229">
        <v>3.9E-2</v>
      </c>
      <c r="DS9" s="228">
        <v>950</v>
      </c>
      <c r="DT9" s="228">
        <v>900</v>
      </c>
      <c r="DU9" s="228">
        <v>0.74</v>
      </c>
      <c r="DV9" s="228">
        <v>0.65</v>
      </c>
      <c r="DW9" s="228">
        <v>0.09</v>
      </c>
      <c r="DX9" s="229">
        <v>0.13850000000000001</v>
      </c>
      <c r="DY9" s="229">
        <v>0.42930000000000001</v>
      </c>
      <c r="DZ9" s="230">
        <v>12099000</v>
      </c>
      <c r="EA9" s="229">
        <v>3.8999999999999998E-3</v>
      </c>
      <c r="EB9" s="229">
        <v>0.42930000000000001</v>
      </c>
      <c r="EC9" s="228">
        <v>3.73</v>
      </c>
      <c r="ED9" s="229">
        <v>4.1000000000000003E-3</v>
      </c>
      <c r="EE9" s="230">
        <v>4867913</v>
      </c>
      <c r="EF9" s="230">
        <v>3398033</v>
      </c>
      <c r="EG9" s="229">
        <v>0.43259999999999998</v>
      </c>
      <c r="EH9" s="229">
        <v>0.49109999999999998</v>
      </c>
      <c r="EI9" s="231">
        <v>292948.67</v>
      </c>
      <c r="EJ9" s="231">
        <v>207032.27</v>
      </c>
      <c r="EK9" s="231">
        <v>430119.7</v>
      </c>
      <c r="EL9" s="231">
        <v>12532</v>
      </c>
      <c r="EM9" s="231">
        <v>930100.64</v>
      </c>
      <c r="EN9" s="231">
        <v>676288.11</v>
      </c>
      <c r="EO9" s="231">
        <v>253812.53</v>
      </c>
      <c r="EP9" s="229">
        <v>0.37530000000000002</v>
      </c>
      <c r="EQ9" s="231">
        <v>206103</v>
      </c>
      <c r="ER9" s="231">
        <v>155109</v>
      </c>
      <c r="ES9" s="231">
        <v>664625</v>
      </c>
      <c r="ET9" s="231">
        <v>387962395</v>
      </c>
      <c r="EU9" s="231">
        <v>1025837</v>
      </c>
      <c r="EV9" s="231">
        <v>1027203</v>
      </c>
      <c r="EW9" s="231">
        <v>-1366</v>
      </c>
      <c r="EX9" s="229">
        <v>-1.2999999999999999E-3</v>
      </c>
      <c r="EY9" s="229">
        <v>0.28970000000000001</v>
      </c>
    </row>
    <row r="10" spans="1:155" ht="17.25" thickBot="1" x14ac:dyDescent="0.3">
      <c r="A10" s="226">
        <v>46135</v>
      </c>
      <c r="B10" s="227" t="s">
        <v>184</v>
      </c>
      <c r="C10" s="227" t="s">
        <v>185</v>
      </c>
      <c r="D10" s="228">
        <v>450.3</v>
      </c>
      <c r="E10" s="228">
        <v>449.45</v>
      </c>
      <c r="F10" s="228">
        <v>0.85</v>
      </c>
      <c r="G10" s="229">
        <v>1.9E-3</v>
      </c>
      <c r="H10" s="228">
        <v>449.95</v>
      </c>
      <c r="I10" s="228">
        <v>448.7</v>
      </c>
      <c r="J10" s="228">
        <v>1.25</v>
      </c>
      <c r="K10" s="229">
        <v>2.8E-3</v>
      </c>
      <c r="L10" s="228">
        <v>450.3</v>
      </c>
      <c r="M10" s="228">
        <v>449.45</v>
      </c>
      <c r="N10" s="228">
        <v>0.85</v>
      </c>
      <c r="O10" s="229">
        <v>1.9E-3</v>
      </c>
      <c r="P10" s="228">
        <v>452.8</v>
      </c>
      <c r="Q10" s="228">
        <v>451.8</v>
      </c>
      <c r="R10" s="228">
        <v>1</v>
      </c>
      <c r="S10" s="229">
        <v>2.2000000000000001E-3</v>
      </c>
      <c r="T10" s="228">
        <v>455.7</v>
      </c>
      <c r="U10" s="228">
        <v>454.7</v>
      </c>
      <c r="V10" s="228">
        <v>1</v>
      </c>
      <c r="W10" s="229">
        <v>2.2000000000000001E-3</v>
      </c>
      <c r="X10" s="228">
        <v>0.35</v>
      </c>
      <c r="Y10" s="228">
        <v>0.75</v>
      </c>
      <c r="Z10" s="228">
        <v>-0.4</v>
      </c>
      <c r="AA10" s="229">
        <v>8.0000000000000004E-4</v>
      </c>
      <c r="AB10" s="228">
        <v>0.35</v>
      </c>
      <c r="AC10" s="228">
        <v>0.75</v>
      </c>
      <c r="AD10" s="228">
        <v>-0.4</v>
      </c>
      <c r="AE10" s="229">
        <v>8.0000000000000004E-4</v>
      </c>
      <c r="AF10" s="228">
        <v>2.85</v>
      </c>
      <c r="AG10" s="228">
        <v>3.1</v>
      </c>
      <c r="AH10" s="228">
        <v>-0.25</v>
      </c>
      <c r="AI10" s="229">
        <v>6.3E-3</v>
      </c>
      <c r="AJ10" s="228">
        <v>5.75</v>
      </c>
      <c r="AK10" s="228">
        <v>6</v>
      </c>
      <c r="AL10" s="228">
        <v>-0.25</v>
      </c>
      <c r="AM10" s="229">
        <v>1.2800000000000001E-2</v>
      </c>
      <c r="AN10" s="228">
        <v>448.41</v>
      </c>
      <c r="AO10" s="228">
        <v>450.93</v>
      </c>
      <c r="AP10" s="228">
        <v>0</v>
      </c>
      <c r="AQ10" s="230">
        <v>31893</v>
      </c>
      <c r="AR10" s="230">
        <v>15391</v>
      </c>
      <c r="AS10" s="230">
        <v>16502</v>
      </c>
      <c r="AT10" s="229">
        <v>1.0722</v>
      </c>
      <c r="AU10" s="230">
        <v>15938</v>
      </c>
      <c r="AV10" s="230">
        <v>9338</v>
      </c>
      <c r="AW10" s="230">
        <v>6600</v>
      </c>
      <c r="AX10" s="229">
        <v>0.70679999999999998</v>
      </c>
      <c r="AY10" s="230">
        <v>14775</v>
      </c>
      <c r="AZ10" s="230">
        <v>4362</v>
      </c>
      <c r="BA10" s="230">
        <v>10413</v>
      </c>
      <c r="BB10" s="229">
        <v>2.3872</v>
      </c>
      <c r="BC10" s="230">
        <v>1180</v>
      </c>
      <c r="BD10" s="230">
        <v>1691</v>
      </c>
      <c r="BE10" s="228">
        <v>-511</v>
      </c>
      <c r="BF10" s="229">
        <v>-0.30220000000000002</v>
      </c>
      <c r="BG10" s="230">
        <v>56328</v>
      </c>
      <c r="BH10" s="230">
        <v>47838</v>
      </c>
      <c r="BI10" s="230">
        <v>8490</v>
      </c>
      <c r="BJ10" s="229">
        <v>0.17749999999999999</v>
      </c>
      <c r="BK10" s="230">
        <v>26096</v>
      </c>
      <c r="BL10" s="230">
        <v>21623</v>
      </c>
      <c r="BM10" s="230">
        <v>4473</v>
      </c>
      <c r="BN10" s="229">
        <v>0.2069</v>
      </c>
      <c r="BO10" s="230">
        <v>114317</v>
      </c>
      <c r="BP10" s="230">
        <v>84852</v>
      </c>
      <c r="BQ10" s="230">
        <v>29465</v>
      </c>
      <c r="BR10" s="229">
        <v>0.3473</v>
      </c>
      <c r="BS10" s="230">
        <v>15779855</v>
      </c>
      <c r="BT10" s="230">
        <v>12235810</v>
      </c>
      <c r="BU10" s="230">
        <v>3544045</v>
      </c>
      <c r="BV10" s="229">
        <v>0.28960000000000002</v>
      </c>
      <c r="BW10" s="230">
        <v>107292525</v>
      </c>
      <c r="BX10" s="230">
        <v>107211300</v>
      </c>
      <c r="BY10" s="230">
        <v>81225</v>
      </c>
      <c r="BZ10" s="229">
        <v>8.0000000000000004E-4</v>
      </c>
      <c r="CA10" s="230">
        <v>62137125</v>
      </c>
      <c r="CB10" s="230">
        <v>78691350</v>
      </c>
      <c r="CC10" s="230">
        <v>-16554225</v>
      </c>
      <c r="CD10" s="229">
        <v>-0.2104</v>
      </c>
      <c r="CE10" s="230">
        <v>35620725</v>
      </c>
      <c r="CF10" s="230">
        <v>20410275</v>
      </c>
      <c r="CG10" s="230">
        <v>15210450</v>
      </c>
      <c r="CH10" s="229">
        <v>0.74519999999999997</v>
      </c>
      <c r="CI10" s="230">
        <v>9534675</v>
      </c>
      <c r="CJ10" s="230">
        <v>8109675</v>
      </c>
      <c r="CK10" s="230">
        <v>1425000</v>
      </c>
      <c r="CL10" s="229">
        <v>0.1757</v>
      </c>
      <c r="CM10" s="230">
        <v>48093750</v>
      </c>
      <c r="CN10" s="230">
        <v>47405475</v>
      </c>
      <c r="CO10" s="230">
        <v>688275</v>
      </c>
      <c r="CP10" s="229">
        <v>1.4500000000000001E-2</v>
      </c>
      <c r="CQ10" s="230">
        <v>32693775</v>
      </c>
      <c r="CR10" s="230">
        <v>33062850</v>
      </c>
      <c r="CS10" s="230">
        <v>-369075</v>
      </c>
      <c r="CT10" s="229">
        <v>-1.12E-2</v>
      </c>
      <c r="CU10" s="230">
        <v>188080050</v>
      </c>
      <c r="CV10" s="230">
        <v>187679625</v>
      </c>
      <c r="CW10" s="230">
        <v>400425</v>
      </c>
      <c r="CX10" s="229">
        <v>2.0999999999999999E-3</v>
      </c>
      <c r="CY10" s="228">
        <v>31.92</v>
      </c>
      <c r="CZ10" s="228">
        <v>32.369999999999997</v>
      </c>
      <c r="DA10" s="228">
        <v>-0.45</v>
      </c>
      <c r="DB10" s="228">
        <v>-0.45</v>
      </c>
      <c r="DC10" s="228">
        <v>36.979999999999997</v>
      </c>
      <c r="DD10" s="228">
        <v>37.07</v>
      </c>
      <c r="DE10" s="228">
        <v>-5.0599999999999996</v>
      </c>
      <c r="DF10" s="228">
        <v>-0.09</v>
      </c>
      <c r="DG10" s="228">
        <v>31.93</v>
      </c>
      <c r="DH10" s="228">
        <v>32.119999999999997</v>
      </c>
      <c r="DI10" s="228">
        <v>-0.19</v>
      </c>
      <c r="DJ10" s="228">
        <v>-0.19</v>
      </c>
      <c r="DK10" s="228">
        <v>31.9</v>
      </c>
      <c r="DL10" s="228">
        <v>32.909999999999997</v>
      </c>
      <c r="DM10" s="228">
        <v>-1.01</v>
      </c>
      <c r="DN10" s="228">
        <v>-1.01</v>
      </c>
      <c r="DO10" s="228">
        <v>0.68</v>
      </c>
      <c r="DP10" s="228">
        <v>0.7</v>
      </c>
      <c r="DQ10" s="228">
        <v>-0.02</v>
      </c>
      <c r="DR10" s="229">
        <v>-2.86E-2</v>
      </c>
      <c r="DS10" s="228">
        <v>460</v>
      </c>
      <c r="DT10" s="228">
        <v>450</v>
      </c>
      <c r="DU10" s="228">
        <v>0.46</v>
      </c>
      <c r="DV10" s="228">
        <v>0.45</v>
      </c>
      <c r="DW10" s="228">
        <v>0.01</v>
      </c>
      <c r="DX10" s="229">
        <v>2.2200000000000001E-2</v>
      </c>
      <c r="DY10" s="229">
        <v>0.4209</v>
      </c>
      <c r="DZ10" s="230">
        <v>28519950</v>
      </c>
      <c r="EA10" s="229">
        <v>5.5999999999999999E-3</v>
      </c>
      <c r="EB10" s="229">
        <v>0.4209</v>
      </c>
      <c r="EC10" s="228">
        <v>2.52</v>
      </c>
      <c r="ED10" s="229">
        <v>5.5999999999999999E-3</v>
      </c>
      <c r="EE10" s="230">
        <v>5716950</v>
      </c>
      <c r="EF10" s="230">
        <v>5638669</v>
      </c>
      <c r="EG10" s="229">
        <v>1.3899999999999999E-2</v>
      </c>
      <c r="EH10" s="229">
        <v>0.36230000000000001</v>
      </c>
      <c r="EI10" s="231">
        <v>375435.06</v>
      </c>
      <c r="EJ10" s="231">
        <v>163933.13</v>
      </c>
      <c r="EK10" s="231">
        <v>204390.97</v>
      </c>
      <c r="EL10" s="231">
        <v>11504</v>
      </c>
      <c r="EM10" s="231">
        <v>743759.16</v>
      </c>
      <c r="EN10" s="231">
        <v>555324.18000000005</v>
      </c>
      <c r="EO10" s="231">
        <v>188434.98</v>
      </c>
      <c r="EP10" s="229">
        <v>0.33929999999999999</v>
      </c>
      <c r="EQ10" s="231">
        <v>222022</v>
      </c>
      <c r="ER10" s="231">
        <v>139926</v>
      </c>
      <c r="ES10" s="231">
        <v>484544</v>
      </c>
      <c r="ET10" s="231">
        <v>535778534</v>
      </c>
      <c r="EU10" s="231">
        <v>846491</v>
      </c>
      <c r="EV10" s="231">
        <v>843061</v>
      </c>
      <c r="EW10" s="231">
        <v>3430</v>
      </c>
      <c r="EX10" s="229">
        <v>4.1000000000000003E-3</v>
      </c>
      <c r="EY10" s="229">
        <v>0.35099999999999998</v>
      </c>
    </row>
    <row r="11" spans="1:155" ht="17.25" thickBot="1" x14ac:dyDescent="0.3">
      <c r="A11" s="226">
        <v>46135</v>
      </c>
      <c r="B11" s="227" t="s">
        <v>188</v>
      </c>
      <c r="C11" s="227" t="s">
        <v>189</v>
      </c>
      <c r="D11" s="231">
        <v>1838.5</v>
      </c>
      <c r="E11" s="231">
        <v>1831.5</v>
      </c>
      <c r="F11" s="228">
        <v>7</v>
      </c>
      <c r="G11" s="229">
        <v>3.8E-3</v>
      </c>
      <c r="H11" s="231">
        <v>1841.2</v>
      </c>
      <c r="I11" s="231">
        <v>1829</v>
      </c>
      <c r="J11" s="228">
        <v>12.2</v>
      </c>
      <c r="K11" s="229">
        <v>6.7000000000000002E-3</v>
      </c>
      <c r="L11" s="231">
        <v>1838.5</v>
      </c>
      <c r="M11" s="231">
        <v>1831.5</v>
      </c>
      <c r="N11" s="228">
        <v>7</v>
      </c>
      <c r="O11" s="229">
        <v>3.8E-3</v>
      </c>
      <c r="P11" s="231">
        <v>1848.3</v>
      </c>
      <c r="Q11" s="231">
        <v>1841.5</v>
      </c>
      <c r="R11" s="228">
        <v>6.8</v>
      </c>
      <c r="S11" s="229">
        <v>3.7000000000000002E-3</v>
      </c>
      <c r="T11" s="231">
        <v>1860</v>
      </c>
      <c r="U11" s="231">
        <v>1852.8</v>
      </c>
      <c r="V11" s="228">
        <v>7.2</v>
      </c>
      <c r="W11" s="229">
        <v>3.8999999999999998E-3</v>
      </c>
      <c r="X11" s="228">
        <v>-2.7</v>
      </c>
      <c r="Y11" s="228">
        <v>2.5</v>
      </c>
      <c r="Z11" s="228">
        <v>-5.2</v>
      </c>
      <c r="AA11" s="229">
        <v>-1.5E-3</v>
      </c>
      <c r="AB11" s="228">
        <v>-2.7</v>
      </c>
      <c r="AC11" s="228">
        <v>2.5</v>
      </c>
      <c r="AD11" s="228">
        <v>-5.2</v>
      </c>
      <c r="AE11" s="229">
        <v>-1.5E-3</v>
      </c>
      <c r="AF11" s="228">
        <v>7.1</v>
      </c>
      <c r="AG11" s="228">
        <v>12.5</v>
      </c>
      <c r="AH11" s="228">
        <v>-5.4</v>
      </c>
      <c r="AI11" s="229">
        <v>3.8999999999999998E-3</v>
      </c>
      <c r="AJ11" s="228">
        <v>18.8</v>
      </c>
      <c r="AK11" s="228">
        <v>23.8</v>
      </c>
      <c r="AL11" s="228">
        <v>-5</v>
      </c>
      <c r="AM11" s="229">
        <v>1.0200000000000001E-2</v>
      </c>
      <c r="AN11" s="231">
        <v>1834.36</v>
      </c>
      <c r="AO11" s="231">
        <v>1844.22</v>
      </c>
      <c r="AP11" s="228">
        <v>0</v>
      </c>
      <c r="AQ11" s="230">
        <v>45123</v>
      </c>
      <c r="AR11" s="230">
        <v>17503</v>
      </c>
      <c r="AS11" s="230">
        <v>27620</v>
      </c>
      <c r="AT11" s="229">
        <v>1.5780000000000001</v>
      </c>
      <c r="AU11" s="230">
        <v>22527</v>
      </c>
      <c r="AV11" s="230">
        <v>8555</v>
      </c>
      <c r="AW11" s="230">
        <v>13972</v>
      </c>
      <c r="AX11" s="229">
        <v>1.6332</v>
      </c>
      <c r="AY11" s="230">
        <v>20671</v>
      </c>
      <c r="AZ11" s="230">
        <v>7215</v>
      </c>
      <c r="BA11" s="230">
        <v>13456</v>
      </c>
      <c r="BB11" s="229">
        <v>1.865</v>
      </c>
      <c r="BC11" s="230">
        <v>1925</v>
      </c>
      <c r="BD11" s="230">
        <v>1733</v>
      </c>
      <c r="BE11" s="228">
        <v>192</v>
      </c>
      <c r="BF11" s="229">
        <v>0.1108</v>
      </c>
      <c r="BG11" s="230">
        <v>51033</v>
      </c>
      <c r="BH11" s="230">
        <v>40983</v>
      </c>
      <c r="BI11" s="230">
        <v>10050</v>
      </c>
      <c r="BJ11" s="229">
        <v>0.2452</v>
      </c>
      <c r="BK11" s="230">
        <v>18038</v>
      </c>
      <c r="BL11" s="230">
        <v>22872</v>
      </c>
      <c r="BM11" s="230">
        <v>-4834</v>
      </c>
      <c r="BN11" s="229">
        <v>-0.2114</v>
      </c>
      <c r="BO11" s="230">
        <v>114194</v>
      </c>
      <c r="BP11" s="230">
        <v>81358</v>
      </c>
      <c r="BQ11" s="230">
        <v>32836</v>
      </c>
      <c r="BR11" s="229">
        <v>0.40360000000000001</v>
      </c>
      <c r="BS11" s="230">
        <v>8108202</v>
      </c>
      <c r="BT11" s="230">
        <v>5748708</v>
      </c>
      <c r="BU11" s="230">
        <v>2359494</v>
      </c>
      <c r="BV11" s="229">
        <v>0.41039999999999999</v>
      </c>
      <c r="BW11" s="230">
        <v>61524375</v>
      </c>
      <c r="BX11" s="230">
        <v>61643600</v>
      </c>
      <c r="BY11" s="230">
        <v>-119225</v>
      </c>
      <c r="BZ11" s="229">
        <v>-1.9E-3</v>
      </c>
      <c r="CA11" s="230">
        <v>30165350</v>
      </c>
      <c r="CB11" s="230">
        <v>39437825</v>
      </c>
      <c r="CC11" s="230">
        <v>-9272475</v>
      </c>
      <c r="CD11" s="229">
        <v>-0.2351</v>
      </c>
      <c r="CE11" s="230">
        <v>23284025</v>
      </c>
      <c r="CF11" s="230">
        <v>14979125</v>
      </c>
      <c r="CG11" s="230">
        <v>8304900</v>
      </c>
      <c r="CH11" s="229">
        <v>0.5544</v>
      </c>
      <c r="CI11" s="230">
        <v>8075000</v>
      </c>
      <c r="CJ11" s="230">
        <v>7226650</v>
      </c>
      <c r="CK11" s="230">
        <v>848350</v>
      </c>
      <c r="CL11" s="229">
        <v>0.1174</v>
      </c>
      <c r="CM11" s="230">
        <v>13862400</v>
      </c>
      <c r="CN11" s="230">
        <v>14221975</v>
      </c>
      <c r="CO11" s="230">
        <v>-359575</v>
      </c>
      <c r="CP11" s="229">
        <v>-2.53E-2</v>
      </c>
      <c r="CQ11" s="230">
        <v>8882025</v>
      </c>
      <c r="CR11" s="230">
        <v>9111450</v>
      </c>
      <c r="CS11" s="230">
        <v>-229425</v>
      </c>
      <c r="CT11" s="229">
        <v>-2.52E-2</v>
      </c>
      <c r="CU11" s="230">
        <v>84268800</v>
      </c>
      <c r="CV11" s="230">
        <v>84977025</v>
      </c>
      <c r="CW11" s="230">
        <v>-708225</v>
      </c>
      <c r="CX11" s="229">
        <v>-8.3000000000000001E-3</v>
      </c>
      <c r="CY11" s="228">
        <v>23.94</v>
      </c>
      <c r="CZ11" s="228">
        <v>22.95</v>
      </c>
      <c r="DA11" s="228">
        <v>0.99</v>
      </c>
      <c r="DB11" s="228">
        <v>0.99</v>
      </c>
      <c r="DC11" s="228">
        <v>24.07</v>
      </c>
      <c r="DD11" s="228">
        <v>24.11</v>
      </c>
      <c r="DE11" s="228">
        <v>-0.13</v>
      </c>
      <c r="DF11" s="228">
        <v>-0.04</v>
      </c>
      <c r="DG11" s="228">
        <v>23.98</v>
      </c>
      <c r="DH11" s="228">
        <v>23.36</v>
      </c>
      <c r="DI11" s="228">
        <v>0.62</v>
      </c>
      <c r="DJ11" s="228">
        <v>0.62</v>
      </c>
      <c r="DK11" s="228">
        <v>23.78</v>
      </c>
      <c r="DL11" s="228">
        <v>22.22</v>
      </c>
      <c r="DM11" s="228">
        <v>1.56</v>
      </c>
      <c r="DN11" s="228">
        <v>1.56</v>
      </c>
      <c r="DO11" s="228">
        <v>0.64</v>
      </c>
      <c r="DP11" s="228">
        <v>0.64</v>
      </c>
      <c r="DQ11" s="228">
        <v>0</v>
      </c>
      <c r="DR11" s="229">
        <v>0</v>
      </c>
      <c r="DS11" s="231">
        <v>1900</v>
      </c>
      <c r="DT11" s="231">
        <v>1800</v>
      </c>
      <c r="DU11" s="228">
        <v>0.35</v>
      </c>
      <c r="DV11" s="228">
        <v>0.56000000000000005</v>
      </c>
      <c r="DW11" s="228">
        <v>-0.21</v>
      </c>
      <c r="DX11" s="229">
        <v>-0.375</v>
      </c>
      <c r="DY11" s="229">
        <v>0.50970000000000004</v>
      </c>
      <c r="DZ11" s="230">
        <v>22205775</v>
      </c>
      <c r="EA11" s="229">
        <v>5.3E-3</v>
      </c>
      <c r="EB11" s="229">
        <v>0.50970000000000004</v>
      </c>
      <c r="EC11" s="228">
        <v>9.86</v>
      </c>
      <c r="ED11" s="229">
        <v>5.4000000000000003E-3</v>
      </c>
      <c r="EE11" s="230">
        <v>4418181</v>
      </c>
      <c r="EF11" s="230">
        <v>4397325</v>
      </c>
      <c r="EG11" s="229">
        <v>4.7000000000000002E-3</v>
      </c>
      <c r="EH11" s="229">
        <v>0.54490000000000005</v>
      </c>
      <c r="EI11" s="231">
        <v>457823.57</v>
      </c>
      <c r="EJ11" s="231">
        <v>155324.94</v>
      </c>
      <c r="EK11" s="231">
        <v>394345.23</v>
      </c>
      <c r="EL11" s="231">
        <v>13148</v>
      </c>
      <c r="EM11" s="231">
        <v>1007493.74</v>
      </c>
      <c r="EN11" s="231">
        <v>720200.4</v>
      </c>
      <c r="EO11" s="231">
        <v>287293.34000000003</v>
      </c>
      <c r="EP11" s="229">
        <v>0.39889999999999998</v>
      </c>
      <c r="EQ11" s="231">
        <v>262424</v>
      </c>
      <c r="ER11" s="231">
        <v>160318</v>
      </c>
      <c r="ES11" s="231">
        <v>1135144</v>
      </c>
      <c r="ET11" s="231">
        <v>342859930</v>
      </c>
      <c r="EU11" s="231">
        <v>1557886</v>
      </c>
      <c r="EV11" s="231">
        <v>1565185</v>
      </c>
      <c r="EW11" s="231">
        <v>-7299</v>
      </c>
      <c r="EX11" s="229">
        <v>-4.7000000000000002E-3</v>
      </c>
      <c r="EY11" s="229">
        <v>0.24579999999999999</v>
      </c>
    </row>
    <row r="12" spans="1:155" ht="17.25" thickBot="1" x14ac:dyDescent="0.3">
      <c r="A12" s="226">
        <v>46135</v>
      </c>
      <c r="B12" s="227" t="s">
        <v>170</v>
      </c>
      <c r="C12" s="227" t="s">
        <v>199</v>
      </c>
      <c r="D12" s="231">
        <v>1304.7</v>
      </c>
      <c r="E12" s="231">
        <v>1238.4000000000001</v>
      </c>
      <c r="F12" s="228">
        <v>66.3</v>
      </c>
      <c r="G12" s="229">
        <v>5.3499999999999999E-2</v>
      </c>
      <c r="H12" s="231">
        <v>1305.9000000000001</v>
      </c>
      <c r="I12" s="231">
        <v>1236.3</v>
      </c>
      <c r="J12" s="228">
        <v>69.599999999999994</v>
      </c>
      <c r="K12" s="229">
        <v>5.6300000000000003E-2</v>
      </c>
      <c r="L12" s="231">
        <v>1304.7</v>
      </c>
      <c r="M12" s="231">
        <v>1238.4000000000001</v>
      </c>
      <c r="N12" s="228">
        <v>66.3</v>
      </c>
      <c r="O12" s="229">
        <v>5.3499999999999999E-2</v>
      </c>
      <c r="P12" s="231">
        <v>1311.9</v>
      </c>
      <c r="Q12" s="231">
        <v>1245</v>
      </c>
      <c r="R12" s="228">
        <v>66.900000000000006</v>
      </c>
      <c r="S12" s="229">
        <v>5.3699999999999998E-2</v>
      </c>
      <c r="T12" s="231">
        <v>1316.3</v>
      </c>
      <c r="U12" s="231">
        <v>1250.7</v>
      </c>
      <c r="V12" s="228">
        <v>65.599999999999994</v>
      </c>
      <c r="W12" s="229">
        <v>5.2499999999999998E-2</v>
      </c>
      <c r="X12" s="228">
        <v>-1.2</v>
      </c>
      <c r="Y12" s="228">
        <v>2.1</v>
      </c>
      <c r="Z12" s="228">
        <v>-3.3</v>
      </c>
      <c r="AA12" s="229">
        <v>-8.9999999999999998E-4</v>
      </c>
      <c r="AB12" s="228">
        <v>-1.2</v>
      </c>
      <c r="AC12" s="228">
        <v>2.1</v>
      </c>
      <c r="AD12" s="228">
        <v>-3.3</v>
      </c>
      <c r="AE12" s="229">
        <v>-8.9999999999999998E-4</v>
      </c>
      <c r="AF12" s="228">
        <v>6</v>
      </c>
      <c r="AG12" s="228">
        <v>8.6999999999999993</v>
      </c>
      <c r="AH12" s="228">
        <v>-2.7</v>
      </c>
      <c r="AI12" s="229">
        <v>4.5999999999999999E-3</v>
      </c>
      <c r="AJ12" s="228">
        <v>10.4</v>
      </c>
      <c r="AK12" s="228">
        <v>14.4</v>
      </c>
      <c r="AL12" s="228">
        <v>-4</v>
      </c>
      <c r="AM12" s="229">
        <v>8.0000000000000002E-3</v>
      </c>
      <c r="AN12" s="231">
        <v>1284.27</v>
      </c>
      <c r="AO12" s="231">
        <v>1291.7</v>
      </c>
      <c r="AP12" s="228">
        <v>0</v>
      </c>
      <c r="AQ12" s="230">
        <v>33372</v>
      </c>
      <c r="AR12" s="230">
        <v>3814</v>
      </c>
      <c r="AS12" s="230">
        <v>29558</v>
      </c>
      <c r="AT12" s="229">
        <v>7.7499000000000002</v>
      </c>
      <c r="AU12" s="230">
        <v>17817</v>
      </c>
      <c r="AV12" s="230">
        <v>2450</v>
      </c>
      <c r="AW12" s="230">
        <v>15367</v>
      </c>
      <c r="AX12" s="229">
        <v>6.2721999999999998</v>
      </c>
      <c r="AY12" s="230">
        <v>15210</v>
      </c>
      <c r="AZ12" s="230">
        <v>1276</v>
      </c>
      <c r="BA12" s="230">
        <v>13934</v>
      </c>
      <c r="BB12" s="229">
        <v>10.9201</v>
      </c>
      <c r="BC12" s="228">
        <v>345</v>
      </c>
      <c r="BD12" s="228">
        <v>88</v>
      </c>
      <c r="BE12" s="228">
        <v>257</v>
      </c>
      <c r="BF12" s="229">
        <v>2.9205000000000001</v>
      </c>
      <c r="BG12" s="230">
        <v>149305</v>
      </c>
      <c r="BH12" s="230">
        <v>11518</v>
      </c>
      <c r="BI12" s="230">
        <v>137787</v>
      </c>
      <c r="BJ12" s="229">
        <v>11.9628</v>
      </c>
      <c r="BK12" s="230">
        <v>38398</v>
      </c>
      <c r="BL12" s="230">
        <v>4741</v>
      </c>
      <c r="BM12" s="230">
        <v>33657</v>
      </c>
      <c r="BN12" s="229">
        <v>7.0991</v>
      </c>
      <c r="BO12" s="230">
        <v>221075</v>
      </c>
      <c r="BP12" s="230">
        <v>20073</v>
      </c>
      <c r="BQ12" s="230">
        <v>201002</v>
      </c>
      <c r="BR12" s="229">
        <v>10.0136</v>
      </c>
      <c r="BS12" s="230">
        <v>5598007</v>
      </c>
      <c r="BT12" s="230">
        <v>2237994</v>
      </c>
      <c r="BU12" s="230">
        <v>3360013</v>
      </c>
      <c r="BV12" s="229">
        <v>1.5014000000000001</v>
      </c>
      <c r="BW12" s="230">
        <v>15805875</v>
      </c>
      <c r="BX12" s="230">
        <v>16200750</v>
      </c>
      <c r="BY12" s="230">
        <v>-394875</v>
      </c>
      <c r="BZ12" s="229">
        <v>-2.4400000000000002E-2</v>
      </c>
      <c r="CA12" s="230">
        <v>7914750</v>
      </c>
      <c r="CB12" s="230">
        <v>12351000</v>
      </c>
      <c r="CC12" s="230">
        <v>-4436250</v>
      </c>
      <c r="CD12" s="229">
        <v>-0.35920000000000002</v>
      </c>
      <c r="CE12" s="230">
        <v>7728000</v>
      </c>
      <c r="CF12" s="230">
        <v>3704250</v>
      </c>
      <c r="CG12" s="230">
        <v>4023750</v>
      </c>
      <c r="CH12" s="229">
        <v>1.0863</v>
      </c>
      <c r="CI12" s="230">
        <v>163125</v>
      </c>
      <c r="CJ12" s="230">
        <v>145500</v>
      </c>
      <c r="CK12" s="230">
        <v>17625</v>
      </c>
      <c r="CL12" s="229">
        <v>0.1211</v>
      </c>
      <c r="CM12" s="230">
        <v>5112375</v>
      </c>
      <c r="CN12" s="230">
        <v>4523250</v>
      </c>
      <c r="CO12" s="230">
        <v>589125</v>
      </c>
      <c r="CP12" s="229">
        <v>0.13020000000000001</v>
      </c>
      <c r="CQ12" s="230">
        <v>4989000</v>
      </c>
      <c r="CR12" s="230">
        <v>3964125</v>
      </c>
      <c r="CS12" s="230">
        <v>1024875</v>
      </c>
      <c r="CT12" s="229">
        <v>0.25850000000000001</v>
      </c>
      <c r="CU12" s="230">
        <v>25907250</v>
      </c>
      <c r="CV12" s="230">
        <v>24688125</v>
      </c>
      <c r="CW12" s="230">
        <v>1219125</v>
      </c>
      <c r="CX12" s="229">
        <v>4.9399999999999999E-2</v>
      </c>
      <c r="CY12" s="228">
        <v>27.36</v>
      </c>
      <c r="CZ12" s="228">
        <v>22.32</v>
      </c>
      <c r="DA12" s="228">
        <v>5.04</v>
      </c>
      <c r="DB12" s="228">
        <v>5.04</v>
      </c>
      <c r="DC12" s="228">
        <v>25.85</v>
      </c>
      <c r="DD12" s="228">
        <v>24.9</v>
      </c>
      <c r="DE12" s="228">
        <v>1.51</v>
      </c>
      <c r="DF12" s="228">
        <v>0.95</v>
      </c>
      <c r="DG12" s="228">
        <v>27.16</v>
      </c>
      <c r="DH12" s="228">
        <v>21.58</v>
      </c>
      <c r="DI12" s="228">
        <v>5.58</v>
      </c>
      <c r="DJ12" s="228">
        <v>5.58</v>
      </c>
      <c r="DK12" s="228">
        <v>27.93</v>
      </c>
      <c r="DL12" s="228">
        <v>24.11</v>
      </c>
      <c r="DM12" s="228">
        <v>3.82</v>
      </c>
      <c r="DN12" s="228">
        <v>3.82</v>
      </c>
      <c r="DO12" s="228">
        <v>0.98</v>
      </c>
      <c r="DP12" s="228">
        <v>0.88</v>
      </c>
      <c r="DQ12" s="228">
        <v>0.1</v>
      </c>
      <c r="DR12" s="229">
        <v>0.11360000000000001</v>
      </c>
      <c r="DS12" s="231">
        <v>1280</v>
      </c>
      <c r="DT12" s="231">
        <v>1160</v>
      </c>
      <c r="DU12" s="228">
        <v>0.26</v>
      </c>
      <c r="DV12" s="228">
        <v>0.41</v>
      </c>
      <c r="DW12" s="228">
        <v>-0.15</v>
      </c>
      <c r="DX12" s="229">
        <v>-0.3659</v>
      </c>
      <c r="DY12" s="229">
        <v>0.49930000000000002</v>
      </c>
      <c r="DZ12" s="230">
        <v>3849750</v>
      </c>
      <c r="EA12" s="229">
        <v>5.4999999999999997E-3</v>
      </c>
      <c r="EB12" s="229">
        <v>0.49930000000000002</v>
      </c>
      <c r="EC12" s="228">
        <v>7.43</v>
      </c>
      <c r="ED12" s="229">
        <v>5.7999999999999996E-3</v>
      </c>
      <c r="EE12" s="230">
        <v>2233329</v>
      </c>
      <c r="EF12" s="230">
        <v>1811014</v>
      </c>
      <c r="EG12" s="229">
        <v>0.23319999999999999</v>
      </c>
      <c r="EH12" s="229">
        <v>0.39900000000000002</v>
      </c>
      <c r="EI12" s="231">
        <v>736390.86</v>
      </c>
      <c r="EJ12" s="231">
        <v>182175.94</v>
      </c>
      <c r="EK12" s="231">
        <v>161149.42000000001</v>
      </c>
      <c r="EL12" s="231">
        <v>5239</v>
      </c>
      <c r="EM12" s="231">
        <v>1079716.22</v>
      </c>
      <c r="EN12" s="231">
        <v>93899.4</v>
      </c>
      <c r="EO12" s="231">
        <v>985816.82</v>
      </c>
      <c r="EP12" s="229">
        <v>10.4986</v>
      </c>
      <c r="EQ12" s="231">
        <v>66589</v>
      </c>
      <c r="ER12" s="231">
        <v>60418</v>
      </c>
      <c r="ES12" s="231">
        <v>206795</v>
      </c>
      <c r="ET12" s="231">
        <v>76385219</v>
      </c>
      <c r="EU12" s="231">
        <v>333802</v>
      </c>
      <c r="EV12" s="231">
        <v>305718</v>
      </c>
      <c r="EW12" s="231">
        <v>28084</v>
      </c>
      <c r="EX12" s="229">
        <v>9.1899999999999996E-2</v>
      </c>
      <c r="EY12" s="229">
        <v>0.3392</v>
      </c>
    </row>
    <row r="13" spans="1:155" ht="17.25" thickBot="1" x14ac:dyDescent="0.3">
      <c r="A13" s="226">
        <v>46135</v>
      </c>
      <c r="B13" s="227" t="s">
        <v>227</v>
      </c>
      <c r="C13" s="227" t="s">
        <v>200</v>
      </c>
      <c r="D13" s="228">
        <v>452.2</v>
      </c>
      <c r="E13" s="228">
        <v>445.25</v>
      </c>
      <c r="F13" s="228">
        <v>6.95</v>
      </c>
      <c r="G13" s="229">
        <v>1.5599999999999999E-2</v>
      </c>
      <c r="H13" s="228">
        <v>450.65</v>
      </c>
      <c r="I13" s="228">
        <v>444.15</v>
      </c>
      <c r="J13" s="228">
        <v>6.5</v>
      </c>
      <c r="K13" s="229">
        <v>1.46E-2</v>
      </c>
      <c r="L13" s="228">
        <v>452.2</v>
      </c>
      <c r="M13" s="228">
        <v>445.25</v>
      </c>
      <c r="N13" s="228">
        <v>6.95</v>
      </c>
      <c r="O13" s="229">
        <v>1.5599999999999999E-2</v>
      </c>
      <c r="P13" s="228">
        <v>448.5</v>
      </c>
      <c r="Q13" s="228">
        <v>442.45</v>
      </c>
      <c r="R13" s="228">
        <v>6.05</v>
      </c>
      <c r="S13" s="229">
        <v>1.37E-2</v>
      </c>
      <c r="T13" s="228">
        <v>445.95</v>
      </c>
      <c r="U13" s="228">
        <v>441.4</v>
      </c>
      <c r="V13" s="228">
        <v>4.55</v>
      </c>
      <c r="W13" s="229">
        <v>1.03E-2</v>
      </c>
      <c r="X13" s="228">
        <v>1.55</v>
      </c>
      <c r="Y13" s="228">
        <v>1.1000000000000001</v>
      </c>
      <c r="Z13" s="228">
        <v>0.45</v>
      </c>
      <c r="AA13" s="229">
        <v>3.3999999999999998E-3</v>
      </c>
      <c r="AB13" s="228">
        <v>1.55</v>
      </c>
      <c r="AC13" s="228">
        <v>1.1000000000000001</v>
      </c>
      <c r="AD13" s="228">
        <v>0.45</v>
      </c>
      <c r="AE13" s="229">
        <v>3.3999999999999998E-3</v>
      </c>
      <c r="AF13" s="228">
        <v>-2.15</v>
      </c>
      <c r="AG13" s="228">
        <v>-1.7</v>
      </c>
      <c r="AH13" s="228">
        <v>-0.45</v>
      </c>
      <c r="AI13" s="229">
        <v>-4.7999999999999996E-3</v>
      </c>
      <c r="AJ13" s="228">
        <v>-4.7</v>
      </c>
      <c r="AK13" s="228">
        <v>-2.75</v>
      </c>
      <c r="AL13" s="228">
        <v>-1.95</v>
      </c>
      <c r="AM13" s="229">
        <v>-1.04E-2</v>
      </c>
      <c r="AN13" s="228">
        <v>449.16</v>
      </c>
      <c r="AO13" s="228">
        <v>445.01</v>
      </c>
      <c r="AP13" s="228">
        <v>0</v>
      </c>
      <c r="AQ13" s="230">
        <v>38413</v>
      </c>
      <c r="AR13" s="230">
        <v>8357</v>
      </c>
      <c r="AS13" s="230">
        <v>30056</v>
      </c>
      <c r="AT13" s="229">
        <v>3.5964999999999998</v>
      </c>
      <c r="AU13" s="230">
        <v>20309</v>
      </c>
      <c r="AV13" s="230">
        <v>5206</v>
      </c>
      <c r="AW13" s="230">
        <v>15103</v>
      </c>
      <c r="AX13" s="229">
        <v>2.9011</v>
      </c>
      <c r="AY13" s="230">
        <v>17825</v>
      </c>
      <c r="AZ13" s="230">
        <v>2973</v>
      </c>
      <c r="BA13" s="230">
        <v>14852</v>
      </c>
      <c r="BB13" s="229">
        <v>4.9955999999999996</v>
      </c>
      <c r="BC13" s="228">
        <v>279</v>
      </c>
      <c r="BD13" s="228">
        <v>178</v>
      </c>
      <c r="BE13" s="228">
        <v>101</v>
      </c>
      <c r="BF13" s="229">
        <v>0.56740000000000002</v>
      </c>
      <c r="BG13" s="230">
        <v>50067</v>
      </c>
      <c r="BH13" s="230">
        <v>43356</v>
      </c>
      <c r="BI13" s="230">
        <v>6711</v>
      </c>
      <c r="BJ13" s="229">
        <v>0.15479999999999999</v>
      </c>
      <c r="BK13" s="230">
        <v>28939</v>
      </c>
      <c r="BL13" s="230">
        <v>23813</v>
      </c>
      <c r="BM13" s="230">
        <v>5126</v>
      </c>
      <c r="BN13" s="229">
        <v>0.21529999999999999</v>
      </c>
      <c r="BO13" s="230">
        <v>117419</v>
      </c>
      <c r="BP13" s="230">
        <v>75526</v>
      </c>
      <c r="BQ13" s="230">
        <v>41893</v>
      </c>
      <c r="BR13" s="229">
        <v>0.55469999999999997</v>
      </c>
      <c r="BS13" s="230">
        <v>9176692</v>
      </c>
      <c r="BT13" s="230">
        <v>7386423</v>
      </c>
      <c r="BU13" s="230">
        <v>1790269</v>
      </c>
      <c r="BV13" s="229">
        <v>0.2424</v>
      </c>
      <c r="BW13" s="230">
        <v>64818900</v>
      </c>
      <c r="BX13" s="230">
        <v>72878400</v>
      </c>
      <c r="BY13" s="230">
        <v>-8059500</v>
      </c>
      <c r="BZ13" s="229">
        <v>-0.1106</v>
      </c>
      <c r="CA13" s="230">
        <v>40689000</v>
      </c>
      <c r="CB13" s="230">
        <v>61182000</v>
      </c>
      <c r="CC13" s="230">
        <v>-20493000</v>
      </c>
      <c r="CD13" s="229">
        <v>-0.33500000000000002</v>
      </c>
      <c r="CE13" s="230">
        <v>23086350</v>
      </c>
      <c r="CF13" s="230">
        <v>10712250</v>
      </c>
      <c r="CG13" s="230">
        <v>12374100</v>
      </c>
      <c r="CH13" s="229">
        <v>1.1551</v>
      </c>
      <c r="CI13" s="230">
        <v>1043550</v>
      </c>
      <c r="CJ13" s="230">
        <v>984150</v>
      </c>
      <c r="CK13" s="230">
        <v>59400</v>
      </c>
      <c r="CL13" s="229">
        <v>6.0400000000000002E-2</v>
      </c>
      <c r="CM13" s="230">
        <v>39000150</v>
      </c>
      <c r="CN13" s="230">
        <v>42925950</v>
      </c>
      <c r="CO13" s="230">
        <v>-3925800</v>
      </c>
      <c r="CP13" s="229">
        <v>-9.1499999999999998E-2</v>
      </c>
      <c r="CQ13" s="230">
        <v>26557200</v>
      </c>
      <c r="CR13" s="230">
        <v>26715150</v>
      </c>
      <c r="CS13" s="230">
        <v>-157950</v>
      </c>
      <c r="CT13" s="229">
        <v>-5.8999999999999999E-3</v>
      </c>
      <c r="CU13" s="230">
        <v>130376250</v>
      </c>
      <c r="CV13" s="230">
        <v>142519500</v>
      </c>
      <c r="CW13" s="230">
        <v>-12143250</v>
      </c>
      <c r="CX13" s="229">
        <v>-8.5199999999999998E-2</v>
      </c>
      <c r="CY13" s="228">
        <v>28.1</v>
      </c>
      <c r="CZ13" s="228">
        <v>27.25</v>
      </c>
      <c r="DA13" s="228">
        <v>0.85</v>
      </c>
      <c r="DB13" s="228">
        <v>0.85</v>
      </c>
      <c r="DC13" s="228">
        <v>30.81</v>
      </c>
      <c r="DD13" s="228">
        <v>30.82</v>
      </c>
      <c r="DE13" s="228">
        <v>-2.71</v>
      </c>
      <c r="DF13" s="228">
        <v>-0.01</v>
      </c>
      <c r="DG13" s="228">
        <v>28.31</v>
      </c>
      <c r="DH13" s="228">
        <v>27.18</v>
      </c>
      <c r="DI13" s="228">
        <v>1.1299999999999999</v>
      </c>
      <c r="DJ13" s="228">
        <v>1.1299999999999999</v>
      </c>
      <c r="DK13" s="228">
        <v>27.82</v>
      </c>
      <c r="DL13" s="228">
        <v>27.37</v>
      </c>
      <c r="DM13" s="228">
        <v>0.45</v>
      </c>
      <c r="DN13" s="228">
        <v>0.45</v>
      </c>
      <c r="DO13" s="228">
        <v>0.68</v>
      </c>
      <c r="DP13" s="228">
        <v>0.62</v>
      </c>
      <c r="DQ13" s="228">
        <v>0.06</v>
      </c>
      <c r="DR13" s="229">
        <v>9.6799999999999997E-2</v>
      </c>
      <c r="DS13" s="228">
        <v>460</v>
      </c>
      <c r="DT13" s="228">
        <v>400</v>
      </c>
      <c r="DU13" s="228">
        <v>0.57999999999999996</v>
      </c>
      <c r="DV13" s="228">
        <v>0.55000000000000004</v>
      </c>
      <c r="DW13" s="228">
        <v>0.03</v>
      </c>
      <c r="DX13" s="229">
        <v>5.45E-2</v>
      </c>
      <c r="DY13" s="229">
        <v>0.37230000000000002</v>
      </c>
      <c r="DZ13" s="230">
        <v>11696400</v>
      </c>
      <c r="EA13" s="229">
        <v>-8.2000000000000007E-3</v>
      </c>
      <c r="EB13" s="229">
        <v>0.37230000000000002</v>
      </c>
      <c r="EC13" s="228">
        <v>-4.1500000000000004</v>
      </c>
      <c r="ED13" s="229">
        <v>-9.1999999999999998E-3</v>
      </c>
      <c r="EE13" s="230">
        <v>5255644</v>
      </c>
      <c r="EF13" s="230">
        <v>3849608</v>
      </c>
      <c r="EG13" s="229">
        <v>0.36520000000000002</v>
      </c>
      <c r="EH13" s="229">
        <v>0.57269999999999999</v>
      </c>
      <c r="EI13" s="231">
        <v>312137.90000000002</v>
      </c>
      <c r="EJ13" s="231">
        <v>173336.93</v>
      </c>
      <c r="EK13" s="231">
        <v>231902.44</v>
      </c>
      <c r="EL13" s="231">
        <v>7282</v>
      </c>
      <c r="EM13" s="231">
        <v>717377.27</v>
      </c>
      <c r="EN13" s="231">
        <v>460589.23</v>
      </c>
      <c r="EO13" s="231">
        <v>256788.04</v>
      </c>
      <c r="EP13" s="229">
        <v>0.5575</v>
      </c>
      <c r="EQ13" s="231">
        <v>182386</v>
      </c>
      <c r="ER13" s="231">
        <v>114107</v>
      </c>
      <c r="ES13" s="231">
        <v>292192</v>
      </c>
      <c r="ET13" s="231">
        <v>320531323</v>
      </c>
      <c r="EU13" s="231">
        <v>588684</v>
      </c>
      <c r="EV13" s="231">
        <v>638645</v>
      </c>
      <c r="EW13" s="231">
        <v>-49961</v>
      </c>
      <c r="EX13" s="229">
        <v>-7.8200000000000006E-2</v>
      </c>
      <c r="EY13" s="229">
        <v>0.40679999999999999</v>
      </c>
    </row>
    <row r="14" spans="1:155" ht="17.25" thickBot="1" x14ac:dyDescent="0.3">
      <c r="A14" s="226">
        <v>46135</v>
      </c>
      <c r="B14" s="227" t="s">
        <v>170</v>
      </c>
      <c r="C14" s="227" t="s">
        <v>208</v>
      </c>
      <c r="D14" s="231">
        <v>1323.8</v>
      </c>
      <c r="E14" s="231">
        <v>1210.9000000000001</v>
      </c>
      <c r="F14" s="228">
        <v>112.9</v>
      </c>
      <c r="G14" s="229">
        <v>9.3200000000000005E-2</v>
      </c>
      <c r="H14" s="231">
        <v>1331</v>
      </c>
      <c r="I14" s="231">
        <v>1217</v>
      </c>
      <c r="J14" s="228">
        <v>114</v>
      </c>
      <c r="K14" s="229">
        <v>9.3700000000000006E-2</v>
      </c>
      <c r="L14" s="231">
        <v>1323.8</v>
      </c>
      <c r="M14" s="231">
        <v>1210.9000000000001</v>
      </c>
      <c r="N14" s="228">
        <v>112.9</v>
      </c>
      <c r="O14" s="229">
        <v>9.3200000000000005E-2</v>
      </c>
      <c r="P14" s="231">
        <v>1315.3</v>
      </c>
      <c r="Q14" s="231">
        <v>1210</v>
      </c>
      <c r="R14" s="228">
        <v>105.3</v>
      </c>
      <c r="S14" s="229">
        <v>8.6999999999999994E-2</v>
      </c>
      <c r="T14" s="231">
        <v>1315.4</v>
      </c>
      <c r="U14" s="231">
        <v>1214.5999999999999</v>
      </c>
      <c r="V14" s="228">
        <v>100.8</v>
      </c>
      <c r="W14" s="229">
        <v>8.3000000000000004E-2</v>
      </c>
      <c r="X14" s="228">
        <v>-7.2</v>
      </c>
      <c r="Y14" s="228">
        <v>-6.1</v>
      </c>
      <c r="Z14" s="228">
        <v>-1.1000000000000001</v>
      </c>
      <c r="AA14" s="229">
        <v>-5.4000000000000003E-3</v>
      </c>
      <c r="AB14" s="228">
        <v>-7.2</v>
      </c>
      <c r="AC14" s="228">
        <v>-6.1</v>
      </c>
      <c r="AD14" s="228">
        <v>-1.1000000000000001</v>
      </c>
      <c r="AE14" s="229">
        <v>-5.4000000000000003E-3</v>
      </c>
      <c r="AF14" s="228">
        <v>-15.7</v>
      </c>
      <c r="AG14" s="228">
        <v>-7</v>
      </c>
      <c r="AH14" s="228">
        <v>-8.6999999999999993</v>
      </c>
      <c r="AI14" s="229">
        <v>-1.18E-2</v>
      </c>
      <c r="AJ14" s="228">
        <v>-15.6</v>
      </c>
      <c r="AK14" s="228">
        <v>-2.4</v>
      </c>
      <c r="AL14" s="228">
        <v>-13.2</v>
      </c>
      <c r="AM14" s="229">
        <v>-1.17E-2</v>
      </c>
      <c r="AN14" s="231">
        <v>1300.68</v>
      </c>
      <c r="AO14" s="231">
        <v>1299.6400000000001</v>
      </c>
      <c r="AP14" s="228">
        <v>0</v>
      </c>
      <c r="AQ14" s="230">
        <v>51755</v>
      </c>
      <c r="AR14" s="230">
        <v>6005</v>
      </c>
      <c r="AS14" s="230">
        <v>45750</v>
      </c>
      <c r="AT14" s="229">
        <v>7.6186999999999996</v>
      </c>
      <c r="AU14" s="230">
        <v>27859</v>
      </c>
      <c r="AV14" s="230">
        <v>3901</v>
      </c>
      <c r="AW14" s="230">
        <v>23958</v>
      </c>
      <c r="AX14" s="229">
        <v>6.1414999999999997</v>
      </c>
      <c r="AY14" s="230">
        <v>23516</v>
      </c>
      <c r="AZ14" s="230">
        <v>2027</v>
      </c>
      <c r="BA14" s="230">
        <v>21489</v>
      </c>
      <c r="BB14" s="229">
        <v>10.6014</v>
      </c>
      <c r="BC14" s="228">
        <v>380</v>
      </c>
      <c r="BD14" s="228">
        <v>77</v>
      </c>
      <c r="BE14" s="228">
        <v>303</v>
      </c>
      <c r="BF14" s="229">
        <v>3.9350999999999998</v>
      </c>
      <c r="BG14" s="230">
        <v>305892</v>
      </c>
      <c r="BH14" s="230">
        <v>16656</v>
      </c>
      <c r="BI14" s="230">
        <v>289236</v>
      </c>
      <c r="BJ14" s="229">
        <v>17.365300000000001</v>
      </c>
      <c r="BK14" s="230">
        <v>123033</v>
      </c>
      <c r="BL14" s="230">
        <v>7412</v>
      </c>
      <c r="BM14" s="230">
        <v>115621</v>
      </c>
      <c r="BN14" s="229">
        <v>15.5992</v>
      </c>
      <c r="BO14" s="230">
        <v>480680</v>
      </c>
      <c r="BP14" s="230">
        <v>30073</v>
      </c>
      <c r="BQ14" s="230">
        <v>450607</v>
      </c>
      <c r="BR14" s="229">
        <v>14.9838</v>
      </c>
      <c r="BS14" s="230">
        <v>17404366</v>
      </c>
      <c r="BT14" s="230">
        <v>1623062</v>
      </c>
      <c r="BU14" s="230">
        <v>15781304</v>
      </c>
      <c r="BV14" s="229">
        <v>9.7232000000000003</v>
      </c>
      <c r="BW14" s="230">
        <v>15758125</v>
      </c>
      <c r="BX14" s="230">
        <v>15635000</v>
      </c>
      <c r="BY14" s="230">
        <v>123125</v>
      </c>
      <c r="BZ14" s="229">
        <v>7.9000000000000008E-3</v>
      </c>
      <c r="CA14" s="230">
        <v>8009375</v>
      </c>
      <c r="CB14" s="230">
        <v>13245000</v>
      </c>
      <c r="CC14" s="230">
        <v>-5235625</v>
      </c>
      <c r="CD14" s="229">
        <v>-0.39529999999999998</v>
      </c>
      <c r="CE14" s="230">
        <v>7580625</v>
      </c>
      <c r="CF14" s="230">
        <v>2197500</v>
      </c>
      <c r="CG14" s="230">
        <v>5383125</v>
      </c>
      <c r="CH14" s="229">
        <v>2.4497</v>
      </c>
      <c r="CI14" s="230">
        <v>168125</v>
      </c>
      <c r="CJ14" s="230">
        <v>192500</v>
      </c>
      <c r="CK14" s="230">
        <v>-24375</v>
      </c>
      <c r="CL14" s="229">
        <v>-0.12659999999999999</v>
      </c>
      <c r="CM14" s="230">
        <v>13342500</v>
      </c>
      <c r="CN14" s="230">
        <v>7520625</v>
      </c>
      <c r="CO14" s="230">
        <v>5821875</v>
      </c>
      <c r="CP14" s="229">
        <v>0.77410000000000001</v>
      </c>
      <c r="CQ14" s="230">
        <v>8866875</v>
      </c>
      <c r="CR14" s="230">
        <v>5162500</v>
      </c>
      <c r="CS14" s="230">
        <v>3704375</v>
      </c>
      <c r="CT14" s="229">
        <v>0.71760000000000002</v>
      </c>
      <c r="CU14" s="230">
        <v>37967500</v>
      </c>
      <c r="CV14" s="230">
        <v>28318125</v>
      </c>
      <c r="CW14" s="230">
        <v>9649375</v>
      </c>
      <c r="CX14" s="229">
        <v>0.3407</v>
      </c>
      <c r="CY14" s="228">
        <v>34.22</v>
      </c>
      <c r="CZ14" s="228">
        <v>23.6</v>
      </c>
      <c r="DA14" s="228">
        <v>10.62</v>
      </c>
      <c r="DB14" s="228">
        <v>10.62</v>
      </c>
      <c r="DC14" s="228">
        <v>28.52</v>
      </c>
      <c r="DD14" s="228">
        <v>25.89</v>
      </c>
      <c r="DE14" s="228">
        <v>5.7</v>
      </c>
      <c r="DF14" s="228">
        <v>2.63</v>
      </c>
      <c r="DG14" s="228">
        <v>34.11</v>
      </c>
      <c r="DH14" s="228">
        <v>23.8</v>
      </c>
      <c r="DI14" s="228">
        <v>10.31</v>
      </c>
      <c r="DJ14" s="228">
        <v>10.31</v>
      </c>
      <c r="DK14" s="228">
        <v>34.51</v>
      </c>
      <c r="DL14" s="228">
        <v>23.17</v>
      </c>
      <c r="DM14" s="228">
        <v>11.34</v>
      </c>
      <c r="DN14" s="228">
        <v>11.34</v>
      </c>
      <c r="DO14" s="228">
        <v>0.66</v>
      </c>
      <c r="DP14" s="228">
        <v>0.69</v>
      </c>
      <c r="DQ14" s="228">
        <v>-0.03</v>
      </c>
      <c r="DR14" s="229">
        <v>-4.3499999999999997E-2</v>
      </c>
      <c r="DS14" s="231">
        <v>1400</v>
      </c>
      <c r="DT14" s="231">
        <v>1200</v>
      </c>
      <c r="DU14" s="228">
        <v>0.4</v>
      </c>
      <c r="DV14" s="228">
        <v>0.45</v>
      </c>
      <c r="DW14" s="228">
        <v>-0.05</v>
      </c>
      <c r="DX14" s="229">
        <v>-0.1111</v>
      </c>
      <c r="DY14" s="229">
        <v>0.49170000000000003</v>
      </c>
      <c r="DZ14" s="230">
        <v>2390000</v>
      </c>
      <c r="EA14" s="229">
        <v>-6.4000000000000003E-3</v>
      </c>
      <c r="EB14" s="229">
        <v>0.49170000000000003</v>
      </c>
      <c r="EC14" s="228">
        <v>-1.04</v>
      </c>
      <c r="ED14" s="229">
        <v>-8.0000000000000004E-4</v>
      </c>
      <c r="EE14" s="230">
        <v>3823638</v>
      </c>
      <c r="EF14" s="230">
        <v>982009</v>
      </c>
      <c r="EG14" s="229">
        <v>2.8936999999999999</v>
      </c>
      <c r="EH14" s="229">
        <v>0.21970000000000001</v>
      </c>
      <c r="EI14" s="231">
        <v>2568224.7200000002</v>
      </c>
      <c r="EJ14" s="231">
        <v>983664.83</v>
      </c>
      <c r="EK14" s="231">
        <v>420556.27</v>
      </c>
      <c r="EL14" s="231">
        <v>4145</v>
      </c>
      <c r="EM14" s="231">
        <v>3972445.82</v>
      </c>
      <c r="EN14" s="231">
        <v>232003.99</v>
      </c>
      <c r="EO14" s="231">
        <v>3740441.83</v>
      </c>
      <c r="EP14" s="229">
        <v>16.122299999999999</v>
      </c>
      <c r="EQ14" s="231">
        <v>175876</v>
      </c>
      <c r="ER14" s="231">
        <v>109138</v>
      </c>
      <c r="ES14" s="231">
        <v>207948</v>
      </c>
      <c r="ET14" s="231">
        <v>61026255</v>
      </c>
      <c r="EU14" s="231">
        <v>492962</v>
      </c>
      <c r="EV14" s="231">
        <v>345024</v>
      </c>
      <c r="EW14" s="231">
        <v>147938</v>
      </c>
      <c r="EX14" s="229">
        <v>0.42880000000000001</v>
      </c>
      <c r="EY14" s="229">
        <v>0.62219999999999998</v>
      </c>
    </row>
    <row r="15" spans="1:155" ht="17.25" thickBot="1" x14ac:dyDescent="0.3">
      <c r="A15" s="226">
        <v>46135</v>
      </c>
      <c r="B15" s="227" t="s">
        <v>162</v>
      </c>
      <c r="C15" s="227" t="s">
        <v>209</v>
      </c>
      <c r="D15" s="231">
        <v>7086</v>
      </c>
      <c r="E15" s="231">
        <v>7220.5</v>
      </c>
      <c r="F15" s="228">
        <v>-134.5</v>
      </c>
      <c r="G15" s="229">
        <v>-1.8599999999999998E-2</v>
      </c>
      <c r="H15" s="231">
        <v>7092.5</v>
      </c>
      <c r="I15" s="231">
        <v>7230</v>
      </c>
      <c r="J15" s="228">
        <v>-137.5</v>
      </c>
      <c r="K15" s="229">
        <v>-1.9E-2</v>
      </c>
      <c r="L15" s="231">
        <v>7086</v>
      </c>
      <c r="M15" s="231">
        <v>7220.5</v>
      </c>
      <c r="N15" s="228">
        <v>-134.5</v>
      </c>
      <c r="O15" s="229">
        <v>-1.8599999999999998E-2</v>
      </c>
      <c r="P15" s="231">
        <v>7126.5</v>
      </c>
      <c r="Q15" s="231">
        <v>7254.5</v>
      </c>
      <c r="R15" s="228">
        <v>-128</v>
      </c>
      <c r="S15" s="229">
        <v>-1.7600000000000001E-2</v>
      </c>
      <c r="T15" s="231">
        <v>7168</v>
      </c>
      <c r="U15" s="231">
        <v>7307</v>
      </c>
      <c r="V15" s="228">
        <v>-139</v>
      </c>
      <c r="W15" s="229">
        <v>-1.9E-2</v>
      </c>
      <c r="X15" s="228">
        <v>-6.5</v>
      </c>
      <c r="Y15" s="228">
        <v>-9.5</v>
      </c>
      <c r="Z15" s="228">
        <v>3</v>
      </c>
      <c r="AA15" s="229">
        <v>-8.9999999999999998E-4</v>
      </c>
      <c r="AB15" s="228">
        <v>-6.5</v>
      </c>
      <c r="AC15" s="228">
        <v>-9.5</v>
      </c>
      <c r="AD15" s="228">
        <v>3</v>
      </c>
      <c r="AE15" s="229">
        <v>-8.9999999999999998E-4</v>
      </c>
      <c r="AF15" s="228">
        <v>34</v>
      </c>
      <c r="AG15" s="228">
        <v>24.5</v>
      </c>
      <c r="AH15" s="228">
        <v>9.5</v>
      </c>
      <c r="AI15" s="229">
        <v>4.7999999999999996E-3</v>
      </c>
      <c r="AJ15" s="228">
        <v>75.5</v>
      </c>
      <c r="AK15" s="228">
        <v>77</v>
      </c>
      <c r="AL15" s="228">
        <v>-1.5</v>
      </c>
      <c r="AM15" s="229">
        <v>1.06E-2</v>
      </c>
      <c r="AN15" s="231">
        <v>7100.74</v>
      </c>
      <c r="AO15" s="231">
        <v>7137.19</v>
      </c>
      <c r="AP15" s="228">
        <v>0</v>
      </c>
      <c r="AQ15" s="230">
        <v>23014</v>
      </c>
      <c r="AR15" s="230">
        <v>5853</v>
      </c>
      <c r="AS15" s="230">
        <v>17161</v>
      </c>
      <c r="AT15" s="229">
        <v>2.9319999999999999</v>
      </c>
      <c r="AU15" s="230">
        <v>12416</v>
      </c>
      <c r="AV15" s="230">
        <v>4404</v>
      </c>
      <c r="AW15" s="230">
        <v>8012</v>
      </c>
      <c r="AX15" s="229">
        <v>1.8192999999999999</v>
      </c>
      <c r="AY15" s="230">
        <v>10354</v>
      </c>
      <c r="AZ15" s="230">
        <v>1226</v>
      </c>
      <c r="BA15" s="230">
        <v>9128</v>
      </c>
      <c r="BB15" s="229">
        <v>7.4454000000000002</v>
      </c>
      <c r="BC15" s="228">
        <v>244</v>
      </c>
      <c r="BD15" s="228">
        <v>223</v>
      </c>
      <c r="BE15" s="228">
        <v>21</v>
      </c>
      <c r="BF15" s="229">
        <v>9.4200000000000006E-2</v>
      </c>
      <c r="BG15" s="230">
        <v>25847</v>
      </c>
      <c r="BH15" s="230">
        <v>23315</v>
      </c>
      <c r="BI15" s="230">
        <v>2532</v>
      </c>
      <c r="BJ15" s="229">
        <v>0.1086</v>
      </c>
      <c r="BK15" s="230">
        <v>17187</v>
      </c>
      <c r="BL15" s="230">
        <v>12698</v>
      </c>
      <c r="BM15" s="230">
        <v>4489</v>
      </c>
      <c r="BN15" s="229">
        <v>0.35349999999999998</v>
      </c>
      <c r="BO15" s="230">
        <v>66048</v>
      </c>
      <c r="BP15" s="230">
        <v>41866</v>
      </c>
      <c r="BQ15" s="230">
        <v>24182</v>
      </c>
      <c r="BR15" s="229">
        <v>0.5776</v>
      </c>
      <c r="BS15" s="230">
        <v>515422</v>
      </c>
      <c r="BT15" s="230">
        <v>514857</v>
      </c>
      <c r="BU15" s="228">
        <v>565</v>
      </c>
      <c r="BV15" s="229">
        <v>1.1000000000000001E-3</v>
      </c>
      <c r="BW15" s="230">
        <v>3945000</v>
      </c>
      <c r="BX15" s="230">
        <v>4078500</v>
      </c>
      <c r="BY15" s="230">
        <v>-133500</v>
      </c>
      <c r="BZ15" s="229">
        <v>-3.27E-2</v>
      </c>
      <c r="CA15" s="230">
        <v>2251600</v>
      </c>
      <c r="CB15" s="230">
        <v>3250000</v>
      </c>
      <c r="CC15" s="230">
        <v>-998400</v>
      </c>
      <c r="CD15" s="229">
        <v>-0.30719999999999997</v>
      </c>
      <c r="CE15" s="230">
        <v>1310100</v>
      </c>
      <c r="CF15" s="230">
        <v>463900</v>
      </c>
      <c r="CG15" s="230">
        <v>846200</v>
      </c>
      <c r="CH15" s="229">
        <v>1.8241000000000001</v>
      </c>
      <c r="CI15" s="230">
        <v>383300</v>
      </c>
      <c r="CJ15" s="230">
        <v>364600</v>
      </c>
      <c r="CK15" s="230">
        <v>18700</v>
      </c>
      <c r="CL15" s="229">
        <v>5.1299999999999998E-2</v>
      </c>
      <c r="CM15" s="230">
        <v>2027700</v>
      </c>
      <c r="CN15" s="230">
        <v>1984900</v>
      </c>
      <c r="CO15" s="230">
        <v>42800</v>
      </c>
      <c r="CP15" s="229">
        <v>2.1600000000000001E-2</v>
      </c>
      <c r="CQ15" s="230">
        <v>1475900</v>
      </c>
      <c r="CR15" s="230">
        <v>1506400</v>
      </c>
      <c r="CS15" s="230">
        <v>-30500</v>
      </c>
      <c r="CT15" s="229">
        <v>-2.0199999999999999E-2</v>
      </c>
      <c r="CU15" s="230">
        <v>7448600</v>
      </c>
      <c r="CV15" s="230">
        <v>7569800</v>
      </c>
      <c r="CW15" s="230">
        <v>-121200</v>
      </c>
      <c r="CX15" s="229">
        <v>-1.6E-2</v>
      </c>
      <c r="CY15" s="228">
        <v>33.409999999999997</v>
      </c>
      <c r="CZ15" s="228">
        <v>30.13</v>
      </c>
      <c r="DA15" s="228">
        <v>3.28</v>
      </c>
      <c r="DB15" s="228">
        <v>3.28</v>
      </c>
      <c r="DC15" s="228">
        <v>33.64</v>
      </c>
      <c r="DD15" s="228">
        <v>33.619999999999997</v>
      </c>
      <c r="DE15" s="228">
        <v>-0.23</v>
      </c>
      <c r="DF15" s="228">
        <v>0.02</v>
      </c>
      <c r="DG15" s="228">
        <v>33.46</v>
      </c>
      <c r="DH15" s="228">
        <v>28.85</v>
      </c>
      <c r="DI15" s="228">
        <v>4.6100000000000003</v>
      </c>
      <c r="DJ15" s="228">
        <v>4.6100000000000003</v>
      </c>
      <c r="DK15" s="228">
        <v>33.36</v>
      </c>
      <c r="DL15" s="228">
        <v>32.47</v>
      </c>
      <c r="DM15" s="228">
        <v>0.89</v>
      </c>
      <c r="DN15" s="228">
        <v>0.89</v>
      </c>
      <c r="DO15" s="228">
        <v>0.73</v>
      </c>
      <c r="DP15" s="228">
        <v>0.76</v>
      </c>
      <c r="DQ15" s="228">
        <v>-0.03</v>
      </c>
      <c r="DR15" s="229">
        <v>-3.95E-2</v>
      </c>
      <c r="DS15" s="231">
        <v>8000</v>
      </c>
      <c r="DT15" s="231">
        <v>6500</v>
      </c>
      <c r="DU15" s="228">
        <v>0.66</v>
      </c>
      <c r="DV15" s="228">
        <v>0.54</v>
      </c>
      <c r="DW15" s="228">
        <v>0.12</v>
      </c>
      <c r="DX15" s="229">
        <v>0.22220000000000001</v>
      </c>
      <c r="DY15" s="229">
        <v>0.42930000000000001</v>
      </c>
      <c r="DZ15" s="230">
        <v>828500</v>
      </c>
      <c r="EA15" s="229">
        <v>5.7000000000000002E-3</v>
      </c>
      <c r="EB15" s="229">
        <v>0.42930000000000001</v>
      </c>
      <c r="EC15" s="228">
        <v>36.450000000000003</v>
      </c>
      <c r="ED15" s="229">
        <v>5.1000000000000004E-3</v>
      </c>
      <c r="EE15" s="230">
        <v>274354</v>
      </c>
      <c r="EF15" s="230">
        <v>282519</v>
      </c>
      <c r="EG15" s="229">
        <v>-2.8899999999999999E-2</v>
      </c>
      <c r="EH15" s="229">
        <v>0.5323</v>
      </c>
      <c r="EI15" s="231">
        <v>191675.97</v>
      </c>
      <c r="EJ15" s="231">
        <v>121668.22</v>
      </c>
      <c r="EK15" s="231">
        <v>163813.92000000001</v>
      </c>
      <c r="EL15" s="231">
        <v>5850</v>
      </c>
      <c r="EM15" s="231">
        <v>477158.11</v>
      </c>
      <c r="EN15" s="231">
        <v>305806.40000000002</v>
      </c>
      <c r="EO15" s="231">
        <v>171351.71</v>
      </c>
      <c r="EP15" s="229">
        <v>0.56030000000000002</v>
      </c>
      <c r="EQ15" s="231">
        <v>150630</v>
      </c>
      <c r="ER15" s="231">
        <v>102459</v>
      </c>
      <c r="ES15" s="231">
        <v>280388</v>
      </c>
      <c r="ET15" s="231">
        <v>20960143</v>
      </c>
      <c r="EU15" s="231">
        <v>533476</v>
      </c>
      <c r="EV15" s="231">
        <v>547426</v>
      </c>
      <c r="EW15" s="231">
        <v>-13950</v>
      </c>
      <c r="EX15" s="229">
        <v>-2.5499999999999998E-2</v>
      </c>
      <c r="EY15" s="229">
        <v>0.35539999999999999</v>
      </c>
    </row>
    <row r="16" spans="1:155" ht="17.25" thickBot="1" x14ac:dyDescent="0.3">
      <c r="A16" s="226">
        <v>46135</v>
      </c>
      <c r="B16" s="227" t="s">
        <v>614</v>
      </c>
      <c r="C16" s="227" t="s">
        <v>665</v>
      </c>
      <c r="D16" s="228">
        <v>259.55</v>
      </c>
      <c r="E16" s="228">
        <v>262.62</v>
      </c>
      <c r="F16" s="228">
        <v>-3.07</v>
      </c>
      <c r="G16" s="229">
        <v>-1.17E-2</v>
      </c>
      <c r="H16" s="228">
        <v>259.92</v>
      </c>
      <c r="I16" s="228">
        <v>262.99</v>
      </c>
      <c r="J16" s="228">
        <v>-3.07</v>
      </c>
      <c r="K16" s="229">
        <v>-1.17E-2</v>
      </c>
      <c r="L16" s="228">
        <v>259.55</v>
      </c>
      <c r="M16" s="228">
        <v>262.62</v>
      </c>
      <c r="N16" s="228">
        <v>-3.07</v>
      </c>
      <c r="O16" s="229">
        <v>-1.17E-2</v>
      </c>
      <c r="P16" s="228">
        <v>261</v>
      </c>
      <c r="Q16" s="228">
        <v>263.99</v>
      </c>
      <c r="R16" s="228">
        <v>-2.99</v>
      </c>
      <c r="S16" s="229">
        <v>-1.1299999999999999E-2</v>
      </c>
      <c r="T16" s="228">
        <v>262.68</v>
      </c>
      <c r="U16" s="228">
        <v>265.64</v>
      </c>
      <c r="V16" s="228">
        <v>-2.96</v>
      </c>
      <c r="W16" s="229">
        <v>-1.11E-2</v>
      </c>
      <c r="X16" s="228">
        <v>-0.37</v>
      </c>
      <c r="Y16" s="228">
        <v>-0.37</v>
      </c>
      <c r="Z16" s="228">
        <v>0</v>
      </c>
      <c r="AA16" s="229">
        <v>-1.4E-3</v>
      </c>
      <c r="AB16" s="228">
        <v>-0.37</v>
      </c>
      <c r="AC16" s="228">
        <v>-0.37</v>
      </c>
      <c r="AD16" s="228">
        <v>0</v>
      </c>
      <c r="AE16" s="229">
        <v>-1.4E-3</v>
      </c>
      <c r="AF16" s="228">
        <v>1.08</v>
      </c>
      <c r="AG16" s="228">
        <v>1</v>
      </c>
      <c r="AH16" s="228">
        <v>0.08</v>
      </c>
      <c r="AI16" s="229">
        <v>4.1999999999999997E-3</v>
      </c>
      <c r="AJ16" s="228">
        <v>2.76</v>
      </c>
      <c r="AK16" s="228">
        <v>2.65</v>
      </c>
      <c r="AL16" s="228">
        <v>0.11</v>
      </c>
      <c r="AM16" s="229">
        <v>1.06E-2</v>
      </c>
      <c r="AN16" s="228">
        <v>259.68</v>
      </c>
      <c r="AO16" s="228">
        <v>261.29000000000002</v>
      </c>
      <c r="AP16" s="228">
        <v>0</v>
      </c>
      <c r="AQ16" s="230">
        <v>44634</v>
      </c>
      <c r="AR16" s="230">
        <v>23010</v>
      </c>
      <c r="AS16" s="230">
        <v>21624</v>
      </c>
      <c r="AT16" s="229">
        <v>0.93979999999999997</v>
      </c>
      <c r="AU16" s="230">
        <v>23635</v>
      </c>
      <c r="AV16" s="230">
        <v>15949</v>
      </c>
      <c r="AW16" s="230">
        <v>7686</v>
      </c>
      <c r="AX16" s="229">
        <v>0.4819</v>
      </c>
      <c r="AY16" s="230">
        <v>20090</v>
      </c>
      <c r="AZ16" s="230">
        <v>5152</v>
      </c>
      <c r="BA16" s="230">
        <v>14938</v>
      </c>
      <c r="BB16" s="229">
        <v>2.8995000000000002</v>
      </c>
      <c r="BC16" s="228">
        <v>909</v>
      </c>
      <c r="BD16" s="230">
        <v>1909</v>
      </c>
      <c r="BE16" s="230">
        <v>-1000</v>
      </c>
      <c r="BF16" s="229">
        <v>-0.52380000000000004</v>
      </c>
      <c r="BG16" s="230">
        <v>31741</v>
      </c>
      <c r="BH16" s="230">
        <v>39550</v>
      </c>
      <c r="BI16" s="230">
        <v>-7809</v>
      </c>
      <c r="BJ16" s="229">
        <v>-0.19739999999999999</v>
      </c>
      <c r="BK16" s="230">
        <v>22498</v>
      </c>
      <c r="BL16" s="230">
        <v>25313</v>
      </c>
      <c r="BM16" s="230">
        <v>-2815</v>
      </c>
      <c r="BN16" s="229">
        <v>-0.11119999999999999</v>
      </c>
      <c r="BO16" s="230">
        <v>98873</v>
      </c>
      <c r="BP16" s="230">
        <v>87873</v>
      </c>
      <c r="BQ16" s="230">
        <v>11000</v>
      </c>
      <c r="BR16" s="229">
        <v>0.12520000000000001</v>
      </c>
      <c r="BS16" s="230">
        <v>35232641</v>
      </c>
      <c r="BT16" s="230">
        <v>47514342</v>
      </c>
      <c r="BU16" s="230">
        <v>-12281701</v>
      </c>
      <c r="BV16" s="229">
        <v>-0.25850000000000001</v>
      </c>
      <c r="BW16" s="230">
        <v>185015375</v>
      </c>
      <c r="BX16" s="230">
        <v>185965975</v>
      </c>
      <c r="BY16" s="230">
        <v>-950600</v>
      </c>
      <c r="BZ16" s="229">
        <v>-5.1000000000000004E-3</v>
      </c>
      <c r="CA16" s="230">
        <v>108142875</v>
      </c>
      <c r="CB16" s="230">
        <v>152190575</v>
      </c>
      <c r="CC16" s="230">
        <v>-44047700</v>
      </c>
      <c r="CD16" s="229">
        <v>-0.28939999999999999</v>
      </c>
      <c r="CE16" s="230">
        <v>67216150</v>
      </c>
      <c r="CF16" s="230">
        <v>25918400</v>
      </c>
      <c r="CG16" s="230">
        <v>41297750</v>
      </c>
      <c r="CH16" s="229">
        <v>1.5933999999999999</v>
      </c>
      <c r="CI16" s="230">
        <v>9656350</v>
      </c>
      <c r="CJ16" s="230">
        <v>7857000</v>
      </c>
      <c r="CK16" s="230">
        <v>1799350</v>
      </c>
      <c r="CL16" s="229">
        <v>0.22900000000000001</v>
      </c>
      <c r="CM16" s="230">
        <v>60804450</v>
      </c>
      <c r="CN16" s="230">
        <v>60952375</v>
      </c>
      <c r="CO16" s="230">
        <v>-147925</v>
      </c>
      <c r="CP16" s="229">
        <v>-2.3999999999999998E-3</v>
      </c>
      <c r="CQ16" s="230">
        <v>50529725</v>
      </c>
      <c r="CR16" s="230">
        <v>50757675</v>
      </c>
      <c r="CS16" s="230">
        <v>-227950</v>
      </c>
      <c r="CT16" s="229">
        <v>-4.4999999999999997E-3</v>
      </c>
      <c r="CU16" s="230">
        <v>296349550</v>
      </c>
      <c r="CV16" s="230">
        <v>297676025</v>
      </c>
      <c r="CW16" s="230">
        <v>-1326475</v>
      </c>
      <c r="CX16" s="229">
        <v>-4.4999999999999997E-3</v>
      </c>
      <c r="CY16" s="228">
        <v>43.58</v>
      </c>
      <c r="CZ16" s="228">
        <v>38.47</v>
      </c>
      <c r="DA16" s="228">
        <v>5.1100000000000003</v>
      </c>
      <c r="DB16" s="228">
        <v>5.1100000000000003</v>
      </c>
      <c r="DC16" s="228">
        <v>45.93</v>
      </c>
      <c r="DD16" s="228">
        <v>46.01</v>
      </c>
      <c r="DE16" s="228">
        <v>-2.35</v>
      </c>
      <c r="DF16" s="228">
        <v>-0.08</v>
      </c>
      <c r="DG16" s="228">
        <v>43.3</v>
      </c>
      <c r="DH16" s="228">
        <v>35.54</v>
      </c>
      <c r="DI16" s="228">
        <v>7.76</v>
      </c>
      <c r="DJ16" s="228">
        <v>7.76</v>
      </c>
      <c r="DK16" s="228">
        <v>43.86</v>
      </c>
      <c r="DL16" s="228">
        <v>43.04</v>
      </c>
      <c r="DM16" s="228">
        <v>0.82</v>
      </c>
      <c r="DN16" s="228">
        <v>0.82</v>
      </c>
      <c r="DO16" s="228">
        <v>0.83</v>
      </c>
      <c r="DP16" s="228">
        <v>0.83</v>
      </c>
      <c r="DQ16" s="228">
        <v>0</v>
      </c>
      <c r="DR16" s="229">
        <v>0</v>
      </c>
      <c r="DS16" s="228">
        <v>260</v>
      </c>
      <c r="DT16" s="228">
        <v>250</v>
      </c>
      <c r="DU16" s="228">
        <v>0.71</v>
      </c>
      <c r="DV16" s="228">
        <v>0.64</v>
      </c>
      <c r="DW16" s="228">
        <v>7.0000000000000007E-2</v>
      </c>
      <c r="DX16" s="229">
        <v>0.1094</v>
      </c>
      <c r="DY16" s="229">
        <v>0.41549999999999998</v>
      </c>
      <c r="DZ16" s="230">
        <v>33775400</v>
      </c>
      <c r="EA16" s="229">
        <v>5.5999999999999999E-3</v>
      </c>
      <c r="EB16" s="229">
        <v>0.41549999999999998</v>
      </c>
      <c r="EC16" s="228">
        <v>1.61</v>
      </c>
      <c r="ED16" s="229">
        <v>6.1999999999999998E-3</v>
      </c>
      <c r="EE16" s="230">
        <v>17889768</v>
      </c>
      <c r="EF16" s="230">
        <v>28022353</v>
      </c>
      <c r="EG16" s="229">
        <v>-0.36159999999999998</v>
      </c>
      <c r="EH16" s="229">
        <v>0.50780000000000003</v>
      </c>
      <c r="EI16" s="231">
        <v>206937.9</v>
      </c>
      <c r="EJ16" s="231">
        <v>138943.03</v>
      </c>
      <c r="EK16" s="231">
        <v>281916.25</v>
      </c>
      <c r="EL16" s="231">
        <v>16075</v>
      </c>
      <c r="EM16" s="231">
        <v>627797.18000000005</v>
      </c>
      <c r="EN16" s="231">
        <v>558534.61</v>
      </c>
      <c r="EO16" s="231">
        <v>69262.570000000007</v>
      </c>
      <c r="EP16" s="229">
        <v>0.124</v>
      </c>
      <c r="EQ16" s="231">
        <v>157109</v>
      </c>
      <c r="ER16" s="231">
        <v>123101</v>
      </c>
      <c r="ES16" s="231">
        <v>481484</v>
      </c>
      <c r="ET16" s="231">
        <v>1366821859</v>
      </c>
      <c r="EU16" s="231">
        <v>761694</v>
      </c>
      <c r="EV16" s="231">
        <v>769475</v>
      </c>
      <c r="EW16" s="231">
        <v>-7781</v>
      </c>
      <c r="EX16" s="229">
        <v>-1.01E-2</v>
      </c>
      <c r="EY16" s="229">
        <v>0.21679999999999999</v>
      </c>
    </row>
    <row r="17" spans="1:155" ht="17.25" thickBot="1" x14ac:dyDescent="0.3">
      <c r="A17" s="226">
        <v>46135</v>
      </c>
      <c r="B17" s="227" t="s">
        <v>157</v>
      </c>
      <c r="C17" s="227" t="s">
        <v>219</v>
      </c>
      <c r="D17" s="231">
        <v>2738.9</v>
      </c>
      <c r="E17" s="231">
        <v>2784.1</v>
      </c>
      <c r="F17" s="228">
        <v>-45.2</v>
      </c>
      <c r="G17" s="229">
        <v>-1.6199999999999999E-2</v>
      </c>
      <c r="H17" s="231">
        <v>2735</v>
      </c>
      <c r="I17" s="231">
        <v>2776.6</v>
      </c>
      <c r="J17" s="228">
        <v>-41.6</v>
      </c>
      <c r="K17" s="229">
        <v>-1.4999999999999999E-2</v>
      </c>
      <c r="L17" s="231">
        <v>2738.9</v>
      </c>
      <c r="M17" s="231">
        <v>2784.1</v>
      </c>
      <c r="N17" s="228">
        <v>-45.2</v>
      </c>
      <c r="O17" s="229">
        <v>-1.6199999999999999E-2</v>
      </c>
      <c r="P17" s="231">
        <v>2753.1</v>
      </c>
      <c r="Q17" s="231">
        <v>2799.7</v>
      </c>
      <c r="R17" s="228">
        <v>-46.6</v>
      </c>
      <c r="S17" s="229">
        <v>-1.66E-2</v>
      </c>
      <c r="T17" s="231">
        <v>2769.7</v>
      </c>
      <c r="U17" s="231">
        <v>2814.9</v>
      </c>
      <c r="V17" s="228">
        <v>-45.2</v>
      </c>
      <c r="W17" s="229">
        <v>-1.61E-2</v>
      </c>
      <c r="X17" s="228">
        <v>3.9</v>
      </c>
      <c r="Y17" s="228">
        <v>7.5</v>
      </c>
      <c r="Z17" s="228">
        <v>-3.6</v>
      </c>
      <c r="AA17" s="229">
        <v>1.4E-3</v>
      </c>
      <c r="AB17" s="228">
        <v>3.9</v>
      </c>
      <c r="AC17" s="228">
        <v>7.5</v>
      </c>
      <c r="AD17" s="228">
        <v>-3.6</v>
      </c>
      <c r="AE17" s="229">
        <v>1.4E-3</v>
      </c>
      <c r="AF17" s="228">
        <v>18.100000000000001</v>
      </c>
      <c r="AG17" s="228">
        <v>23.1</v>
      </c>
      <c r="AH17" s="228">
        <v>-5</v>
      </c>
      <c r="AI17" s="229">
        <v>6.6E-3</v>
      </c>
      <c r="AJ17" s="228">
        <v>34.700000000000003</v>
      </c>
      <c r="AK17" s="228">
        <v>38.299999999999997</v>
      </c>
      <c r="AL17" s="228">
        <v>-3.6</v>
      </c>
      <c r="AM17" s="229">
        <v>1.2699999999999999E-2</v>
      </c>
      <c r="AN17" s="231">
        <v>2754.75</v>
      </c>
      <c r="AO17" s="231">
        <v>2769.38</v>
      </c>
      <c r="AP17" s="228">
        <v>0</v>
      </c>
      <c r="AQ17" s="230">
        <v>28588</v>
      </c>
      <c r="AR17" s="230">
        <v>16843</v>
      </c>
      <c r="AS17" s="230">
        <v>11745</v>
      </c>
      <c r="AT17" s="229">
        <v>0.69730000000000003</v>
      </c>
      <c r="AU17" s="230">
        <v>14506</v>
      </c>
      <c r="AV17" s="230">
        <v>8986</v>
      </c>
      <c r="AW17" s="230">
        <v>5520</v>
      </c>
      <c r="AX17" s="229">
        <v>0.61429999999999996</v>
      </c>
      <c r="AY17" s="230">
        <v>13280</v>
      </c>
      <c r="AZ17" s="230">
        <v>7499</v>
      </c>
      <c r="BA17" s="230">
        <v>5781</v>
      </c>
      <c r="BB17" s="229">
        <v>0.77090000000000003</v>
      </c>
      <c r="BC17" s="228">
        <v>802</v>
      </c>
      <c r="BD17" s="228">
        <v>358</v>
      </c>
      <c r="BE17" s="228">
        <v>444</v>
      </c>
      <c r="BF17" s="229">
        <v>1.2402</v>
      </c>
      <c r="BG17" s="230">
        <v>4557</v>
      </c>
      <c r="BH17" s="230">
        <v>10511</v>
      </c>
      <c r="BI17" s="230">
        <v>-5954</v>
      </c>
      <c r="BJ17" s="229">
        <v>-0.5665</v>
      </c>
      <c r="BK17" s="230">
        <v>3352</v>
      </c>
      <c r="BL17" s="230">
        <v>4798</v>
      </c>
      <c r="BM17" s="230">
        <v>-1446</v>
      </c>
      <c r="BN17" s="229">
        <v>-0.3014</v>
      </c>
      <c r="BO17" s="230">
        <v>36497</v>
      </c>
      <c r="BP17" s="230">
        <v>32152</v>
      </c>
      <c r="BQ17" s="230">
        <v>4345</v>
      </c>
      <c r="BR17" s="229">
        <v>0.1351</v>
      </c>
      <c r="BS17" s="230">
        <v>919493</v>
      </c>
      <c r="BT17" s="230">
        <v>939445</v>
      </c>
      <c r="BU17" s="230">
        <v>-19952</v>
      </c>
      <c r="BV17" s="229">
        <v>-2.12E-2</v>
      </c>
      <c r="BW17" s="230">
        <v>14285500</v>
      </c>
      <c r="BX17" s="230">
        <v>14168500</v>
      </c>
      <c r="BY17" s="230">
        <v>117000</v>
      </c>
      <c r="BZ17" s="229">
        <v>8.3000000000000001E-3</v>
      </c>
      <c r="CA17" s="230">
        <v>6089500</v>
      </c>
      <c r="CB17" s="230">
        <v>9210250</v>
      </c>
      <c r="CC17" s="230">
        <v>-3120750</v>
      </c>
      <c r="CD17" s="229">
        <v>-0.33879999999999999</v>
      </c>
      <c r="CE17" s="230">
        <v>7545000</v>
      </c>
      <c r="CF17" s="230">
        <v>4497000</v>
      </c>
      <c r="CG17" s="230">
        <v>3048000</v>
      </c>
      <c r="CH17" s="229">
        <v>0.67779999999999996</v>
      </c>
      <c r="CI17" s="230">
        <v>651000</v>
      </c>
      <c r="CJ17" s="230">
        <v>461250</v>
      </c>
      <c r="CK17" s="230">
        <v>189750</v>
      </c>
      <c r="CL17" s="229">
        <v>0.41139999999999999</v>
      </c>
      <c r="CM17" s="230">
        <v>1490000</v>
      </c>
      <c r="CN17" s="230">
        <v>1529250</v>
      </c>
      <c r="CO17" s="230">
        <v>-39250</v>
      </c>
      <c r="CP17" s="229">
        <v>-2.5700000000000001E-2</v>
      </c>
      <c r="CQ17" s="230">
        <v>1318500</v>
      </c>
      <c r="CR17" s="230">
        <v>1285500</v>
      </c>
      <c r="CS17" s="230">
        <v>33000</v>
      </c>
      <c r="CT17" s="229">
        <v>2.5700000000000001E-2</v>
      </c>
      <c r="CU17" s="230">
        <v>17094000</v>
      </c>
      <c r="CV17" s="230">
        <v>16983250</v>
      </c>
      <c r="CW17" s="230">
        <v>110750</v>
      </c>
      <c r="CX17" s="229">
        <v>6.4999999999999997E-3</v>
      </c>
      <c r="CY17" s="228">
        <v>27.25</v>
      </c>
      <c r="CZ17" s="228">
        <v>24.37</v>
      </c>
      <c r="DA17" s="228">
        <v>2.88</v>
      </c>
      <c r="DB17" s="228">
        <v>2.88</v>
      </c>
      <c r="DC17" s="228">
        <v>28.24</v>
      </c>
      <c r="DD17" s="228">
        <v>28.22</v>
      </c>
      <c r="DE17" s="228">
        <v>-0.99</v>
      </c>
      <c r="DF17" s="228">
        <v>0.02</v>
      </c>
      <c r="DG17" s="228">
        <v>27.42</v>
      </c>
      <c r="DH17" s="228">
        <v>22.66</v>
      </c>
      <c r="DI17" s="228">
        <v>4.76</v>
      </c>
      <c r="DJ17" s="228">
        <v>4.76</v>
      </c>
      <c r="DK17" s="228">
        <v>27.11</v>
      </c>
      <c r="DL17" s="228">
        <v>28.12</v>
      </c>
      <c r="DM17" s="228">
        <v>-1.01</v>
      </c>
      <c r="DN17" s="228">
        <v>-1.01</v>
      </c>
      <c r="DO17" s="228">
        <v>0.88</v>
      </c>
      <c r="DP17" s="228">
        <v>0.84</v>
      </c>
      <c r="DQ17" s="228">
        <v>0.04</v>
      </c>
      <c r="DR17" s="229">
        <v>4.7600000000000003E-2</v>
      </c>
      <c r="DS17" s="231">
        <v>2800</v>
      </c>
      <c r="DT17" s="231">
        <v>2700</v>
      </c>
      <c r="DU17" s="228">
        <v>0.74</v>
      </c>
      <c r="DV17" s="228">
        <v>0.46</v>
      </c>
      <c r="DW17" s="228">
        <v>0.28000000000000003</v>
      </c>
      <c r="DX17" s="229">
        <v>0.60870000000000002</v>
      </c>
      <c r="DY17" s="229">
        <v>0.57369999999999999</v>
      </c>
      <c r="DZ17" s="230">
        <v>4958250</v>
      </c>
      <c r="EA17" s="229">
        <v>5.1999999999999998E-3</v>
      </c>
      <c r="EB17" s="229">
        <v>0.57369999999999999</v>
      </c>
      <c r="EC17" s="228">
        <v>14.63</v>
      </c>
      <c r="ED17" s="229">
        <v>5.3E-3</v>
      </c>
      <c r="EE17" s="230">
        <v>557782</v>
      </c>
      <c r="EF17" s="230">
        <v>539407</v>
      </c>
      <c r="EG17" s="229">
        <v>3.4099999999999998E-2</v>
      </c>
      <c r="EH17" s="229">
        <v>0.60660000000000003</v>
      </c>
      <c r="EI17" s="231">
        <v>32210</v>
      </c>
      <c r="EJ17" s="231">
        <v>22976.65</v>
      </c>
      <c r="EK17" s="231">
        <v>197442.53</v>
      </c>
      <c r="EL17" s="231">
        <v>9897</v>
      </c>
      <c r="EM17" s="231">
        <v>252629.18</v>
      </c>
      <c r="EN17" s="231">
        <v>225432.77</v>
      </c>
      <c r="EO17" s="231">
        <v>27196.41</v>
      </c>
      <c r="EP17" s="229">
        <v>0.1206</v>
      </c>
      <c r="EQ17" s="231">
        <v>42037</v>
      </c>
      <c r="ER17" s="231">
        <v>34315</v>
      </c>
      <c r="ES17" s="231">
        <v>392537</v>
      </c>
      <c r="ET17" s="231">
        <v>38401443</v>
      </c>
      <c r="EU17" s="231">
        <v>468889</v>
      </c>
      <c r="EV17" s="231">
        <v>471938</v>
      </c>
      <c r="EW17" s="231">
        <v>-3049</v>
      </c>
      <c r="EX17" s="229">
        <v>-6.4999999999999997E-3</v>
      </c>
      <c r="EY17" s="229">
        <v>0.4451</v>
      </c>
    </row>
    <row r="18" spans="1:155" ht="17.25" thickBot="1" x14ac:dyDescent="0.3">
      <c r="A18" s="226">
        <v>46135</v>
      </c>
      <c r="B18" s="227" t="s">
        <v>221</v>
      </c>
      <c r="C18" s="227" t="s">
        <v>222</v>
      </c>
      <c r="D18" s="231">
        <v>1247.9000000000001</v>
      </c>
      <c r="E18" s="231">
        <v>1264.5</v>
      </c>
      <c r="F18" s="228">
        <v>-16.600000000000001</v>
      </c>
      <c r="G18" s="229">
        <v>-1.3100000000000001E-2</v>
      </c>
      <c r="H18" s="231">
        <v>1277.5999999999999</v>
      </c>
      <c r="I18" s="231">
        <v>1285.3</v>
      </c>
      <c r="J18" s="228">
        <v>-7.7</v>
      </c>
      <c r="K18" s="229">
        <v>-6.0000000000000001E-3</v>
      </c>
      <c r="L18" s="231">
        <v>1247.9000000000001</v>
      </c>
      <c r="M18" s="231">
        <v>1264.5</v>
      </c>
      <c r="N18" s="228">
        <v>-16.600000000000001</v>
      </c>
      <c r="O18" s="229">
        <v>-1.3100000000000001E-2</v>
      </c>
      <c r="P18" s="231">
        <v>1231.2</v>
      </c>
      <c r="Q18" s="231">
        <v>1255.0999999999999</v>
      </c>
      <c r="R18" s="228">
        <v>-23.9</v>
      </c>
      <c r="S18" s="229">
        <v>-1.9E-2</v>
      </c>
      <c r="T18" s="231">
        <v>1225.5999999999999</v>
      </c>
      <c r="U18" s="231">
        <v>1257.4000000000001</v>
      </c>
      <c r="V18" s="228">
        <v>-31.8</v>
      </c>
      <c r="W18" s="229">
        <v>-2.53E-2</v>
      </c>
      <c r="X18" s="228">
        <v>-29.7</v>
      </c>
      <c r="Y18" s="228">
        <v>-20.8</v>
      </c>
      <c r="Z18" s="228">
        <v>-8.9</v>
      </c>
      <c r="AA18" s="229">
        <v>-2.3199999999999998E-2</v>
      </c>
      <c r="AB18" s="228">
        <v>-29.7</v>
      </c>
      <c r="AC18" s="228">
        <v>-20.8</v>
      </c>
      <c r="AD18" s="228">
        <v>-8.9</v>
      </c>
      <c r="AE18" s="229">
        <v>-2.3199999999999998E-2</v>
      </c>
      <c r="AF18" s="228">
        <v>-46.4</v>
      </c>
      <c r="AG18" s="228">
        <v>-30.2</v>
      </c>
      <c r="AH18" s="228">
        <v>-16.2</v>
      </c>
      <c r="AI18" s="229">
        <v>-3.6299999999999999E-2</v>
      </c>
      <c r="AJ18" s="228">
        <v>-52</v>
      </c>
      <c r="AK18" s="228">
        <v>-27.9</v>
      </c>
      <c r="AL18" s="228">
        <v>-24.1</v>
      </c>
      <c r="AM18" s="229">
        <v>-4.07E-2</v>
      </c>
      <c r="AN18" s="231">
        <v>1250.9000000000001</v>
      </c>
      <c r="AO18" s="231">
        <v>1234.58</v>
      </c>
      <c r="AP18" s="228">
        <v>0</v>
      </c>
      <c r="AQ18" s="230">
        <v>105394</v>
      </c>
      <c r="AR18" s="230">
        <v>121953</v>
      </c>
      <c r="AS18" s="230">
        <v>-16559</v>
      </c>
      <c r="AT18" s="229">
        <v>-0.1358</v>
      </c>
      <c r="AU18" s="230">
        <v>50655</v>
      </c>
      <c r="AV18" s="230">
        <v>79406</v>
      </c>
      <c r="AW18" s="230">
        <v>-28751</v>
      </c>
      <c r="AX18" s="229">
        <v>-0.36209999999999998</v>
      </c>
      <c r="AY18" s="230">
        <v>52775</v>
      </c>
      <c r="AZ18" s="230">
        <v>39975</v>
      </c>
      <c r="BA18" s="230">
        <v>12800</v>
      </c>
      <c r="BB18" s="229">
        <v>0.32019999999999998</v>
      </c>
      <c r="BC18" s="230">
        <v>1964</v>
      </c>
      <c r="BD18" s="230">
        <v>2572</v>
      </c>
      <c r="BE18" s="228">
        <v>-608</v>
      </c>
      <c r="BF18" s="229">
        <v>-0.2364</v>
      </c>
      <c r="BG18" s="230">
        <v>210712</v>
      </c>
      <c r="BH18" s="230">
        <v>442270</v>
      </c>
      <c r="BI18" s="230">
        <v>-231558</v>
      </c>
      <c r="BJ18" s="229">
        <v>-0.52359999999999995</v>
      </c>
      <c r="BK18" s="230">
        <v>77292</v>
      </c>
      <c r="BL18" s="230">
        <v>282143</v>
      </c>
      <c r="BM18" s="230">
        <v>-204851</v>
      </c>
      <c r="BN18" s="229">
        <v>-0.72609999999999997</v>
      </c>
      <c r="BO18" s="230">
        <v>393398</v>
      </c>
      <c r="BP18" s="230">
        <v>846366</v>
      </c>
      <c r="BQ18" s="230">
        <v>-452968</v>
      </c>
      <c r="BR18" s="229">
        <v>-0.53520000000000001</v>
      </c>
      <c r="BS18" s="230">
        <v>8790348</v>
      </c>
      <c r="BT18" s="230">
        <v>35017097</v>
      </c>
      <c r="BU18" s="230">
        <v>-26226749</v>
      </c>
      <c r="BV18" s="229">
        <v>-0.749</v>
      </c>
      <c r="BW18" s="230">
        <v>48702150</v>
      </c>
      <c r="BX18" s="230">
        <v>51966250</v>
      </c>
      <c r="BY18" s="230">
        <v>-3264100</v>
      </c>
      <c r="BZ18" s="229">
        <v>-6.2799999999999995E-2</v>
      </c>
      <c r="CA18" s="230">
        <v>22625750</v>
      </c>
      <c r="CB18" s="230">
        <v>35454650</v>
      </c>
      <c r="CC18" s="230">
        <v>-12828900</v>
      </c>
      <c r="CD18" s="229">
        <v>-0.36180000000000001</v>
      </c>
      <c r="CE18" s="230">
        <v>24930850</v>
      </c>
      <c r="CF18" s="230">
        <v>15700650</v>
      </c>
      <c r="CG18" s="230">
        <v>9230200</v>
      </c>
      <c r="CH18" s="229">
        <v>0.58789999999999998</v>
      </c>
      <c r="CI18" s="230">
        <v>1145550</v>
      </c>
      <c r="CJ18" s="230">
        <v>810950</v>
      </c>
      <c r="CK18" s="230">
        <v>334600</v>
      </c>
      <c r="CL18" s="229">
        <v>0.41260000000000002</v>
      </c>
      <c r="CM18" s="230">
        <v>39749500</v>
      </c>
      <c r="CN18" s="230">
        <v>37766400</v>
      </c>
      <c r="CO18" s="230">
        <v>1983100</v>
      </c>
      <c r="CP18" s="229">
        <v>5.2499999999999998E-2</v>
      </c>
      <c r="CQ18" s="230">
        <v>17385200</v>
      </c>
      <c r="CR18" s="230">
        <v>16535400</v>
      </c>
      <c r="CS18" s="230">
        <v>849800</v>
      </c>
      <c r="CT18" s="229">
        <v>5.1400000000000001E-2</v>
      </c>
      <c r="CU18" s="230">
        <v>105836850</v>
      </c>
      <c r="CV18" s="230">
        <v>106268050</v>
      </c>
      <c r="CW18" s="230">
        <v>-431200</v>
      </c>
      <c r="CX18" s="229">
        <v>-4.1000000000000003E-3</v>
      </c>
      <c r="CY18" s="228">
        <v>33.42</v>
      </c>
      <c r="CZ18" s="228">
        <v>37.950000000000003</v>
      </c>
      <c r="DA18" s="228">
        <v>-4.53</v>
      </c>
      <c r="DB18" s="228">
        <v>-4.53</v>
      </c>
      <c r="DC18" s="228">
        <v>32.950000000000003</v>
      </c>
      <c r="DD18" s="228">
        <v>33.020000000000003</v>
      </c>
      <c r="DE18" s="228">
        <v>0.47</v>
      </c>
      <c r="DF18" s="228">
        <v>-7.0000000000000007E-2</v>
      </c>
      <c r="DG18" s="228">
        <v>33.78</v>
      </c>
      <c r="DH18" s="228">
        <v>39.549999999999997</v>
      </c>
      <c r="DI18" s="228">
        <v>-5.77</v>
      </c>
      <c r="DJ18" s="228">
        <v>-5.77</v>
      </c>
      <c r="DK18" s="228">
        <v>32.54</v>
      </c>
      <c r="DL18" s="228">
        <v>35.450000000000003</v>
      </c>
      <c r="DM18" s="228">
        <v>-2.91</v>
      </c>
      <c r="DN18" s="228">
        <v>-2.91</v>
      </c>
      <c r="DO18" s="228">
        <v>0.44</v>
      </c>
      <c r="DP18" s="228">
        <v>0.44</v>
      </c>
      <c r="DQ18" s="228">
        <v>0</v>
      </c>
      <c r="DR18" s="229">
        <v>0</v>
      </c>
      <c r="DS18" s="231">
        <v>1300</v>
      </c>
      <c r="DT18" s="231">
        <v>1200</v>
      </c>
      <c r="DU18" s="228">
        <v>0.37</v>
      </c>
      <c r="DV18" s="228">
        <v>0.64</v>
      </c>
      <c r="DW18" s="228">
        <v>-0.27</v>
      </c>
      <c r="DX18" s="229">
        <v>-0.4219</v>
      </c>
      <c r="DY18" s="229">
        <v>0.53539999999999999</v>
      </c>
      <c r="DZ18" s="230">
        <v>16511600</v>
      </c>
      <c r="EA18" s="229">
        <v>-1.34E-2</v>
      </c>
      <c r="EB18" s="229">
        <v>0.53539999999999999</v>
      </c>
      <c r="EC18" s="228">
        <v>-16.32</v>
      </c>
      <c r="ED18" s="229">
        <v>-1.2999999999999999E-2</v>
      </c>
      <c r="EE18" s="230">
        <v>4232838</v>
      </c>
      <c r="EF18" s="230">
        <v>15901185</v>
      </c>
      <c r="EG18" s="229">
        <v>-0.73380000000000001</v>
      </c>
      <c r="EH18" s="229">
        <v>0.48149999999999998</v>
      </c>
      <c r="EI18" s="231">
        <v>980871.5</v>
      </c>
      <c r="EJ18" s="231">
        <v>341063.47</v>
      </c>
      <c r="EK18" s="231">
        <v>458282.96</v>
      </c>
      <c r="EL18" s="231">
        <v>42899</v>
      </c>
      <c r="EM18" s="231">
        <v>1780217.93</v>
      </c>
      <c r="EN18" s="231">
        <v>3951786.16</v>
      </c>
      <c r="EO18" s="231">
        <v>-2171568.23</v>
      </c>
      <c r="EP18" s="229">
        <v>-0.54949999999999999</v>
      </c>
      <c r="EQ18" s="231">
        <v>539603</v>
      </c>
      <c r="ER18" s="231">
        <v>221424</v>
      </c>
      <c r="ES18" s="231">
        <v>603335</v>
      </c>
      <c r="ET18" s="231">
        <v>145140505</v>
      </c>
      <c r="EU18" s="231">
        <v>1364362</v>
      </c>
      <c r="EV18" s="231">
        <v>1384462</v>
      </c>
      <c r="EW18" s="231">
        <v>-20100</v>
      </c>
      <c r="EX18" s="229">
        <v>-1.4500000000000001E-2</v>
      </c>
      <c r="EY18" s="229">
        <v>0.72919999999999996</v>
      </c>
    </row>
    <row r="19" spans="1:155" ht="17.25" thickBot="1" x14ac:dyDescent="0.3">
      <c r="A19" s="226">
        <v>46135</v>
      </c>
      <c r="B19" s="227" t="s">
        <v>172</v>
      </c>
      <c r="C19" s="227" t="s">
        <v>224</v>
      </c>
      <c r="D19" s="228">
        <v>784.45</v>
      </c>
      <c r="E19" s="228">
        <v>800</v>
      </c>
      <c r="F19" s="228">
        <v>-15.55</v>
      </c>
      <c r="G19" s="229">
        <v>-1.9400000000000001E-2</v>
      </c>
      <c r="H19" s="228">
        <v>784.35</v>
      </c>
      <c r="I19" s="228">
        <v>799.9</v>
      </c>
      <c r="J19" s="228">
        <v>-15.55</v>
      </c>
      <c r="K19" s="229">
        <v>-1.9400000000000001E-2</v>
      </c>
      <c r="L19" s="228">
        <v>784.45</v>
      </c>
      <c r="M19" s="228">
        <v>800</v>
      </c>
      <c r="N19" s="228">
        <v>-15.55</v>
      </c>
      <c r="O19" s="229">
        <v>-1.9400000000000001E-2</v>
      </c>
      <c r="P19" s="228">
        <v>788.75</v>
      </c>
      <c r="Q19" s="228">
        <v>804.6</v>
      </c>
      <c r="R19" s="228">
        <v>-15.85</v>
      </c>
      <c r="S19" s="229">
        <v>-1.9699999999999999E-2</v>
      </c>
      <c r="T19" s="228">
        <v>780.55</v>
      </c>
      <c r="U19" s="228">
        <v>796.3</v>
      </c>
      <c r="V19" s="228">
        <v>-15.75</v>
      </c>
      <c r="W19" s="229">
        <v>-1.9800000000000002E-2</v>
      </c>
      <c r="X19" s="228">
        <v>0.1</v>
      </c>
      <c r="Y19" s="228">
        <v>0.1</v>
      </c>
      <c r="Z19" s="228">
        <v>0</v>
      </c>
      <c r="AA19" s="229">
        <v>1E-4</v>
      </c>
      <c r="AB19" s="228">
        <v>0.1</v>
      </c>
      <c r="AC19" s="228">
        <v>0.1</v>
      </c>
      <c r="AD19" s="228">
        <v>0</v>
      </c>
      <c r="AE19" s="229">
        <v>1E-4</v>
      </c>
      <c r="AF19" s="228">
        <v>4.4000000000000004</v>
      </c>
      <c r="AG19" s="228">
        <v>4.7</v>
      </c>
      <c r="AH19" s="228">
        <v>-0.3</v>
      </c>
      <c r="AI19" s="229">
        <v>5.5999999999999999E-3</v>
      </c>
      <c r="AJ19" s="228">
        <v>-3.8</v>
      </c>
      <c r="AK19" s="228">
        <v>-3.6</v>
      </c>
      <c r="AL19" s="228">
        <v>-0.2</v>
      </c>
      <c r="AM19" s="229">
        <v>-4.7999999999999996E-3</v>
      </c>
      <c r="AN19" s="228">
        <v>788.17</v>
      </c>
      <c r="AO19" s="228">
        <v>792.63</v>
      </c>
      <c r="AP19" s="228">
        <v>0</v>
      </c>
      <c r="AQ19" s="230">
        <v>243388</v>
      </c>
      <c r="AR19" s="230">
        <v>105630</v>
      </c>
      <c r="AS19" s="230">
        <v>137758</v>
      </c>
      <c r="AT19" s="229">
        <v>1.3042</v>
      </c>
      <c r="AU19" s="230">
        <v>122931</v>
      </c>
      <c r="AV19" s="230">
        <v>60480</v>
      </c>
      <c r="AW19" s="230">
        <v>62451</v>
      </c>
      <c r="AX19" s="229">
        <v>1.0326</v>
      </c>
      <c r="AY19" s="230">
        <v>101513</v>
      </c>
      <c r="AZ19" s="230">
        <v>30198</v>
      </c>
      <c r="BA19" s="230">
        <v>71315</v>
      </c>
      <c r="BB19" s="229">
        <v>2.3616000000000001</v>
      </c>
      <c r="BC19" s="230">
        <v>18944</v>
      </c>
      <c r="BD19" s="230">
        <v>14952</v>
      </c>
      <c r="BE19" s="230">
        <v>3992</v>
      </c>
      <c r="BF19" s="229">
        <v>0.26700000000000002</v>
      </c>
      <c r="BG19" s="230">
        <v>257267</v>
      </c>
      <c r="BH19" s="230">
        <v>199580</v>
      </c>
      <c r="BI19" s="230">
        <v>57687</v>
      </c>
      <c r="BJ19" s="229">
        <v>0.28899999999999998</v>
      </c>
      <c r="BK19" s="230">
        <v>150922</v>
      </c>
      <c r="BL19" s="230">
        <v>130600</v>
      </c>
      <c r="BM19" s="230">
        <v>20322</v>
      </c>
      <c r="BN19" s="229">
        <v>0.15559999999999999</v>
      </c>
      <c r="BO19" s="230">
        <v>651577</v>
      </c>
      <c r="BP19" s="230">
        <v>435810</v>
      </c>
      <c r="BQ19" s="230">
        <v>215767</v>
      </c>
      <c r="BR19" s="229">
        <v>0.49509999999999998</v>
      </c>
      <c r="BS19" s="230">
        <v>41366901</v>
      </c>
      <c r="BT19" s="230">
        <v>24823211</v>
      </c>
      <c r="BU19" s="230">
        <v>16543690</v>
      </c>
      <c r="BV19" s="229">
        <v>0.66649999999999998</v>
      </c>
      <c r="BW19" s="230">
        <v>330663850</v>
      </c>
      <c r="BX19" s="230">
        <v>324209600</v>
      </c>
      <c r="BY19" s="230">
        <v>6454250</v>
      </c>
      <c r="BZ19" s="229">
        <v>1.9900000000000001E-2</v>
      </c>
      <c r="CA19" s="230">
        <v>166111550</v>
      </c>
      <c r="CB19" s="230">
        <v>219327900</v>
      </c>
      <c r="CC19" s="230">
        <v>-53216350</v>
      </c>
      <c r="CD19" s="229">
        <v>-0.24260000000000001</v>
      </c>
      <c r="CE19" s="230">
        <v>115642450</v>
      </c>
      <c r="CF19" s="230">
        <v>65913100</v>
      </c>
      <c r="CG19" s="230">
        <v>49729350</v>
      </c>
      <c r="CH19" s="229">
        <v>0.75449999999999995</v>
      </c>
      <c r="CI19" s="230">
        <v>48909850</v>
      </c>
      <c r="CJ19" s="230">
        <v>38968600</v>
      </c>
      <c r="CK19" s="230">
        <v>9941250</v>
      </c>
      <c r="CL19" s="229">
        <v>0.25509999999999999</v>
      </c>
      <c r="CM19" s="230">
        <v>105068150</v>
      </c>
      <c r="CN19" s="230">
        <v>95838050</v>
      </c>
      <c r="CO19" s="230">
        <v>9230100</v>
      </c>
      <c r="CP19" s="229">
        <v>9.6299999999999997E-2</v>
      </c>
      <c r="CQ19" s="230">
        <v>53672850</v>
      </c>
      <c r="CR19" s="230">
        <v>53365400</v>
      </c>
      <c r="CS19" s="230">
        <v>307450</v>
      </c>
      <c r="CT19" s="229">
        <v>5.7999999999999996E-3</v>
      </c>
      <c r="CU19" s="230">
        <v>489404850</v>
      </c>
      <c r="CV19" s="230">
        <v>473413050</v>
      </c>
      <c r="CW19" s="230">
        <v>15991800</v>
      </c>
      <c r="CX19" s="229">
        <v>3.3799999999999997E-2</v>
      </c>
      <c r="CY19" s="228">
        <v>27.25</v>
      </c>
      <c r="CZ19" s="228">
        <v>26.79</v>
      </c>
      <c r="DA19" s="228">
        <v>0.46</v>
      </c>
      <c r="DB19" s="228">
        <v>0.46</v>
      </c>
      <c r="DC19" s="228">
        <v>25.47</v>
      </c>
      <c r="DD19" s="228">
        <v>25.4</v>
      </c>
      <c r="DE19" s="228">
        <v>1.78</v>
      </c>
      <c r="DF19" s="228">
        <v>7.0000000000000007E-2</v>
      </c>
      <c r="DG19" s="228">
        <v>27.51</v>
      </c>
      <c r="DH19" s="228">
        <v>27.33</v>
      </c>
      <c r="DI19" s="228">
        <v>0.18</v>
      </c>
      <c r="DJ19" s="228">
        <v>0.18</v>
      </c>
      <c r="DK19" s="228">
        <v>26.77</v>
      </c>
      <c r="DL19" s="228">
        <v>25.96</v>
      </c>
      <c r="DM19" s="228">
        <v>0.81</v>
      </c>
      <c r="DN19" s="228">
        <v>0.81</v>
      </c>
      <c r="DO19" s="228">
        <v>0.51</v>
      </c>
      <c r="DP19" s="228">
        <v>0.56000000000000005</v>
      </c>
      <c r="DQ19" s="228">
        <v>-0.05</v>
      </c>
      <c r="DR19" s="229">
        <v>-8.9300000000000004E-2</v>
      </c>
      <c r="DS19" s="228">
        <v>800</v>
      </c>
      <c r="DT19" s="228">
        <v>800</v>
      </c>
      <c r="DU19" s="228">
        <v>0.59</v>
      </c>
      <c r="DV19" s="228">
        <v>0.65</v>
      </c>
      <c r="DW19" s="228">
        <v>-0.06</v>
      </c>
      <c r="DX19" s="229">
        <v>-9.2299999999999993E-2</v>
      </c>
      <c r="DY19" s="229">
        <v>0.49759999999999999</v>
      </c>
      <c r="DZ19" s="230">
        <v>104881700</v>
      </c>
      <c r="EA19" s="229">
        <v>5.4999999999999997E-3</v>
      </c>
      <c r="EB19" s="229">
        <v>0.49759999999999999</v>
      </c>
      <c r="EC19" s="228">
        <v>4.46</v>
      </c>
      <c r="ED19" s="229">
        <v>5.7000000000000002E-3</v>
      </c>
      <c r="EE19" s="230">
        <v>22753657</v>
      </c>
      <c r="EF19" s="230">
        <v>15591957</v>
      </c>
      <c r="EG19" s="229">
        <v>0.45929999999999999</v>
      </c>
      <c r="EH19" s="229">
        <v>0.55000000000000004</v>
      </c>
      <c r="EI19" s="231">
        <v>1164655.07</v>
      </c>
      <c r="EJ19" s="231">
        <v>649210.31000000006</v>
      </c>
      <c r="EK19" s="231">
        <v>1057095.1200000001</v>
      </c>
      <c r="EL19" s="231">
        <v>103865</v>
      </c>
      <c r="EM19" s="231">
        <v>2870960.5</v>
      </c>
      <c r="EN19" s="231">
        <v>1957548.06</v>
      </c>
      <c r="EO19" s="231">
        <v>913412.44</v>
      </c>
      <c r="EP19" s="229">
        <v>0.46660000000000001</v>
      </c>
      <c r="EQ19" s="231">
        <v>874203</v>
      </c>
      <c r="ER19" s="231">
        <v>417903</v>
      </c>
      <c r="ES19" s="231">
        <v>2596958</v>
      </c>
      <c r="ET19" s="231">
        <v>1496665645</v>
      </c>
      <c r="EU19" s="231">
        <v>3889063</v>
      </c>
      <c r="EV19" s="231">
        <v>3813347</v>
      </c>
      <c r="EW19" s="231">
        <v>75716</v>
      </c>
      <c r="EX19" s="229">
        <v>1.9900000000000001E-2</v>
      </c>
      <c r="EY19" s="229">
        <v>0.32700000000000001</v>
      </c>
    </row>
    <row r="20" spans="1:155" ht="17.25" thickBot="1" x14ac:dyDescent="0.3">
      <c r="A20" s="226">
        <v>46135</v>
      </c>
      <c r="B20" s="227" t="s">
        <v>175</v>
      </c>
      <c r="C20" s="227" t="s">
        <v>225</v>
      </c>
      <c r="D20" s="228">
        <v>598.95000000000005</v>
      </c>
      <c r="E20" s="228">
        <v>604.70000000000005</v>
      </c>
      <c r="F20" s="228">
        <v>-5.75</v>
      </c>
      <c r="G20" s="229">
        <v>-9.4999999999999998E-3</v>
      </c>
      <c r="H20" s="228">
        <v>598.65</v>
      </c>
      <c r="I20" s="228">
        <v>604.04999999999995</v>
      </c>
      <c r="J20" s="228">
        <v>-5.4</v>
      </c>
      <c r="K20" s="229">
        <v>-8.8999999999999999E-3</v>
      </c>
      <c r="L20" s="228">
        <v>598.95000000000005</v>
      </c>
      <c r="M20" s="228">
        <v>604.70000000000005</v>
      </c>
      <c r="N20" s="228">
        <v>-5.75</v>
      </c>
      <c r="O20" s="229">
        <v>-9.4999999999999998E-3</v>
      </c>
      <c r="P20" s="228">
        <v>602.35</v>
      </c>
      <c r="Q20" s="228">
        <v>607.95000000000005</v>
      </c>
      <c r="R20" s="228">
        <v>-5.6</v>
      </c>
      <c r="S20" s="229">
        <v>-9.1999999999999998E-3</v>
      </c>
      <c r="T20" s="228">
        <v>603.5</v>
      </c>
      <c r="U20" s="228">
        <v>610.1</v>
      </c>
      <c r="V20" s="228">
        <v>-6.6</v>
      </c>
      <c r="W20" s="229">
        <v>-1.0800000000000001E-2</v>
      </c>
      <c r="X20" s="228">
        <v>0.3</v>
      </c>
      <c r="Y20" s="228">
        <v>0.65</v>
      </c>
      <c r="Z20" s="228">
        <v>-0.35</v>
      </c>
      <c r="AA20" s="229">
        <v>5.0000000000000001E-4</v>
      </c>
      <c r="AB20" s="228">
        <v>0.3</v>
      </c>
      <c r="AC20" s="228">
        <v>0.65</v>
      </c>
      <c r="AD20" s="228">
        <v>-0.35</v>
      </c>
      <c r="AE20" s="229">
        <v>5.0000000000000001E-4</v>
      </c>
      <c r="AF20" s="228">
        <v>3.7</v>
      </c>
      <c r="AG20" s="228">
        <v>3.9</v>
      </c>
      <c r="AH20" s="228">
        <v>-0.2</v>
      </c>
      <c r="AI20" s="229">
        <v>6.1999999999999998E-3</v>
      </c>
      <c r="AJ20" s="228">
        <v>4.8499999999999996</v>
      </c>
      <c r="AK20" s="228">
        <v>6.05</v>
      </c>
      <c r="AL20" s="228">
        <v>-1.2</v>
      </c>
      <c r="AM20" s="229">
        <v>8.0999999999999996E-3</v>
      </c>
      <c r="AN20" s="228">
        <v>601.99</v>
      </c>
      <c r="AO20" s="228">
        <v>605.30999999999995</v>
      </c>
      <c r="AP20" s="228">
        <v>0</v>
      </c>
      <c r="AQ20" s="230">
        <v>16016</v>
      </c>
      <c r="AR20" s="230">
        <v>10894</v>
      </c>
      <c r="AS20" s="230">
        <v>5122</v>
      </c>
      <c r="AT20" s="229">
        <v>0.47020000000000001</v>
      </c>
      <c r="AU20" s="230">
        <v>8072</v>
      </c>
      <c r="AV20" s="230">
        <v>5836</v>
      </c>
      <c r="AW20" s="230">
        <v>2236</v>
      </c>
      <c r="AX20" s="229">
        <v>0.3831</v>
      </c>
      <c r="AY20" s="230">
        <v>7222</v>
      </c>
      <c r="AZ20" s="230">
        <v>2939</v>
      </c>
      <c r="BA20" s="230">
        <v>4283</v>
      </c>
      <c r="BB20" s="229">
        <v>1.4573</v>
      </c>
      <c r="BC20" s="228">
        <v>722</v>
      </c>
      <c r="BD20" s="230">
        <v>2119</v>
      </c>
      <c r="BE20" s="230">
        <v>-1397</v>
      </c>
      <c r="BF20" s="229">
        <v>-0.6593</v>
      </c>
      <c r="BG20" s="230">
        <v>27685</v>
      </c>
      <c r="BH20" s="230">
        <v>23734</v>
      </c>
      <c r="BI20" s="230">
        <v>3951</v>
      </c>
      <c r="BJ20" s="229">
        <v>0.16650000000000001</v>
      </c>
      <c r="BK20" s="230">
        <v>12302</v>
      </c>
      <c r="BL20" s="230">
        <v>10022</v>
      </c>
      <c r="BM20" s="230">
        <v>2280</v>
      </c>
      <c r="BN20" s="229">
        <v>0.22750000000000001</v>
      </c>
      <c r="BO20" s="230">
        <v>56003</v>
      </c>
      <c r="BP20" s="230">
        <v>44650</v>
      </c>
      <c r="BQ20" s="230">
        <v>11353</v>
      </c>
      <c r="BR20" s="229">
        <v>0.25430000000000003</v>
      </c>
      <c r="BS20" s="230">
        <v>4695367</v>
      </c>
      <c r="BT20" s="230">
        <v>4272762</v>
      </c>
      <c r="BU20" s="230">
        <v>422605</v>
      </c>
      <c r="BV20" s="229">
        <v>9.8900000000000002E-2</v>
      </c>
      <c r="BW20" s="230">
        <v>46142800</v>
      </c>
      <c r="BX20" s="230">
        <v>45625800</v>
      </c>
      <c r="BY20" s="230">
        <v>517000</v>
      </c>
      <c r="BZ20" s="229">
        <v>1.1299999999999999E-2</v>
      </c>
      <c r="CA20" s="230">
        <v>24825900</v>
      </c>
      <c r="CB20" s="230">
        <v>31270800</v>
      </c>
      <c r="CC20" s="230">
        <v>-6444900</v>
      </c>
      <c r="CD20" s="229">
        <v>-0.20610000000000001</v>
      </c>
      <c r="CE20" s="230">
        <v>17938800</v>
      </c>
      <c r="CF20" s="230">
        <v>11656700</v>
      </c>
      <c r="CG20" s="230">
        <v>6282100</v>
      </c>
      <c r="CH20" s="229">
        <v>0.53890000000000005</v>
      </c>
      <c r="CI20" s="230">
        <v>3378100</v>
      </c>
      <c r="CJ20" s="230">
        <v>2698300</v>
      </c>
      <c r="CK20" s="230">
        <v>679800</v>
      </c>
      <c r="CL20" s="229">
        <v>0.25190000000000001</v>
      </c>
      <c r="CM20" s="230">
        <v>19900100</v>
      </c>
      <c r="CN20" s="230">
        <v>21015500</v>
      </c>
      <c r="CO20" s="230">
        <v>-1115400</v>
      </c>
      <c r="CP20" s="229">
        <v>-5.3100000000000001E-2</v>
      </c>
      <c r="CQ20" s="230">
        <v>11008800</v>
      </c>
      <c r="CR20" s="230">
        <v>11942700</v>
      </c>
      <c r="CS20" s="230">
        <v>-933900</v>
      </c>
      <c r="CT20" s="229">
        <v>-7.8200000000000006E-2</v>
      </c>
      <c r="CU20" s="230">
        <v>77051700</v>
      </c>
      <c r="CV20" s="230">
        <v>78584000</v>
      </c>
      <c r="CW20" s="230">
        <v>-1532300</v>
      </c>
      <c r="CX20" s="229">
        <v>-1.95E-2</v>
      </c>
      <c r="CY20" s="228">
        <v>27.59</v>
      </c>
      <c r="CZ20" s="228">
        <v>28.58</v>
      </c>
      <c r="DA20" s="228">
        <v>-0.99</v>
      </c>
      <c r="DB20" s="228">
        <v>-0.99</v>
      </c>
      <c r="DC20" s="228">
        <v>27.68</v>
      </c>
      <c r="DD20" s="228">
        <v>27.72</v>
      </c>
      <c r="DE20" s="228">
        <v>-0.09</v>
      </c>
      <c r="DF20" s="228">
        <v>-0.04</v>
      </c>
      <c r="DG20" s="228">
        <v>27.67</v>
      </c>
      <c r="DH20" s="228">
        <v>29.41</v>
      </c>
      <c r="DI20" s="228">
        <v>-1.74</v>
      </c>
      <c r="DJ20" s="228">
        <v>-1.74</v>
      </c>
      <c r="DK20" s="228">
        <v>27.31</v>
      </c>
      <c r="DL20" s="228">
        <v>26.63</v>
      </c>
      <c r="DM20" s="228">
        <v>0.68</v>
      </c>
      <c r="DN20" s="228">
        <v>0.68</v>
      </c>
      <c r="DO20" s="228">
        <v>0.55000000000000004</v>
      </c>
      <c r="DP20" s="228">
        <v>0.56999999999999995</v>
      </c>
      <c r="DQ20" s="228">
        <v>-0.02</v>
      </c>
      <c r="DR20" s="229">
        <v>-3.5099999999999999E-2</v>
      </c>
      <c r="DS20" s="228">
        <v>600</v>
      </c>
      <c r="DT20" s="228">
        <v>520</v>
      </c>
      <c r="DU20" s="228">
        <v>0.44</v>
      </c>
      <c r="DV20" s="228">
        <v>0.42</v>
      </c>
      <c r="DW20" s="228">
        <v>0.02</v>
      </c>
      <c r="DX20" s="229">
        <v>4.7600000000000003E-2</v>
      </c>
      <c r="DY20" s="229">
        <v>0.46200000000000002</v>
      </c>
      <c r="DZ20" s="230">
        <v>14355000</v>
      </c>
      <c r="EA20" s="229">
        <v>5.7000000000000002E-3</v>
      </c>
      <c r="EB20" s="229">
        <v>0.46200000000000002</v>
      </c>
      <c r="EC20" s="228">
        <v>3.32</v>
      </c>
      <c r="ED20" s="229">
        <v>5.4999999999999997E-3</v>
      </c>
      <c r="EE20" s="230">
        <v>2653752</v>
      </c>
      <c r="EF20" s="230">
        <v>2788450</v>
      </c>
      <c r="EG20" s="229">
        <v>-4.8300000000000003E-2</v>
      </c>
      <c r="EH20" s="229">
        <v>0.56520000000000004</v>
      </c>
      <c r="EI20" s="231">
        <v>190714.13</v>
      </c>
      <c r="EJ20" s="231">
        <v>82182.259999999995</v>
      </c>
      <c r="EK20" s="231">
        <v>106359.93</v>
      </c>
      <c r="EL20" s="231">
        <v>9513</v>
      </c>
      <c r="EM20" s="231">
        <v>379256.32000000001</v>
      </c>
      <c r="EN20" s="231">
        <v>306886.71999999997</v>
      </c>
      <c r="EO20" s="231">
        <v>72369.600000000006</v>
      </c>
      <c r="EP20" s="229">
        <v>0.23580000000000001</v>
      </c>
      <c r="EQ20" s="231">
        <v>127220</v>
      </c>
      <c r="ER20" s="231">
        <v>64684</v>
      </c>
      <c r="ES20" s="231">
        <v>277136</v>
      </c>
      <c r="ET20" s="231">
        <v>156090005</v>
      </c>
      <c r="EU20" s="231">
        <v>469039</v>
      </c>
      <c r="EV20" s="231">
        <v>481402</v>
      </c>
      <c r="EW20" s="231">
        <v>-12363</v>
      </c>
      <c r="EX20" s="229">
        <v>-2.5700000000000001E-2</v>
      </c>
      <c r="EY20" s="229">
        <v>0.49359999999999998</v>
      </c>
    </row>
    <row r="21" spans="1:155" ht="17.25" thickBot="1" x14ac:dyDescent="0.3">
      <c r="A21" s="226">
        <v>46135</v>
      </c>
      <c r="B21" s="227" t="s">
        <v>227</v>
      </c>
      <c r="C21" s="227" t="s">
        <v>228</v>
      </c>
      <c r="D21" s="231">
        <v>1039.05</v>
      </c>
      <c r="E21" s="231">
        <v>1039.25</v>
      </c>
      <c r="F21" s="228">
        <v>-0.2</v>
      </c>
      <c r="G21" s="229">
        <v>-2.0000000000000001E-4</v>
      </c>
      <c r="H21" s="231">
        <v>1041.3499999999999</v>
      </c>
      <c r="I21" s="231">
        <v>1039.9000000000001</v>
      </c>
      <c r="J21" s="228">
        <v>1.45</v>
      </c>
      <c r="K21" s="229">
        <v>1.4E-3</v>
      </c>
      <c r="L21" s="231">
        <v>1039.05</v>
      </c>
      <c r="M21" s="231">
        <v>1039.25</v>
      </c>
      <c r="N21" s="228">
        <v>-0.2</v>
      </c>
      <c r="O21" s="229">
        <v>-2.0000000000000001E-4</v>
      </c>
      <c r="P21" s="231">
        <v>1045.45</v>
      </c>
      <c r="Q21" s="231">
        <v>1044.9000000000001</v>
      </c>
      <c r="R21" s="228">
        <v>0.55000000000000004</v>
      </c>
      <c r="S21" s="229">
        <v>5.0000000000000001E-4</v>
      </c>
      <c r="T21" s="231">
        <v>1052.3</v>
      </c>
      <c r="U21" s="231">
        <v>1051.8</v>
      </c>
      <c r="V21" s="228">
        <v>0.5</v>
      </c>
      <c r="W21" s="229">
        <v>5.0000000000000001E-4</v>
      </c>
      <c r="X21" s="228">
        <v>-2.2999999999999998</v>
      </c>
      <c r="Y21" s="228">
        <v>-0.65</v>
      </c>
      <c r="Z21" s="228">
        <v>-1.65</v>
      </c>
      <c r="AA21" s="229">
        <v>-2.2000000000000001E-3</v>
      </c>
      <c r="AB21" s="228">
        <v>-2.2999999999999998</v>
      </c>
      <c r="AC21" s="228">
        <v>-0.65</v>
      </c>
      <c r="AD21" s="228">
        <v>-1.65</v>
      </c>
      <c r="AE21" s="229">
        <v>-2.2000000000000001E-3</v>
      </c>
      <c r="AF21" s="228">
        <v>4.0999999999999996</v>
      </c>
      <c r="AG21" s="228">
        <v>5</v>
      </c>
      <c r="AH21" s="228">
        <v>-0.9</v>
      </c>
      <c r="AI21" s="229">
        <v>3.8999999999999998E-3</v>
      </c>
      <c r="AJ21" s="228">
        <v>10.95</v>
      </c>
      <c r="AK21" s="228">
        <v>11.9</v>
      </c>
      <c r="AL21" s="228">
        <v>-0.95</v>
      </c>
      <c r="AM21" s="229">
        <v>1.0500000000000001E-2</v>
      </c>
      <c r="AN21" s="231">
        <v>1039.51</v>
      </c>
      <c r="AO21" s="231">
        <v>1045.8699999999999</v>
      </c>
      <c r="AP21" s="228">
        <v>0</v>
      </c>
      <c r="AQ21" s="230">
        <v>28114</v>
      </c>
      <c r="AR21" s="230">
        <v>12500</v>
      </c>
      <c r="AS21" s="230">
        <v>15614</v>
      </c>
      <c r="AT21" s="229">
        <v>1.2491000000000001</v>
      </c>
      <c r="AU21" s="230">
        <v>14995</v>
      </c>
      <c r="AV21" s="230">
        <v>8039</v>
      </c>
      <c r="AW21" s="230">
        <v>6956</v>
      </c>
      <c r="AX21" s="229">
        <v>0.86529999999999996</v>
      </c>
      <c r="AY21" s="230">
        <v>12948</v>
      </c>
      <c r="AZ21" s="230">
        <v>4256</v>
      </c>
      <c r="BA21" s="230">
        <v>8692</v>
      </c>
      <c r="BB21" s="229">
        <v>2.0423</v>
      </c>
      <c r="BC21" s="228">
        <v>171</v>
      </c>
      <c r="BD21" s="228">
        <v>205</v>
      </c>
      <c r="BE21" s="228">
        <v>-34</v>
      </c>
      <c r="BF21" s="229">
        <v>-0.16589999999999999</v>
      </c>
      <c r="BG21" s="230">
        <v>38185</v>
      </c>
      <c r="BH21" s="230">
        <v>44435</v>
      </c>
      <c r="BI21" s="230">
        <v>-6250</v>
      </c>
      <c r="BJ21" s="229">
        <v>-0.14069999999999999</v>
      </c>
      <c r="BK21" s="230">
        <v>20985</v>
      </c>
      <c r="BL21" s="230">
        <v>20377</v>
      </c>
      <c r="BM21" s="228">
        <v>608</v>
      </c>
      <c r="BN21" s="229">
        <v>2.98E-2</v>
      </c>
      <c r="BO21" s="230">
        <v>87284</v>
      </c>
      <c r="BP21" s="230">
        <v>77312</v>
      </c>
      <c r="BQ21" s="230">
        <v>9972</v>
      </c>
      <c r="BR21" s="229">
        <v>0.129</v>
      </c>
      <c r="BS21" s="230">
        <v>4519950</v>
      </c>
      <c r="BT21" s="230">
        <v>4835434</v>
      </c>
      <c r="BU21" s="230">
        <v>-315484</v>
      </c>
      <c r="BV21" s="229">
        <v>-6.5199999999999994E-2</v>
      </c>
      <c r="BW21" s="230">
        <v>36743000</v>
      </c>
      <c r="BX21" s="230">
        <v>36208200</v>
      </c>
      <c r="BY21" s="230">
        <v>534800</v>
      </c>
      <c r="BZ21" s="229">
        <v>1.4800000000000001E-2</v>
      </c>
      <c r="CA21" s="230">
        <v>19617500</v>
      </c>
      <c r="CB21" s="230">
        <v>26444600</v>
      </c>
      <c r="CC21" s="230">
        <v>-6827100</v>
      </c>
      <c r="CD21" s="229">
        <v>-0.25819999999999999</v>
      </c>
      <c r="CE21" s="230">
        <v>14876400</v>
      </c>
      <c r="CF21" s="230">
        <v>7588000</v>
      </c>
      <c r="CG21" s="230">
        <v>7288400</v>
      </c>
      <c r="CH21" s="229">
        <v>0.96050000000000002</v>
      </c>
      <c r="CI21" s="230">
        <v>2249100</v>
      </c>
      <c r="CJ21" s="230">
        <v>2175600</v>
      </c>
      <c r="CK21" s="230">
        <v>73500</v>
      </c>
      <c r="CL21" s="229">
        <v>3.3799999999999997E-2</v>
      </c>
      <c r="CM21" s="230">
        <v>15260700</v>
      </c>
      <c r="CN21" s="230">
        <v>15175300</v>
      </c>
      <c r="CO21" s="230">
        <v>85400</v>
      </c>
      <c r="CP21" s="229">
        <v>5.5999999999999999E-3</v>
      </c>
      <c r="CQ21" s="230">
        <v>11556300</v>
      </c>
      <c r="CR21" s="230">
        <v>11938500</v>
      </c>
      <c r="CS21" s="230">
        <v>-382200</v>
      </c>
      <c r="CT21" s="229">
        <v>-3.2000000000000001E-2</v>
      </c>
      <c r="CU21" s="230">
        <v>63560000</v>
      </c>
      <c r="CV21" s="230">
        <v>63322000</v>
      </c>
      <c r="CW21" s="230">
        <v>238000</v>
      </c>
      <c r="CX21" s="229">
        <v>3.8E-3</v>
      </c>
      <c r="CY21" s="228">
        <v>35.47</v>
      </c>
      <c r="CZ21" s="228">
        <v>32.15</v>
      </c>
      <c r="DA21" s="228">
        <v>3.32</v>
      </c>
      <c r="DB21" s="228">
        <v>3.32</v>
      </c>
      <c r="DC21" s="228">
        <v>36.44</v>
      </c>
      <c r="DD21" s="228">
        <v>36.53</v>
      </c>
      <c r="DE21" s="228">
        <v>-0.97</v>
      </c>
      <c r="DF21" s="228">
        <v>-0.09</v>
      </c>
      <c r="DG21" s="228">
        <v>35.44</v>
      </c>
      <c r="DH21" s="228">
        <v>31.14</v>
      </c>
      <c r="DI21" s="228">
        <v>4.3</v>
      </c>
      <c r="DJ21" s="228">
        <v>4.3</v>
      </c>
      <c r="DK21" s="228">
        <v>35.549999999999997</v>
      </c>
      <c r="DL21" s="228">
        <v>34.369999999999997</v>
      </c>
      <c r="DM21" s="228">
        <v>1.18</v>
      </c>
      <c r="DN21" s="228">
        <v>1.18</v>
      </c>
      <c r="DO21" s="228">
        <v>0.76</v>
      </c>
      <c r="DP21" s="228">
        <v>0.79</v>
      </c>
      <c r="DQ21" s="228">
        <v>-0.03</v>
      </c>
      <c r="DR21" s="229">
        <v>-3.7999999999999999E-2</v>
      </c>
      <c r="DS21" s="228">
        <v>900</v>
      </c>
      <c r="DT21" s="228">
        <v>900</v>
      </c>
      <c r="DU21" s="228">
        <v>0.55000000000000004</v>
      </c>
      <c r="DV21" s="228">
        <v>0.46</v>
      </c>
      <c r="DW21" s="228">
        <v>0.09</v>
      </c>
      <c r="DX21" s="229">
        <v>0.19570000000000001</v>
      </c>
      <c r="DY21" s="229">
        <v>0.46610000000000001</v>
      </c>
      <c r="DZ21" s="230">
        <v>9763600</v>
      </c>
      <c r="EA21" s="229">
        <v>6.1999999999999998E-3</v>
      </c>
      <c r="EB21" s="229">
        <v>0.46610000000000001</v>
      </c>
      <c r="EC21" s="228">
        <v>6.36</v>
      </c>
      <c r="ED21" s="229">
        <v>6.1000000000000004E-3</v>
      </c>
      <c r="EE21" s="230">
        <v>2603501</v>
      </c>
      <c r="EF21" s="230">
        <v>2673349</v>
      </c>
      <c r="EG21" s="229">
        <v>-2.6100000000000002E-2</v>
      </c>
      <c r="EH21" s="229">
        <v>0.57599999999999996</v>
      </c>
      <c r="EI21" s="231">
        <v>287424.62</v>
      </c>
      <c r="EJ21" s="231">
        <v>148705.15</v>
      </c>
      <c r="EK21" s="231">
        <v>205164.2</v>
      </c>
      <c r="EL21" s="231">
        <v>11150</v>
      </c>
      <c r="EM21" s="231">
        <v>641293.97</v>
      </c>
      <c r="EN21" s="231">
        <v>565039.85</v>
      </c>
      <c r="EO21" s="231">
        <v>76254.12</v>
      </c>
      <c r="EP21" s="229">
        <v>0.13500000000000001</v>
      </c>
      <c r="EQ21" s="231">
        <v>154175</v>
      </c>
      <c r="ER21" s="231">
        <v>109882</v>
      </c>
      <c r="ES21" s="231">
        <v>383028</v>
      </c>
      <c r="ET21" s="231">
        <v>218611634</v>
      </c>
      <c r="EU21" s="231">
        <v>647086</v>
      </c>
      <c r="EV21" s="231">
        <v>643190</v>
      </c>
      <c r="EW21" s="231">
        <v>3896</v>
      </c>
      <c r="EX21" s="229">
        <v>6.1000000000000004E-3</v>
      </c>
      <c r="EY21" s="229">
        <v>0.29070000000000001</v>
      </c>
    </row>
    <row r="22" spans="1:155" ht="17.25" thickBot="1" x14ac:dyDescent="0.3">
      <c r="A22" s="226">
        <v>46135</v>
      </c>
      <c r="B22" s="227" t="s">
        <v>168</v>
      </c>
      <c r="C22" s="227" t="s">
        <v>230</v>
      </c>
      <c r="D22" s="231">
        <v>2364.4</v>
      </c>
      <c r="E22" s="231">
        <v>2366.8000000000002</v>
      </c>
      <c r="F22" s="228">
        <v>-2.4</v>
      </c>
      <c r="G22" s="229">
        <v>-1E-3</v>
      </c>
      <c r="H22" s="231">
        <v>2366.4</v>
      </c>
      <c r="I22" s="231">
        <v>2368.8000000000002</v>
      </c>
      <c r="J22" s="228">
        <v>-2.4</v>
      </c>
      <c r="K22" s="229">
        <v>-1E-3</v>
      </c>
      <c r="L22" s="231">
        <v>2364.4</v>
      </c>
      <c r="M22" s="231">
        <v>2366.8000000000002</v>
      </c>
      <c r="N22" s="228">
        <v>-2.4</v>
      </c>
      <c r="O22" s="229">
        <v>-1E-3</v>
      </c>
      <c r="P22" s="231">
        <v>2374.5</v>
      </c>
      <c r="Q22" s="231">
        <v>2376.1999999999998</v>
      </c>
      <c r="R22" s="228">
        <v>-1.7</v>
      </c>
      <c r="S22" s="229">
        <v>-6.9999999999999999E-4</v>
      </c>
      <c r="T22" s="231">
        <v>2366.4</v>
      </c>
      <c r="U22" s="231">
        <v>2371</v>
      </c>
      <c r="V22" s="228">
        <v>-4.5999999999999996</v>
      </c>
      <c r="W22" s="229">
        <v>-1.9E-3</v>
      </c>
      <c r="X22" s="228">
        <v>-2</v>
      </c>
      <c r="Y22" s="228">
        <v>-2</v>
      </c>
      <c r="Z22" s="228">
        <v>0</v>
      </c>
      <c r="AA22" s="229">
        <v>-8.0000000000000004E-4</v>
      </c>
      <c r="AB22" s="228">
        <v>-2</v>
      </c>
      <c r="AC22" s="228">
        <v>-2</v>
      </c>
      <c r="AD22" s="228">
        <v>0</v>
      </c>
      <c r="AE22" s="229">
        <v>-8.0000000000000004E-4</v>
      </c>
      <c r="AF22" s="228">
        <v>8.1</v>
      </c>
      <c r="AG22" s="228">
        <v>7.4</v>
      </c>
      <c r="AH22" s="228">
        <v>0.7</v>
      </c>
      <c r="AI22" s="229">
        <v>3.3999999999999998E-3</v>
      </c>
      <c r="AJ22" s="228">
        <v>0</v>
      </c>
      <c r="AK22" s="228">
        <v>2.2000000000000002</v>
      </c>
      <c r="AL22" s="228">
        <v>-2.2000000000000002</v>
      </c>
      <c r="AM22" s="229">
        <v>0</v>
      </c>
      <c r="AN22" s="231">
        <v>2368.9499999999998</v>
      </c>
      <c r="AO22" s="231">
        <v>2374.65</v>
      </c>
      <c r="AP22" s="228">
        <v>0</v>
      </c>
      <c r="AQ22" s="230">
        <v>45677</v>
      </c>
      <c r="AR22" s="230">
        <v>19300</v>
      </c>
      <c r="AS22" s="230">
        <v>26377</v>
      </c>
      <c r="AT22" s="229">
        <v>1.3667</v>
      </c>
      <c r="AU22" s="230">
        <v>23816</v>
      </c>
      <c r="AV22" s="230">
        <v>14833</v>
      </c>
      <c r="AW22" s="230">
        <v>8983</v>
      </c>
      <c r="AX22" s="229">
        <v>0.60560000000000003</v>
      </c>
      <c r="AY22" s="230">
        <v>21442</v>
      </c>
      <c r="AZ22" s="230">
        <v>4155</v>
      </c>
      <c r="BA22" s="230">
        <v>17287</v>
      </c>
      <c r="BB22" s="229">
        <v>4.1604999999999999</v>
      </c>
      <c r="BC22" s="228">
        <v>419</v>
      </c>
      <c r="BD22" s="228">
        <v>312</v>
      </c>
      <c r="BE22" s="228">
        <v>107</v>
      </c>
      <c r="BF22" s="229">
        <v>0.34289999999999998</v>
      </c>
      <c r="BG22" s="230">
        <v>58282</v>
      </c>
      <c r="BH22" s="230">
        <v>170778</v>
      </c>
      <c r="BI22" s="230">
        <v>-112496</v>
      </c>
      <c r="BJ22" s="229">
        <v>-0.65869999999999995</v>
      </c>
      <c r="BK22" s="230">
        <v>35347</v>
      </c>
      <c r="BL22" s="230">
        <v>77747</v>
      </c>
      <c r="BM22" s="230">
        <v>-42400</v>
      </c>
      <c r="BN22" s="229">
        <v>-0.5454</v>
      </c>
      <c r="BO22" s="230">
        <v>139306</v>
      </c>
      <c r="BP22" s="230">
        <v>267825</v>
      </c>
      <c r="BQ22" s="230">
        <v>-128519</v>
      </c>
      <c r="BR22" s="229">
        <v>-0.47989999999999999</v>
      </c>
      <c r="BS22" s="230">
        <v>2102984</v>
      </c>
      <c r="BT22" s="230">
        <v>5938091</v>
      </c>
      <c r="BU22" s="230">
        <v>-3835107</v>
      </c>
      <c r="BV22" s="229">
        <v>-0.64580000000000004</v>
      </c>
      <c r="BW22" s="230">
        <v>18011700</v>
      </c>
      <c r="BX22" s="230">
        <v>18421200</v>
      </c>
      <c r="BY22" s="230">
        <v>-409500</v>
      </c>
      <c r="BZ22" s="229">
        <v>-2.2200000000000001E-2</v>
      </c>
      <c r="CA22" s="230">
        <v>11073300</v>
      </c>
      <c r="CB22" s="230">
        <v>16473900</v>
      </c>
      <c r="CC22" s="230">
        <v>-5400600</v>
      </c>
      <c r="CD22" s="229">
        <v>-0.32779999999999998</v>
      </c>
      <c r="CE22" s="230">
        <v>6663600</v>
      </c>
      <c r="CF22" s="230">
        <v>1725600</v>
      </c>
      <c r="CG22" s="230">
        <v>4938000</v>
      </c>
      <c r="CH22" s="229">
        <v>2.8616000000000001</v>
      </c>
      <c r="CI22" s="230">
        <v>274800</v>
      </c>
      <c r="CJ22" s="230">
        <v>221700</v>
      </c>
      <c r="CK22" s="230">
        <v>53100</v>
      </c>
      <c r="CL22" s="229">
        <v>0.23949999999999999</v>
      </c>
      <c r="CM22" s="230">
        <v>9144000</v>
      </c>
      <c r="CN22" s="230">
        <v>8886600</v>
      </c>
      <c r="CO22" s="230">
        <v>257400</v>
      </c>
      <c r="CP22" s="229">
        <v>2.9000000000000001E-2</v>
      </c>
      <c r="CQ22" s="230">
        <v>6976500</v>
      </c>
      <c r="CR22" s="230">
        <v>7006800</v>
      </c>
      <c r="CS22" s="230">
        <v>-30300</v>
      </c>
      <c r="CT22" s="229">
        <v>-4.3E-3</v>
      </c>
      <c r="CU22" s="230">
        <v>34132200</v>
      </c>
      <c r="CV22" s="230">
        <v>34314600</v>
      </c>
      <c r="CW22" s="230">
        <v>-182400</v>
      </c>
      <c r="CX22" s="229">
        <v>-5.3E-3</v>
      </c>
      <c r="CY22" s="228">
        <v>27.34</v>
      </c>
      <c r="CZ22" s="228">
        <v>24.36</v>
      </c>
      <c r="DA22" s="228">
        <v>2.98</v>
      </c>
      <c r="DB22" s="228">
        <v>2.98</v>
      </c>
      <c r="DC22" s="228">
        <v>24.39</v>
      </c>
      <c r="DD22" s="228">
        <v>24.45</v>
      </c>
      <c r="DE22" s="228">
        <v>2.95</v>
      </c>
      <c r="DF22" s="228">
        <v>-0.06</v>
      </c>
      <c r="DG22" s="228">
        <v>26.77</v>
      </c>
      <c r="DH22" s="228">
        <v>23.9</v>
      </c>
      <c r="DI22" s="228">
        <v>2.87</v>
      </c>
      <c r="DJ22" s="228">
        <v>2.87</v>
      </c>
      <c r="DK22" s="228">
        <v>28.3</v>
      </c>
      <c r="DL22" s="228">
        <v>25.38</v>
      </c>
      <c r="DM22" s="228">
        <v>2.92</v>
      </c>
      <c r="DN22" s="228">
        <v>2.92</v>
      </c>
      <c r="DO22" s="228">
        <v>0.76</v>
      </c>
      <c r="DP22" s="228">
        <v>0.79</v>
      </c>
      <c r="DQ22" s="228">
        <v>-0.03</v>
      </c>
      <c r="DR22" s="229">
        <v>-3.7999999999999999E-2</v>
      </c>
      <c r="DS22" s="231">
        <v>2260</v>
      </c>
      <c r="DT22" s="231">
        <v>2260</v>
      </c>
      <c r="DU22" s="228">
        <v>0.61</v>
      </c>
      <c r="DV22" s="228">
        <v>0.46</v>
      </c>
      <c r="DW22" s="228">
        <v>0.15</v>
      </c>
      <c r="DX22" s="229">
        <v>0.3261</v>
      </c>
      <c r="DY22" s="229">
        <v>0.38519999999999999</v>
      </c>
      <c r="DZ22" s="230">
        <v>1947300</v>
      </c>
      <c r="EA22" s="229">
        <v>4.3E-3</v>
      </c>
      <c r="EB22" s="229">
        <v>0.38519999999999999</v>
      </c>
      <c r="EC22" s="228">
        <v>5.7</v>
      </c>
      <c r="ED22" s="229">
        <v>2.3999999999999998E-3</v>
      </c>
      <c r="EE22" s="230">
        <v>1207201</v>
      </c>
      <c r="EF22" s="230">
        <v>3752988</v>
      </c>
      <c r="EG22" s="229">
        <v>-0.67830000000000001</v>
      </c>
      <c r="EH22" s="229">
        <v>0.57399999999999995</v>
      </c>
      <c r="EI22" s="231">
        <v>425828.04</v>
      </c>
      <c r="EJ22" s="231">
        <v>246864.33</v>
      </c>
      <c r="EK22" s="231">
        <v>324989.46000000002</v>
      </c>
      <c r="EL22" s="231">
        <v>12070</v>
      </c>
      <c r="EM22" s="231">
        <v>997681.83</v>
      </c>
      <c r="EN22" s="231">
        <v>1921502.07</v>
      </c>
      <c r="EO22" s="231">
        <v>-923820.24</v>
      </c>
      <c r="EP22" s="229">
        <v>-0.48080000000000001</v>
      </c>
      <c r="EQ22" s="231">
        <v>211717</v>
      </c>
      <c r="ER22" s="231">
        <v>152961</v>
      </c>
      <c r="ES22" s="231">
        <v>426547</v>
      </c>
      <c r="ET22" s="231">
        <v>89517840</v>
      </c>
      <c r="EU22" s="231">
        <v>791225</v>
      </c>
      <c r="EV22" s="231">
        <v>794485</v>
      </c>
      <c r="EW22" s="231">
        <v>-3260</v>
      </c>
      <c r="EX22" s="229">
        <v>-4.1000000000000003E-3</v>
      </c>
      <c r="EY22" s="229">
        <v>0.38129999999999997</v>
      </c>
    </row>
    <row r="23" spans="1:155" ht="17.25" thickBot="1" x14ac:dyDescent="0.3">
      <c r="A23" s="226">
        <v>46135</v>
      </c>
      <c r="B23" s="227" t="s">
        <v>172</v>
      </c>
      <c r="C23" s="227" t="s">
        <v>232</v>
      </c>
      <c r="D23" s="231">
        <v>1347.1</v>
      </c>
      <c r="E23" s="231">
        <v>1368.2</v>
      </c>
      <c r="F23" s="228">
        <v>-21.1</v>
      </c>
      <c r="G23" s="229">
        <v>-1.54E-2</v>
      </c>
      <c r="H23" s="231">
        <v>1348</v>
      </c>
      <c r="I23" s="231">
        <v>1367.6</v>
      </c>
      <c r="J23" s="228">
        <v>-19.600000000000001</v>
      </c>
      <c r="K23" s="229">
        <v>-1.43E-2</v>
      </c>
      <c r="L23" s="231">
        <v>1347.1</v>
      </c>
      <c r="M23" s="231">
        <v>1368.2</v>
      </c>
      <c r="N23" s="228">
        <v>-21.1</v>
      </c>
      <c r="O23" s="229">
        <v>-1.54E-2</v>
      </c>
      <c r="P23" s="231">
        <v>1353.9</v>
      </c>
      <c r="Q23" s="231">
        <v>1375.8</v>
      </c>
      <c r="R23" s="228">
        <v>-21.9</v>
      </c>
      <c r="S23" s="229">
        <v>-1.5900000000000001E-2</v>
      </c>
      <c r="T23" s="231">
        <v>1364</v>
      </c>
      <c r="U23" s="231">
        <v>1384.4</v>
      </c>
      <c r="V23" s="228">
        <v>-20.399999999999999</v>
      </c>
      <c r="W23" s="229">
        <v>-1.47E-2</v>
      </c>
      <c r="X23" s="228">
        <v>-0.9</v>
      </c>
      <c r="Y23" s="228">
        <v>0.6</v>
      </c>
      <c r="Z23" s="228">
        <v>-1.5</v>
      </c>
      <c r="AA23" s="229">
        <v>-6.9999999999999999E-4</v>
      </c>
      <c r="AB23" s="228">
        <v>-0.9</v>
      </c>
      <c r="AC23" s="228">
        <v>0.6</v>
      </c>
      <c r="AD23" s="228">
        <v>-1.5</v>
      </c>
      <c r="AE23" s="229">
        <v>-6.9999999999999999E-4</v>
      </c>
      <c r="AF23" s="228">
        <v>5.9</v>
      </c>
      <c r="AG23" s="228">
        <v>8.1999999999999993</v>
      </c>
      <c r="AH23" s="228">
        <v>-2.2999999999999998</v>
      </c>
      <c r="AI23" s="229">
        <v>4.4000000000000003E-3</v>
      </c>
      <c r="AJ23" s="228">
        <v>16</v>
      </c>
      <c r="AK23" s="228">
        <v>16.8</v>
      </c>
      <c r="AL23" s="228">
        <v>-0.8</v>
      </c>
      <c r="AM23" s="229">
        <v>1.1900000000000001E-2</v>
      </c>
      <c r="AN23" s="231">
        <v>1349.69</v>
      </c>
      <c r="AO23" s="231">
        <v>1357.31</v>
      </c>
      <c r="AP23" s="228">
        <v>0</v>
      </c>
      <c r="AQ23" s="230">
        <v>78488</v>
      </c>
      <c r="AR23" s="230">
        <v>34223</v>
      </c>
      <c r="AS23" s="230">
        <v>44265</v>
      </c>
      <c r="AT23" s="229">
        <v>1.2934000000000001</v>
      </c>
      <c r="AU23" s="230">
        <v>41211</v>
      </c>
      <c r="AV23" s="230">
        <v>22278</v>
      </c>
      <c r="AW23" s="230">
        <v>18933</v>
      </c>
      <c r="AX23" s="229">
        <v>0.84989999999999999</v>
      </c>
      <c r="AY23" s="230">
        <v>27560</v>
      </c>
      <c r="AZ23" s="230">
        <v>7519</v>
      </c>
      <c r="BA23" s="230">
        <v>20041</v>
      </c>
      <c r="BB23" s="229">
        <v>2.6654</v>
      </c>
      <c r="BC23" s="230">
        <v>9717</v>
      </c>
      <c r="BD23" s="230">
        <v>4426</v>
      </c>
      <c r="BE23" s="230">
        <v>5291</v>
      </c>
      <c r="BF23" s="229">
        <v>1.1954</v>
      </c>
      <c r="BG23" s="230">
        <v>86160</v>
      </c>
      <c r="BH23" s="230">
        <v>77645</v>
      </c>
      <c r="BI23" s="230">
        <v>8515</v>
      </c>
      <c r="BJ23" s="229">
        <v>0.10970000000000001</v>
      </c>
      <c r="BK23" s="230">
        <v>57652</v>
      </c>
      <c r="BL23" s="230">
        <v>55181</v>
      </c>
      <c r="BM23" s="230">
        <v>2471</v>
      </c>
      <c r="BN23" s="229">
        <v>4.48E-2</v>
      </c>
      <c r="BO23" s="230">
        <v>222300</v>
      </c>
      <c r="BP23" s="230">
        <v>167049</v>
      </c>
      <c r="BQ23" s="230">
        <v>55251</v>
      </c>
      <c r="BR23" s="229">
        <v>0.33069999999999999</v>
      </c>
      <c r="BS23" s="230">
        <v>22205562</v>
      </c>
      <c r="BT23" s="230">
        <v>13988708</v>
      </c>
      <c r="BU23" s="230">
        <v>8216854</v>
      </c>
      <c r="BV23" s="229">
        <v>0.58740000000000003</v>
      </c>
      <c r="BW23" s="230">
        <v>115542700</v>
      </c>
      <c r="BX23" s="230">
        <v>114886100</v>
      </c>
      <c r="BY23" s="230">
        <v>656600</v>
      </c>
      <c r="BZ23" s="229">
        <v>5.7000000000000002E-3</v>
      </c>
      <c r="CA23" s="230">
        <v>50201200</v>
      </c>
      <c r="CB23" s="230">
        <v>72522100</v>
      </c>
      <c r="CC23" s="230">
        <v>-22320900</v>
      </c>
      <c r="CD23" s="229">
        <v>-0.30780000000000002</v>
      </c>
      <c r="CE23" s="230">
        <v>51034200</v>
      </c>
      <c r="CF23" s="230">
        <v>34658400</v>
      </c>
      <c r="CG23" s="230">
        <v>16375800</v>
      </c>
      <c r="CH23" s="229">
        <v>0.47249999999999998</v>
      </c>
      <c r="CI23" s="230">
        <v>14307300</v>
      </c>
      <c r="CJ23" s="230">
        <v>7705600</v>
      </c>
      <c r="CK23" s="230">
        <v>6601700</v>
      </c>
      <c r="CL23" s="229">
        <v>0.85670000000000002</v>
      </c>
      <c r="CM23" s="230">
        <v>28632100</v>
      </c>
      <c r="CN23" s="230">
        <v>29049300</v>
      </c>
      <c r="CO23" s="230">
        <v>-417200</v>
      </c>
      <c r="CP23" s="229">
        <v>-1.44E-2</v>
      </c>
      <c r="CQ23" s="230">
        <v>22106000</v>
      </c>
      <c r="CR23" s="230">
        <v>22897700</v>
      </c>
      <c r="CS23" s="230">
        <v>-791700</v>
      </c>
      <c r="CT23" s="229">
        <v>-3.4599999999999999E-2</v>
      </c>
      <c r="CU23" s="230">
        <v>166280800</v>
      </c>
      <c r="CV23" s="230">
        <v>166833100</v>
      </c>
      <c r="CW23" s="230">
        <v>-552300</v>
      </c>
      <c r="CX23" s="229">
        <v>-3.3E-3</v>
      </c>
      <c r="CY23" s="228">
        <v>23.52</v>
      </c>
      <c r="CZ23" s="228">
        <v>21.22</v>
      </c>
      <c r="DA23" s="228">
        <v>2.2999999999999998</v>
      </c>
      <c r="DB23" s="228">
        <v>2.2999999999999998</v>
      </c>
      <c r="DC23" s="228">
        <v>24.04</v>
      </c>
      <c r="DD23" s="228">
        <v>24.02</v>
      </c>
      <c r="DE23" s="228">
        <v>-0.52</v>
      </c>
      <c r="DF23" s="228">
        <v>0.02</v>
      </c>
      <c r="DG23" s="228">
        <v>23.45</v>
      </c>
      <c r="DH23" s="228">
        <v>20.78</v>
      </c>
      <c r="DI23" s="228">
        <v>2.67</v>
      </c>
      <c r="DJ23" s="228">
        <v>2.67</v>
      </c>
      <c r="DK23" s="228">
        <v>23.63</v>
      </c>
      <c r="DL23" s="228">
        <v>21.85</v>
      </c>
      <c r="DM23" s="228">
        <v>1.78</v>
      </c>
      <c r="DN23" s="228">
        <v>1.78</v>
      </c>
      <c r="DO23" s="228">
        <v>0.77</v>
      </c>
      <c r="DP23" s="228">
        <v>0.79</v>
      </c>
      <c r="DQ23" s="228">
        <v>-0.02</v>
      </c>
      <c r="DR23" s="229">
        <v>-2.53E-2</v>
      </c>
      <c r="DS23" s="231">
        <v>1400</v>
      </c>
      <c r="DT23" s="231">
        <v>1300</v>
      </c>
      <c r="DU23" s="228">
        <v>0.67</v>
      </c>
      <c r="DV23" s="228">
        <v>0.71</v>
      </c>
      <c r="DW23" s="228">
        <v>-0.04</v>
      </c>
      <c r="DX23" s="229">
        <v>-5.6300000000000003E-2</v>
      </c>
      <c r="DY23" s="229">
        <v>0.5655</v>
      </c>
      <c r="DZ23" s="230">
        <v>42364000</v>
      </c>
      <c r="EA23" s="229">
        <v>5.0000000000000001E-3</v>
      </c>
      <c r="EB23" s="229">
        <v>0.5655</v>
      </c>
      <c r="EC23" s="228">
        <v>7.62</v>
      </c>
      <c r="ED23" s="229">
        <v>5.5999999999999999E-3</v>
      </c>
      <c r="EE23" s="230">
        <v>13051885</v>
      </c>
      <c r="EF23" s="230">
        <v>9094385</v>
      </c>
      <c r="EG23" s="229">
        <v>0.43519999999999998</v>
      </c>
      <c r="EH23" s="229">
        <v>0.58779999999999999</v>
      </c>
      <c r="EI23" s="231">
        <v>835057.56</v>
      </c>
      <c r="EJ23" s="231">
        <v>542443.34</v>
      </c>
      <c r="EK23" s="231">
        <v>744070.7</v>
      </c>
      <c r="EL23" s="231">
        <v>30925</v>
      </c>
      <c r="EM23" s="231">
        <v>2121571.6</v>
      </c>
      <c r="EN23" s="231">
        <v>1616629.6</v>
      </c>
      <c r="EO23" s="231">
        <v>504942</v>
      </c>
      <c r="EP23" s="229">
        <v>0.31230000000000002</v>
      </c>
      <c r="EQ23" s="231">
        <v>390350</v>
      </c>
      <c r="ER23" s="231">
        <v>285558</v>
      </c>
      <c r="ES23" s="231">
        <v>1562364</v>
      </c>
      <c r="ET23" s="231">
        <v>668616020</v>
      </c>
      <c r="EU23" s="231">
        <v>2238272</v>
      </c>
      <c r="EV23" s="231">
        <v>2268382</v>
      </c>
      <c r="EW23" s="231">
        <v>-30110</v>
      </c>
      <c r="EX23" s="229">
        <v>-1.3299999999999999E-2</v>
      </c>
      <c r="EY23" s="229">
        <v>0.2487</v>
      </c>
    </row>
    <row r="24" spans="1:155" ht="17.25" thickBot="1" x14ac:dyDescent="0.3">
      <c r="A24" s="226">
        <v>46135</v>
      </c>
      <c r="B24" s="227" t="s">
        <v>215</v>
      </c>
      <c r="C24" s="227" t="s">
        <v>238</v>
      </c>
      <c r="D24" s="231">
        <v>4565.6000000000004</v>
      </c>
      <c r="E24" s="231">
        <v>4632.3999999999996</v>
      </c>
      <c r="F24" s="228">
        <v>-66.8</v>
      </c>
      <c r="G24" s="229">
        <v>-1.44E-2</v>
      </c>
      <c r="H24" s="231">
        <v>4556</v>
      </c>
      <c r="I24" s="231">
        <v>4640.8999999999996</v>
      </c>
      <c r="J24" s="228">
        <v>-84.9</v>
      </c>
      <c r="K24" s="229">
        <v>-1.83E-2</v>
      </c>
      <c r="L24" s="231">
        <v>4565.6000000000004</v>
      </c>
      <c r="M24" s="231">
        <v>4632.3999999999996</v>
      </c>
      <c r="N24" s="228">
        <v>-66.8</v>
      </c>
      <c r="O24" s="229">
        <v>-1.44E-2</v>
      </c>
      <c r="P24" s="231">
        <v>4564.5</v>
      </c>
      <c r="Q24" s="231">
        <v>4643.8</v>
      </c>
      <c r="R24" s="228">
        <v>-79.3</v>
      </c>
      <c r="S24" s="229">
        <v>-1.7100000000000001E-2</v>
      </c>
      <c r="T24" s="231">
        <v>4580.1000000000004</v>
      </c>
      <c r="U24" s="231">
        <v>4667.5</v>
      </c>
      <c r="V24" s="228">
        <v>-87.4</v>
      </c>
      <c r="W24" s="229">
        <v>-1.8700000000000001E-2</v>
      </c>
      <c r="X24" s="228">
        <v>9.6</v>
      </c>
      <c r="Y24" s="228">
        <v>-8.5</v>
      </c>
      <c r="Z24" s="228">
        <v>18.100000000000001</v>
      </c>
      <c r="AA24" s="229">
        <v>2.0999999999999999E-3</v>
      </c>
      <c r="AB24" s="228">
        <v>9.6</v>
      </c>
      <c r="AC24" s="228">
        <v>-8.5</v>
      </c>
      <c r="AD24" s="228">
        <v>18.100000000000001</v>
      </c>
      <c r="AE24" s="229">
        <v>2.0999999999999999E-3</v>
      </c>
      <c r="AF24" s="228">
        <v>8.5</v>
      </c>
      <c r="AG24" s="228">
        <v>2.9</v>
      </c>
      <c r="AH24" s="228">
        <v>5.6</v>
      </c>
      <c r="AI24" s="229">
        <v>1.9E-3</v>
      </c>
      <c r="AJ24" s="228">
        <v>24.1</v>
      </c>
      <c r="AK24" s="228">
        <v>26.6</v>
      </c>
      <c r="AL24" s="228">
        <v>-2.5</v>
      </c>
      <c r="AM24" s="229">
        <v>5.3E-3</v>
      </c>
      <c r="AN24" s="231">
        <v>4567.91</v>
      </c>
      <c r="AO24" s="231">
        <v>4567.8</v>
      </c>
      <c r="AP24" s="228">
        <v>0</v>
      </c>
      <c r="AQ24" s="230">
        <v>31697</v>
      </c>
      <c r="AR24" s="230">
        <v>10349</v>
      </c>
      <c r="AS24" s="230">
        <v>21348</v>
      </c>
      <c r="AT24" s="229">
        <v>2.0628000000000002</v>
      </c>
      <c r="AU24" s="230">
        <v>16722</v>
      </c>
      <c r="AV24" s="230">
        <v>7735</v>
      </c>
      <c r="AW24" s="230">
        <v>8987</v>
      </c>
      <c r="AX24" s="229">
        <v>1.1618999999999999</v>
      </c>
      <c r="AY24" s="230">
        <v>14730</v>
      </c>
      <c r="AZ24" s="230">
        <v>2380</v>
      </c>
      <c r="BA24" s="230">
        <v>12350</v>
      </c>
      <c r="BB24" s="229">
        <v>5.1890999999999998</v>
      </c>
      <c r="BC24" s="228">
        <v>245</v>
      </c>
      <c r="BD24" s="228">
        <v>234</v>
      </c>
      <c r="BE24" s="228">
        <v>11</v>
      </c>
      <c r="BF24" s="229">
        <v>4.7E-2</v>
      </c>
      <c r="BG24" s="230">
        <v>39023</v>
      </c>
      <c r="BH24" s="230">
        <v>50363</v>
      </c>
      <c r="BI24" s="230">
        <v>-11340</v>
      </c>
      <c r="BJ24" s="229">
        <v>-0.22520000000000001</v>
      </c>
      <c r="BK24" s="230">
        <v>37663</v>
      </c>
      <c r="BL24" s="230">
        <v>38146</v>
      </c>
      <c r="BM24" s="228">
        <v>-483</v>
      </c>
      <c r="BN24" s="229">
        <v>-1.2699999999999999E-2</v>
      </c>
      <c r="BO24" s="230">
        <v>108383</v>
      </c>
      <c r="BP24" s="230">
        <v>98858</v>
      </c>
      <c r="BQ24" s="230">
        <v>9525</v>
      </c>
      <c r="BR24" s="229">
        <v>9.64E-2</v>
      </c>
      <c r="BS24" s="230">
        <v>1073206</v>
      </c>
      <c r="BT24" s="230">
        <v>1113682</v>
      </c>
      <c r="BU24" s="230">
        <v>-40476</v>
      </c>
      <c r="BV24" s="229">
        <v>-3.6299999999999999E-2</v>
      </c>
      <c r="BW24" s="230">
        <v>7278000</v>
      </c>
      <c r="BX24" s="230">
        <v>7074300</v>
      </c>
      <c r="BY24" s="230">
        <v>203700</v>
      </c>
      <c r="BZ24" s="229">
        <v>2.8799999999999999E-2</v>
      </c>
      <c r="CA24" s="230">
        <v>4930350</v>
      </c>
      <c r="CB24" s="230">
        <v>6415200</v>
      </c>
      <c r="CC24" s="230">
        <v>-1484850</v>
      </c>
      <c r="CD24" s="229">
        <v>-0.23150000000000001</v>
      </c>
      <c r="CE24" s="230">
        <v>2267550</v>
      </c>
      <c r="CF24" s="230">
        <v>592650</v>
      </c>
      <c r="CG24" s="230">
        <v>1674900</v>
      </c>
      <c r="CH24" s="229">
        <v>2.8260999999999998</v>
      </c>
      <c r="CI24" s="230">
        <v>80100</v>
      </c>
      <c r="CJ24" s="230">
        <v>66450</v>
      </c>
      <c r="CK24" s="230">
        <v>13650</v>
      </c>
      <c r="CL24" s="229">
        <v>0.2054</v>
      </c>
      <c r="CM24" s="230">
        <v>6527550</v>
      </c>
      <c r="CN24" s="230">
        <v>6496650</v>
      </c>
      <c r="CO24" s="230">
        <v>30900</v>
      </c>
      <c r="CP24" s="229">
        <v>4.7999999999999996E-3</v>
      </c>
      <c r="CQ24" s="230">
        <v>4316250</v>
      </c>
      <c r="CR24" s="230">
        <v>4507050</v>
      </c>
      <c r="CS24" s="230">
        <v>-190800</v>
      </c>
      <c r="CT24" s="229">
        <v>-4.2299999999999997E-2</v>
      </c>
      <c r="CU24" s="230">
        <v>18121800</v>
      </c>
      <c r="CV24" s="230">
        <v>18078000</v>
      </c>
      <c r="CW24" s="230">
        <v>43800</v>
      </c>
      <c r="CX24" s="229">
        <v>2.3999999999999998E-3</v>
      </c>
      <c r="CY24" s="228">
        <v>39.06</v>
      </c>
      <c r="CZ24" s="228">
        <v>36.200000000000003</v>
      </c>
      <c r="DA24" s="228">
        <v>2.86</v>
      </c>
      <c r="DB24" s="228">
        <v>2.86</v>
      </c>
      <c r="DC24" s="228">
        <v>39.97</v>
      </c>
      <c r="DD24" s="228">
        <v>39.99</v>
      </c>
      <c r="DE24" s="228">
        <v>-0.91</v>
      </c>
      <c r="DF24" s="228">
        <v>-0.02</v>
      </c>
      <c r="DG24" s="228">
        <v>38.299999999999997</v>
      </c>
      <c r="DH24" s="228">
        <v>34.31</v>
      </c>
      <c r="DI24" s="228">
        <v>3.99</v>
      </c>
      <c r="DJ24" s="228">
        <v>3.99</v>
      </c>
      <c r="DK24" s="228">
        <v>39.590000000000003</v>
      </c>
      <c r="DL24" s="228">
        <v>38.69</v>
      </c>
      <c r="DM24" s="228">
        <v>0.9</v>
      </c>
      <c r="DN24" s="228">
        <v>0.9</v>
      </c>
      <c r="DO24" s="228">
        <v>0.66</v>
      </c>
      <c r="DP24" s="228">
        <v>0.69</v>
      </c>
      <c r="DQ24" s="228">
        <v>-0.03</v>
      </c>
      <c r="DR24" s="229">
        <v>-4.3499999999999997E-2</v>
      </c>
      <c r="DS24" s="231">
        <v>4700</v>
      </c>
      <c r="DT24" s="231">
        <v>4700</v>
      </c>
      <c r="DU24" s="228">
        <v>0.97</v>
      </c>
      <c r="DV24" s="228">
        <v>0.76</v>
      </c>
      <c r="DW24" s="228">
        <v>0.21</v>
      </c>
      <c r="DX24" s="229">
        <v>0.27629999999999999</v>
      </c>
      <c r="DY24" s="229">
        <v>0.3226</v>
      </c>
      <c r="DZ24" s="230">
        <v>659100</v>
      </c>
      <c r="EA24" s="229">
        <v>-2.0000000000000001E-4</v>
      </c>
      <c r="EB24" s="229">
        <v>0.3226</v>
      </c>
      <c r="EC24" s="228">
        <v>-0.11</v>
      </c>
      <c r="ED24" s="229">
        <v>0</v>
      </c>
      <c r="EE24" s="230">
        <v>529705</v>
      </c>
      <c r="EF24" s="230">
        <v>581025</v>
      </c>
      <c r="EG24" s="229">
        <v>-8.8300000000000003E-2</v>
      </c>
      <c r="EH24" s="229">
        <v>0.49359999999999998</v>
      </c>
      <c r="EI24" s="231">
        <v>281592.89</v>
      </c>
      <c r="EJ24" s="231">
        <v>254992.93</v>
      </c>
      <c r="EK24" s="231">
        <v>217186.31</v>
      </c>
      <c r="EL24" s="231">
        <v>7833</v>
      </c>
      <c r="EM24" s="231">
        <v>753772.13</v>
      </c>
      <c r="EN24" s="231">
        <v>697628.75</v>
      </c>
      <c r="EO24" s="231">
        <v>56143.38</v>
      </c>
      <c r="EP24" s="229">
        <v>8.0500000000000002E-2</v>
      </c>
      <c r="EQ24" s="231">
        <v>307835</v>
      </c>
      <c r="ER24" s="231">
        <v>186600</v>
      </c>
      <c r="ES24" s="231">
        <v>332271</v>
      </c>
      <c r="ET24" s="231">
        <v>33878797</v>
      </c>
      <c r="EU24" s="231">
        <v>826706</v>
      </c>
      <c r="EV24" s="231">
        <v>830558</v>
      </c>
      <c r="EW24" s="231">
        <v>-3852</v>
      </c>
      <c r="EX24" s="229">
        <v>-4.5999999999999999E-3</v>
      </c>
      <c r="EY24" s="229">
        <v>0.53490000000000004</v>
      </c>
    </row>
    <row r="25" spans="1:155" ht="17.25" thickBot="1" x14ac:dyDescent="0.3">
      <c r="A25" s="226">
        <v>46135</v>
      </c>
      <c r="B25" s="227" t="s">
        <v>221</v>
      </c>
      <c r="C25" s="227" t="s">
        <v>240</v>
      </c>
      <c r="D25" s="231">
        <v>1237.5999999999999</v>
      </c>
      <c r="E25" s="231">
        <v>1272.2</v>
      </c>
      <c r="F25" s="228">
        <v>-34.6</v>
      </c>
      <c r="G25" s="229">
        <v>-2.7199999999999998E-2</v>
      </c>
      <c r="H25" s="231">
        <v>1240.5999999999999</v>
      </c>
      <c r="I25" s="231">
        <v>1268.5999999999999</v>
      </c>
      <c r="J25" s="228">
        <v>-28</v>
      </c>
      <c r="K25" s="229">
        <v>-2.2100000000000002E-2</v>
      </c>
      <c r="L25" s="231">
        <v>1237.5999999999999</v>
      </c>
      <c r="M25" s="231">
        <v>1272.2</v>
      </c>
      <c r="N25" s="228">
        <v>-34.6</v>
      </c>
      <c r="O25" s="229">
        <v>-2.7199999999999998E-2</v>
      </c>
      <c r="P25" s="231">
        <v>1222.2</v>
      </c>
      <c r="Q25" s="231">
        <v>1264.9000000000001</v>
      </c>
      <c r="R25" s="228">
        <v>-42.7</v>
      </c>
      <c r="S25" s="229">
        <v>-3.3799999999999997E-2</v>
      </c>
      <c r="T25" s="231">
        <v>1223.5</v>
      </c>
      <c r="U25" s="231">
        <v>1264.5</v>
      </c>
      <c r="V25" s="228">
        <v>-41</v>
      </c>
      <c r="W25" s="229">
        <v>-3.2399999999999998E-2</v>
      </c>
      <c r="X25" s="228">
        <v>-3</v>
      </c>
      <c r="Y25" s="228">
        <v>3.6</v>
      </c>
      <c r="Z25" s="228">
        <v>-6.6</v>
      </c>
      <c r="AA25" s="229">
        <v>-2.3999999999999998E-3</v>
      </c>
      <c r="AB25" s="228">
        <v>-3</v>
      </c>
      <c r="AC25" s="228">
        <v>3.6</v>
      </c>
      <c r="AD25" s="228">
        <v>-6.6</v>
      </c>
      <c r="AE25" s="229">
        <v>-2.3999999999999998E-3</v>
      </c>
      <c r="AF25" s="228">
        <v>-18.399999999999999</v>
      </c>
      <c r="AG25" s="228">
        <v>-3.7</v>
      </c>
      <c r="AH25" s="228">
        <v>-14.7</v>
      </c>
      <c r="AI25" s="229">
        <v>-1.4800000000000001E-2</v>
      </c>
      <c r="AJ25" s="228">
        <v>-17.100000000000001</v>
      </c>
      <c r="AK25" s="228">
        <v>-4.0999999999999996</v>
      </c>
      <c r="AL25" s="228">
        <v>-13</v>
      </c>
      <c r="AM25" s="229">
        <v>-1.38E-2</v>
      </c>
      <c r="AN25" s="231">
        <v>1250.5999999999999</v>
      </c>
      <c r="AO25" s="231">
        <v>1236.95</v>
      </c>
      <c r="AP25" s="228">
        <v>0</v>
      </c>
      <c r="AQ25" s="230">
        <v>148259</v>
      </c>
      <c r="AR25" s="230">
        <v>74538</v>
      </c>
      <c r="AS25" s="230">
        <v>73721</v>
      </c>
      <c r="AT25" s="229">
        <v>0.98899999999999999</v>
      </c>
      <c r="AU25" s="230">
        <v>77883</v>
      </c>
      <c r="AV25" s="230">
        <v>49277</v>
      </c>
      <c r="AW25" s="230">
        <v>28606</v>
      </c>
      <c r="AX25" s="229">
        <v>0.58050000000000002</v>
      </c>
      <c r="AY25" s="230">
        <v>66679</v>
      </c>
      <c r="AZ25" s="230">
        <v>22010</v>
      </c>
      <c r="BA25" s="230">
        <v>44669</v>
      </c>
      <c r="BB25" s="229">
        <v>2.0295000000000001</v>
      </c>
      <c r="BC25" s="230">
        <v>3697</v>
      </c>
      <c r="BD25" s="230">
        <v>3251</v>
      </c>
      <c r="BE25" s="228">
        <v>446</v>
      </c>
      <c r="BF25" s="229">
        <v>0.13719999999999999</v>
      </c>
      <c r="BG25" s="230">
        <v>162963</v>
      </c>
      <c r="BH25" s="230">
        <v>180705</v>
      </c>
      <c r="BI25" s="230">
        <v>-17742</v>
      </c>
      <c r="BJ25" s="229">
        <v>-9.8199999999999996E-2</v>
      </c>
      <c r="BK25" s="230">
        <v>158401</v>
      </c>
      <c r="BL25" s="230">
        <v>120915</v>
      </c>
      <c r="BM25" s="230">
        <v>37486</v>
      </c>
      <c r="BN25" s="229">
        <v>0.31</v>
      </c>
      <c r="BO25" s="230">
        <v>469623</v>
      </c>
      <c r="BP25" s="230">
        <v>376158</v>
      </c>
      <c r="BQ25" s="230">
        <v>93465</v>
      </c>
      <c r="BR25" s="229">
        <v>0.2485</v>
      </c>
      <c r="BS25" s="230">
        <v>16012929</v>
      </c>
      <c r="BT25" s="230">
        <v>20953509</v>
      </c>
      <c r="BU25" s="230">
        <v>-4940580</v>
      </c>
      <c r="BV25" s="229">
        <v>-0.23580000000000001</v>
      </c>
      <c r="BW25" s="230">
        <v>84775200</v>
      </c>
      <c r="BX25" s="230">
        <v>79283600</v>
      </c>
      <c r="BY25" s="230">
        <v>5491600</v>
      </c>
      <c r="BZ25" s="229">
        <v>6.93E-2</v>
      </c>
      <c r="CA25" s="230">
        <v>52834400</v>
      </c>
      <c r="CB25" s="230">
        <v>66919600</v>
      </c>
      <c r="CC25" s="230">
        <v>-14085200</v>
      </c>
      <c r="CD25" s="229">
        <v>-0.21049999999999999</v>
      </c>
      <c r="CE25" s="230">
        <v>29290400</v>
      </c>
      <c r="CF25" s="230">
        <v>10415600</v>
      </c>
      <c r="CG25" s="230">
        <v>18874800</v>
      </c>
      <c r="CH25" s="229">
        <v>1.8122</v>
      </c>
      <c r="CI25" s="230">
        <v>2650400</v>
      </c>
      <c r="CJ25" s="230">
        <v>1948400</v>
      </c>
      <c r="CK25" s="230">
        <v>702000</v>
      </c>
      <c r="CL25" s="229">
        <v>0.36030000000000001</v>
      </c>
      <c r="CM25" s="230">
        <v>41668000</v>
      </c>
      <c r="CN25" s="230">
        <v>33702400</v>
      </c>
      <c r="CO25" s="230">
        <v>7965600</v>
      </c>
      <c r="CP25" s="229">
        <v>0.2364</v>
      </c>
      <c r="CQ25" s="230">
        <v>32575200</v>
      </c>
      <c r="CR25" s="230">
        <v>26351200</v>
      </c>
      <c r="CS25" s="230">
        <v>6224000</v>
      </c>
      <c r="CT25" s="229">
        <v>0.23619999999999999</v>
      </c>
      <c r="CU25" s="230">
        <v>159018400</v>
      </c>
      <c r="CV25" s="230">
        <v>139337200</v>
      </c>
      <c r="CW25" s="230">
        <v>19681200</v>
      </c>
      <c r="CX25" s="229">
        <v>0.14119999999999999</v>
      </c>
      <c r="CY25" s="228">
        <v>38.36</v>
      </c>
      <c r="CZ25" s="228">
        <v>42.1</v>
      </c>
      <c r="DA25" s="228">
        <v>-3.74</v>
      </c>
      <c r="DB25" s="228">
        <v>-3.74</v>
      </c>
      <c r="DC25" s="228">
        <v>31.14</v>
      </c>
      <c r="DD25" s="228">
        <v>31.08</v>
      </c>
      <c r="DE25" s="228">
        <v>7.22</v>
      </c>
      <c r="DF25" s="228">
        <v>0.06</v>
      </c>
      <c r="DG25" s="228">
        <v>38.65</v>
      </c>
      <c r="DH25" s="228">
        <v>40.54</v>
      </c>
      <c r="DI25" s="228">
        <v>-1.89</v>
      </c>
      <c r="DJ25" s="228">
        <v>-1.89</v>
      </c>
      <c r="DK25" s="228">
        <v>37.94</v>
      </c>
      <c r="DL25" s="228">
        <v>44.43</v>
      </c>
      <c r="DM25" s="228">
        <v>-6.49</v>
      </c>
      <c r="DN25" s="228">
        <v>-6.49</v>
      </c>
      <c r="DO25" s="228">
        <v>0.78</v>
      </c>
      <c r="DP25" s="228">
        <v>0.78</v>
      </c>
      <c r="DQ25" s="228">
        <v>0</v>
      </c>
      <c r="DR25" s="229">
        <v>0</v>
      </c>
      <c r="DS25" s="231">
        <v>1300</v>
      </c>
      <c r="DT25" s="231">
        <v>1200</v>
      </c>
      <c r="DU25" s="228">
        <v>0.97</v>
      </c>
      <c r="DV25" s="228">
        <v>0.67</v>
      </c>
      <c r="DW25" s="228">
        <v>0.3</v>
      </c>
      <c r="DX25" s="229">
        <v>0.44779999999999998</v>
      </c>
      <c r="DY25" s="229">
        <v>0.37680000000000002</v>
      </c>
      <c r="DZ25" s="230">
        <v>12364000</v>
      </c>
      <c r="EA25" s="229">
        <v>-1.24E-2</v>
      </c>
      <c r="EB25" s="229">
        <v>0.37680000000000002</v>
      </c>
      <c r="EC25" s="228">
        <v>-13.65</v>
      </c>
      <c r="ED25" s="229">
        <v>-1.09E-2</v>
      </c>
      <c r="EE25" s="230">
        <v>8132809</v>
      </c>
      <c r="EF25" s="230">
        <v>11425208</v>
      </c>
      <c r="EG25" s="229">
        <v>-0.28820000000000001</v>
      </c>
      <c r="EH25" s="229">
        <v>0.50790000000000002</v>
      </c>
      <c r="EI25" s="231">
        <v>859848.25</v>
      </c>
      <c r="EJ25" s="231">
        <v>776577.89</v>
      </c>
      <c r="EK25" s="231">
        <v>737776.12</v>
      </c>
      <c r="EL25" s="231">
        <v>37734</v>
      </c>
      <c r="EM25" s="231">
        <v>2374202.2599999998</v>
      </c>
      <c r="EN25" s="231">
        <v>1956519.5</v>
      </c>
      <c r="EO25" s="231">
        <v>417682.76</v>
      </c>
      <c r="EP25" s="229">
        <v>0.2135</v>
      </c>
      <c r="EQ25" s="231">
        <v>556793</v>
      </c>
      <c r="ER25" s="231">
        <v>404170</v>
      </c>
      <c r="ES25" s="231">
        <v>1044293</v>
      </c>
      <c r="ET25" s="231">
        <v>475237614</v>
      </c>
      <c r="EU25" s="231">
        <v>2005257</v>
      </c>
      <c r="EV25" s="231">
        <v>1794344</v>
      </c>
      <c r="EW25" s="231">
        <v>210913</v>
      </c>
      <c r="EX25" s="229">
        <v>0.11749999999999999</v>
      </c>
      <c r="EY25" s="229">
        <v>0.33460000000000001</v>
      </c>
    </row>
    <row r="26" spans="1:155" ht="17.25" thickBot="1" x14ac:dyDescent="0.3">
      <c r="A26" s="226">
        <v>46135</v>
      </c>
      <c r="B26" s="227" t="s">
        <v>168</v>
      </c>
      <c r="C26" s="227" t="s">
        <v>242</v>
      </c>
      <c r="D26" s="228">
        <v>305.05</v>
      </c>
      <c r="E26" s="228">
        <v>305.8</v>
      </c>
      <c r="F26" s="228">
        <v>-0.75</v>
      </c>
      <c r="G26" s="229">
        <v>-2.5000000000000001E-3</v>
      </c>
      <c r="H26" s="228">
        <v>305.3</v>
      </c>
      <c r="I26" s="228">
        <v>305.5</v>
      </c>
      <c r="J26" s="228">
        <v>-0.2</v>
      </c>
      <c r="K26" s="229">
        <v>-6.9999999999999999E-4</v>
      </c>
      <c r="L26" s="228">
        <v>305.05</v>
      </c>
      <c r="M26" s="228">
        <v>305.8</v>
      </c>
      <c r="N26" s="228">
        <v>-0.75</v>
      </c>
      <c r="O26" s="229">
        <v>-2.5000000000000001E-3</v>
      </c>
      <c r="P26" s="228">
        <v>306.7</v>
      </c>
      <c r="Q26" s="228">
        <v>307.5</v>
      </c>
      <c r="R26" s="228">
        <v>-0.8</v>
      </c>
      <c r="S26" s="229">
        <v>-2.5999999999999999E-3</v>
      </c>
      <c r="T26" s="228">
        <v>308.5</v>
      </c>
      <c r="U26" s="228">
        <v>309.39999999999998</v>
      </c>
      <c r="V26" s="228">
        <v>-0.9</v>
      </c>
      <c r="W26" s="229">
        <v>-2.8999999999999998E-3</v>
      </c>
      <c r="X26" s="228">
        <v>-0.25</v>
      </c>
      <c r="Y26" s="228">
        <v>0.3</v>
      </c>
      <c r="Z26" s="228">
        <v>-0.55000000000000004</v>
      </c>
      <c r="AA26" s="229">
        <v>-8.0000000000000004E-4</v>
      </c>
      <c r="AB26" s="228">
        <v>-0.25</v>
      </c>
      <c r="AC26" s="228">
        <v>0.3</v>
      </c>
      <c r="AD26" s="228">
        <v>-0.55000000000000004</v>
      </c>
      <c r="AE26" s="229">
        <v>-8.0000000000000004E-4</v>
      </c>
      <c r="AF26" s="228">
        <v>1.4</v>
      </c>
      <c r="AG26" s="228">
        <v>2</v>
      </c>
      <c r="AH26" s="228">
        <v>-0.6</v>
      </c>
      <c r="AI26" s="229">
        <v>4.5999999999999999E-3</v>
      </c>
      <c r="AJ26" s="228">
        <v>3.2</v>
      </c>
      <c r="AK26" s="228">
        <v>3.9</v>
      </c>
      <c r="AL26" s="228">
        <v>-0.7</v>
      </c>
      <c r="AM26" s="229">
        <v>1.0500000000000001E-2</v>
      </c>
      <c r="AN26" s="228">
        <v>305.13</v>
      </c>
      <c r="AO26" s="228">
        <v>306.77999999999997</v>
      </c>
      <c r="AP26" s="228">
        <v>0</v>
      </c>
      <c r="AQ26" s="230">
        <v>38512</v>
      </c>
      <c r="AR26" s="230">
        <v>20457</v>
      </c>
      <c r="AS26" s="230">
        <v>18055</v>
      </c>
      <c r="AT26" s="229">
        <v>0.88260000000000005</v>
      </c>
      <c r="AU26" s="230">
        <v>18759</v>
      </c>
      <c r="AV26" s="230">
        <v>10655</v>
      </c>
      <c r="AW26" s="230">
        <v>8104</v>
      </c>
      <c r="AX26" s="229">
        <v>0.76060000000000005</v>
      </c>
      <c r="AY26" s="230">
        <v>17167</v>
      </c>
      <c r="AZ26" s="230">
        <v>8004</v>
      </c>
      <c r="BA26" s="230">
        <v>9163</v>
      </c>
      <c r="BB26" s="229">
        <v>1.1448</v>
      </c>
      <c r="BC26" s="230">
        <v>2586</v>
      </c>
      <c r="BD26" s="230">
        <v>1798</v>
      </c>
      <c r="BE26" s="228">
        <v>788</v>
      </c>
      <c r="BF26" s="229">
        <v>0.43830000000000002</v>
      </c>
      <c r="BG26" s="230">
        <v>57606</v>
      </c>
      <c r="BH26" s="230">
        <v>90925</v>
      </c>
      <c r="BI26" s="230">
        <v>-33319</v>
      </c>
      <c r="BJ26" s="229">
        <v>-0.3664</v>
      </c>
      <c r="BK26" s="230">
        <v>22801</v>
      </c>
      <c r="BL26" s="230">
        <v>32322</v>
      </c>
      <c r="BM26" s="230">
        <v>-9521</v>
      </c>
      <c r="BN26" s="229">
        <v>-0.29459999999999997</v>
      </c>
      <c r="BO26" s="230">
        <v>118919</v>
      </c>
      <c r="BP26" s="230">
        <v>143704</v>
      </c>
      <c r="BQ26" s="230">
        <v>-24785</v>
      </c>
      <c r="BR26" s="229">
        <v>-0.17249999999999999</v>
      </c>
      <c r="BS26" s="230">
        <v>11206575</v>
      </c>
      <c r="BT26" s="230">
        <v>25150184</v>
      </c>
      <c r="BU26" s="230">
        <v>-13943609</v>
      </c>
      <c r="BV26" s="229">
        <v>-0.5544</v>
      </c>
      <c r="BW26" s="230">
        <v>176552000</v>
      </c>
      <c r="BX26" s="230">
        <v>174812800</v>
      </c>
      <c r="BY26" s="230">
        <v>1739200</v>
      </c>
      <c r="BZ26" s="229">
        <v>9.9000000000000008E-3</v>
      </c>
      <c r="CA26" s="230">
        <v>106334400</v>
      </c>
      <c r="CB26" s="230">
        <v>132145600</v>
      </c>
      <c r="CC26" s="230">
        <v>-25811200</v>
      </c>
      <c r="CD26" s="229">
        <v>-0.1953</v>
      </c>
      <c r="CE26" s="230">
        <v>58864000</v>
      </c>
      <c r="CF26" s="230">
        <v>35105600</v>
      </c>
      <c r="CG26" s="230">
        <v>23758400</v>
      </c>
      <c r="CH26" s="229">
        <v>0.67679999999999996</v>
      </c>
      <c r="CI26" s="230">
        <v>11353600</v>
      </c>
      <c r="CJ26" s="230">
        <v>7561600</v>
      </c>
      <c r="CK26" s="230">
        <v>3792000</v>
      </c>
      <c r="CL26" s="229">
        <v>0.50149999999999995</v>
      </c>
      <c r="CM26" s="230">
        <v>125788800</v>
      </c>
      <c r="CN26" s="230">
        <v>126622400</v>
      </c>
      <c r="CO26" s="230">
        <v>-833600</v>
      </c>
      <c r="CP26" s="229">
        <v>-6.6E-3</v>
      </c>
      <c r="CQ26" s="230">
        <v>63444800</v>
      </c>
      <c r="CR26" s="230">
        <v>62956800</v>
      </c>
      <c r="CS26" s="230">
        <v>488000</v>
      </c>
      <c r="CT26" s="229">
        <v>7.7999999999999996E-3</v>
      </c>
      <c r="CU26" s="230">
        <v>365785600</v>
      </c>
      <c r="CV26" s="230">
        <v>364392000</v>
      </c>
      <c r="CW26" s="230">
        <v>1393600</v>
      </c>
      <c r="CX26" s="229">
        <v>3.8E-3</v>
      </c>
      <c r="CY26" s="228">
        <v>24.07</v>
      </c>
      <c r="CZ26" s="228">
        <v>21.78</v>
      </c>
      <c r="DA26" s="228">
        <v>2.29</v>
      </c>
      <c r="DB26" s="228">
        <v>2.29</v>
      </c>
      <c r="DC26" s="228">
        <v>24.39</v>
      </c>
      <c r="DD26" s="228">
        <v>24.45</v>
      </c>
      <c r="DE26" s="228">
        <v>-0.32</v>
      </c>
      <c r="DF26" s="228">
        <v>-0.06</v>
      </c>
      <c r="DG26" s="228">
        <v>24.25</v>
      </c>
      <c r="DH26" s="228">
        <v>22.16</v>
      </c>
      <c r="DI26" s="228">
        <v>2.09</v>
      </c>
      <c r="DJ26" s="228">
        <v>2.09</v>
      </c>
      <c r="DK26" s="228">
        <v>23.79</v>
      </c>
      <c r="DL26" s="228">
        <v>20.69</v>
      </c>
      <c r="DM26" s="228">
        <v>3.1</v>
      </c>
      <c r="DN26" s="228">
        <v>3.1</v>
      </c>
      <c r="DO26" s="228">
        <v>0.5</v>
      </c>
      <c r="DP26" s="228">
        <v>0.5</v>
      </c>
      <c r="DQ26" s="228">
        <v>0</v>
      </c>
      <c r="DR26" s="229">
        <v>0</v>
      </c>
      <c r="DS26" s="228">
        <v>310</v>
      </c>
      <c r="DT26" s="228">
        <v>300</v>
      </c>
      <c r="DU26" s="228">
        <v>0.4</v>
      </c>
      <c r="DV26" s="228">
        <v>0.36</v>
      </c>
      <c r="DW26" s="228">
        <v>0.04</v>
      </c>
      <c r="DX26" s="229">
        <v>0.1111</v>
      </c>
      <c r="DY26" s="229">
        <v>0.3977</v>
      </c>
      <c r="DZ26" s="230">
        <v>42667200</v>
      </c>
      <c r="EA26" s="229">
        <v>5.4000000000000003E-3</v>
      </c>
      <c r="EB26" s="229">
        <v>0.3977</v>
      </c>
      <c r="EC26" s="228">
        <v>1.65</v>
      </c>
      <c r="ED26" s="229">
        <v>5.4000000000000003E-3</v>
      </c>
      <c r="EE26" s="230">
        <v>6635559</v>
      </c>
      <c r="EF26" s="230">
        <v>14957096</v>
      </c>
      <c r="EG26" s="229">
        <v>-0.55640000000000001</v>
      </c>
      <c r="EH26" s="229">
        <v>0.59209999999999996</v>
      </c>
      <c r="EI26" s="231">
        <v>290031.83</v>
      </c>
      <c r="EJ26" s="231">
        <v>110496.89</v>
      </c>
      <c r="EK26" s="231">
        <v>188622.14</v>
      </c>
      <c r="EL26" s="231">
        <v>14514</v>
      </c>
      <c r="EM26" s="231">
        <v>589150.86</v>
      </c>
      <c r="EN26" s="231">
        <v>720029.15</v>
      </c>
      <c r="EO26" s="231">
        <v>-130878.29</v>
      </c>
      <c r="EP26" s="229">
        <v>-0.18179999999999999</v>
      </c>
      <c r="EQ26" s="231">
        <v>398208</v>
      </c>
      <c r="ER26" s="231">
        <v>190654</v>
      </c>
      <c r="ES26" s="231">
        <v>539935</v>
      </c>
      <c r="ET26" s="231">
        <v>1317896781</v>
      </c>
      <c r="EU26" s="231">
        <v>1128797</v>
      </c>
      <c r="EV26" s="231">
        <v>1124941</v>
      </c>
      <c r="EW26" s="231">
        <v>3856</v>
      </c>
      <c r="EX26" s="229">
        <v>3.3999999999999998E-3</v>
      </c>
      <c r="EY26" s="229">
        <v>0.27760000000000001</v>
      </c>
    </row>
    <row r="27" spans="1:155" ht="17.25" thickBot="1" x14ac:dyDescent="0.3">
      <c r="A27" s="226">
        <v>46135</v>
      </c>
      <c r="B27" s="227" t="s">
        <v>175</v>
      </c>
      <c r="C27" s="227" t="s">
        <v>569</v>
      </c>
      <c r="D27" s="228">
        <v>248.92</v>
      </c>
      <c r="E27" s="228">
        <v>238.96</v>
      </c>
      <c r="F27" s="228">
        <v>9.9600000000000009</v>
      </c>
      <c r="G27" s="229">
        <v>4.1700000000000001E-2</v>
      </c>
      <c r="H27" s="228">
        <v>248.66</v>
      </c>
      <c r="I27" s="228">
        <v>238.51</v>
      </c>
      <c r="J27" s="228">
        <v>10.15</v>
      </c>
      <c r="K27" s="229">
        <v>4.2599999999999999E-2</v>
      </c>
      <c r="L27" s="228">
        <v>248.92</v>
      </c>
      <c r="M27" s="228">
        <v>238.96</v>
      </c>
      <c r="N27" s="228">
        <v>9.9600000000000009</v>
      </c>
      <c r="O27" s="229">
        <v>4.1700000000000001E-2</v>
      </c>
      <c r="P27" s="228">
        <v>250.2</v>
      </c>
      <c r="Q27" s="228">
        <v>240.15</v>
      </c>
      <c r="R27" s="228">
        <v>10.050000000000001</v>
      </c>
      <c r="S27" s="229">
        <v>4.1799999999999997E-2</v>
      </c>
      <c r="T27" s="228">
        <v>251.64</v>
      </c>
      <c r="U27" s="228">
        <v>241.66</v>
      </c>
      <c r="V27" s="228">
        <v>9.98</v>
      </c>
      <c r="W27" s="229">
        <v>4.1300000000000003E-2</v>
      </c>
      <c r="X27" s="228">
        <v>0.26</v>
      </c>
      <c r="Y27" s="228">
        <v>0.45</v>
      </c>
      <c r="Z27" s="228">
        <v>-0.19</v>
      </c>
      <c r="AA27" s="229">
        <v>1E-3</v>
      </c>
      <c r="AB27" s="228">
        <v>0.26</v>
      </c>
      <c r="AC27" s="228">
        <v>0.45</v>
      </c>
      <c r="AD27" s="228">
        <v>-0.19</v>
      </c>
      <c r="AE27" s="229">
        <v>1E-3</v>
      </c>
      <c r="AF27" s="228">
        <v>1.54</v>
      </c>
      <c r="AG27" s="228">
        <v>1.64</v>
      </c>
      <c r="AH27" s="228">
        <v>-0.1</v>
      </c>
      <c r="AI27" s="229">
        <v>6.1999999999999998E-3</v>
      </c>
      <c r="AJ27" s="228">
        <v>2.98</v>
      </c>
      <c r="AK27" s="228">
        <v>3.15</v>
      </c>
      <c r="AL27" s="228">
        <v>-0.17</v>
      </c>
      <c r="AM27" s="229">
        <v>1.2E-2</v>
      </c>
      <c r="AN27" s="228">
        <v>246.66</v>
      </c>
      <c r="AO27" s="228">
        <v>247.99</v>
      </c>
      <c r="AP27" s="228">
        <v>0</v>
      </c>
      <c r="AQ27" s="230">
        <v>53489</v>
      </c>
      <c r="AR27" s="230">
        <v>20608</v>
      </c>
      <c r="AS27" s="230">
        <v>32881</v>
      </c>
      <c r="AT27" s="229">
        <v>1.5954999999999999</v>
      </c>
      <c r="AU27" s="230">
        <v>25322</v>
      </c>
      <c r="AV27" s="230">
        <v>11756</v>
      </c>
      <c r="AW27" s="230">
        <v>13566</v>
      </c>
      <c r="AX27" s="229">
        <v>1.1539999999999999</v>
      </c>
      <c r="AY27" s="230">
        <v>25733</v>
      </c>
      <c r="AZ27" s="230">
        <v>7861</v>
      </c>
      <c r="BA27" s="230">
        <v>17872</v>
      </c>
      <c r="BB27" s="229">
        <v>2.2734999999999999</v>
      </c>
      <c r="BC27" s="230">
        <v>2434</v>
      </c>
      <c r="BD27" s="228">
        <v>991</v>
      </c>
      <c r="BE27" s="230">
        <v>1443</v>
      </c>
      <c r="BF27" s="229">
        <v>1.4560999999999999</v>
      </c>
      <c r="BG27" s="230">
        <v>136848</v>
      </c>
      <c r="BH27" s="230">
        <v>65667</v>
      </c>
      <c r="BI27" s="230">
        <v>71181</v>
      </c>
      <c r="BJ27" s="229">
        <v>1.0840000000000001</v>
      </c>
      <c r="BK27" s="230">
        <v>58283</v>
      </c>
      <c r="BL27" s="230">
        <v>33552</v>
      </c>
      <c r="BM27" s="230">
        <v>24731</v>
      </c>
      <c r="BN27" s="229">
        <v>0.73709999999999998</v>
      </c>
      <c r="BO27" s="230">
        <v>248620</v>
      </c>
      <c r="BP27" s="230">
        <v>119827</v>
      </c>
      <c r="BQ27" s="230">
        <v>128793</v>
      </c>
      <c r="BR27" s="229">
        <v>1.0748</v>
      </c>
      <c r="BS27" s="230">
        <v>77026260</v>
      </c>
      <c r="BT27" s="230">
        <v>41936121</v>
      </c>
      <c r="BU27" s="230">
        <v>35090139</v>
      </c>
      <c r="BV27" s="229">
        <v>0.83679999999999999</v>
      </c>
      <c r="BW27" s="230">
        <v>192984350</v>
      </c>
      <c r="BX27" s="230">
        <v>182117950</v>
      </c>
      <c r="BY27" s="230">
        <v>10866400</v>
      </c>
      <c r="BZ27" s="229">
        <v>5.9700000000000003E-2</v>
      </c>
      <c r="CA27" s="230">
        <v>93031800</v>
      </c>
      <c r="CB27" s="230">
        <v>116921900</v>
      </c>
      <c r="CC27" s="230">
        <v>-23890100</v>
      </c>
      <c r="CD27" s="229">
        <v>-0.20430000000000001</v>
      </c>
      <c r="CE27" s="230">
        <v>85991200</v>
      </c>
      <c r="CF27" s="230">
        <v>55253200</v>
      </c>
      <c r="CG27" s="230">
        <v>30738000</v>
      </c>
      <c r="CH27" s="229">
        <v>0.55630000000000002</v>
      </c>
      <c r="CI27" s="230">
        <v>13961350</v>
      </c>
      <c r="CJ27" s="230">
        <v>9942850</v>
      </c>
      <c r="CK27" s="230">
        <v>4018500</v>
      </c>
      <c r="CL27" s="229">
        <v>0.4042</v>
      </c>
      <c r="CM27" s="230">
        <v>72380000</v>
      </c>
      <c r="CN27" s="230">
        <v>79643850</v>
      </c>
      <c r="CO27" s="230">
        <v>-7263850</v>
      </c>
      <c r="CP27" s="229">
        <v>-9.1200000000000003E-2</v>
      </c>
      <c r="CQ27" s="230">
        <v>51554300</v>
      </c>
      <c r="CR27" s="230">
        <v>53204000</v>
      </c>
      <c r="CS27" s="230">
        <v>-1649700</v>
      </c>
      <c r="CT27" s="229">
        <v>-3.1E-2</v>
      </c>
      <c r="CU27" s="230">
        <v>316918650</v>
      </c>
      <c r="CV27" s="230">
        <v>314965800</v>
      </c>
      <c r="CW27" s="230">
        <v>1952850</v>
      </c>
      <c r="CX27" s="229">
        <v>6.1999999999999998E-3</v>
      </c>
      <c r="CY27" s="228">
        <v>36.700000000000003</v>
      </c>
      <c r="CZ27" s="228">
        <v>36.93</v>
      </c>
      <c r="DA27" s="228">
        <v>-0.23</v>
      </c>
      <c r="DB27" s="228">
        <v>-0.23</v>
      </c>
      <c r="DC27" s="228">
        <v>37.76</v>
      </c>
      <c r="DD27" s="228">
        <v>37.450000000000003</v>
      </c>
      <c r="DE27" s="228">
        <v>-1.06</v>
      </c>
      <c r="DF27" s="228">
        <v>0.31</v>
      </c>
      <c r="DG27" s="228">
        <v>36.799999999999997</v>
      </c>
      <c r="DH27" s="228">
        <v>37.049999999999997</v>
      </c>
      <c r="DI27" s="228">
        <v>-0.25</v>
      </c>
      <c r="DJ27" s="228">
        <v>-0.25</v>
      </c>
      <c r="DK27" s="228">
        <v>36.39</v>
      </c>
      <c r="DL27" s="228">
        <v>36.71</v>
      </c>
      <c r="DM27" s="228">
        <v>-0.32</v>
      </c>
      <c r="DN27" s="228">
        <v>-0.32</v>
      </c>
      <c r="DO27" s="228">
        <v>0.71</v>
      </c>
      <c r="DP27" s="228">
        <v>0.67</v>
      </c>
      <c r="DQ27" s="228">
        <v>0.04</v>
      </c>
      <c r="DR27" s="229">
        <v>5.9700000000000003E-2</v>
      </c>
      <c r="DS27" s="228">
        <v>250</v>
      </c>
      <c r="DT27" s="228">
        <v>240</v>
      </c>
      <c r="DU27" s="228">
        <v>0.43</v>
      </c>
      <c r="DV27" s="228">
        <v>0.51</v>
      </c>
      <c r="DW27" s="228">
        <v>-0.08</v>
      </c>
      <c r="DX27" s="229">
        <v>-0.15690000000000001</v>
      </c>
      <c r="DY27" s="229">
        <v>0.51790000000000003</v>
      </c>
      <c r="DZ27" s="230">
        <v>65196050</v>
      </c>
      <c r="EA27" s="229">
        <v>5.1000000000000004E-3</v>
      </c>
      <c r="EB27" s="229">
        <v>0.51790000000000003</v>
      </c>
      <c r="EC27" s="228">
        <v>1.33</v>
      </c>
      <c r="ED27" s="229">
        <v>5.4000000000000003E-3</v>
      </c>
      <c r="EE27" s="230">
        <v>25614662</v>
      </c>
      <c r="EF27" s="230">
        <v>20144008</v>
      </c>
      <c r="EG27" s="229">
        <v>0.27160000000000001</v>
      </c>
      <c r="EH27" s="229">
        <v>0.33250000000000002</v>
      </c>
      <c r="EI27" s="231">
        <v>826441.68</v>
      </c>
      <c r="EJ27" s="231">
        <v>330732.06</v>
      </c>
      <c r="EK27" s="231">
        <v>311134.45</v>
      </c>
      <c r="EL27" s="231">
        <v>16377</v>
      </c>
      <c r="EM27" s="231">
        <v>1468308.19</v>
      </c>
      <c r="EN27" s="231">
        <v>686074.79</v>
      </c>
      <c r="EO27" s="231">
        <v>782233.4</v>
      </c>
      <c r="EP27" s="229">
        <v>1.1402000000000001</v>
      </c>
      <c r="EQ27" s="231">
        <v>185543</v>
      </c>
      <c r="ER27" s="231">
        <v>125104</v>
      </c>
      <c r="ES27" s="231">
        <v>481857</v>
      </c>
      <c r="ET27" s="231">
        <v>490240515</v>
      </c>
      <c r="EU27" s="231">
        <v>792504</v>
      </c>
      <c r="EV27" s="231">
        <v>765848</v>
      </c>
      <c r="EW27" s="231">
        <v>26656</v>
      </c>
      <c r="EX27" s="229">
        <v>3.4799999999999998E-2</v>
      </c>
      <c r="EY27" s="229">
        <v>0.64649999999999996</v>
      </c>
    </row>
    <row r="28" spans="1:155" ht="17.25" thickBot="1" x14ac:dyDescent="0.3">
      <c r="A28" s="226">
        <v>46135</v>
      </c>
      <c r="B28" s="227" t="s">
        <v>227</v>
      </c>
      <c r="C28" s="227" t="s">
        <v>244</v>
      </c>
      <c r="D28" s="231">
        <v>1254.9000000000001</v>
      </c>
      <c r="E28" s="231">
        <v>1265.4000000000001</v>
      </c>
      <c r="F28" s="228">
        <v>-10.5</v>
      </c>
      <c r="G28" s="229">
        <v>-8.3000000000000001E-3</v>
      </c>
      <c r="H28" s="231">
        <v>1257</v>
      </c>
      <c r="I28" s="231">
        <v>1263.4000000000001</v>
      </c>
      <c r="J28" s="228">
        <v>-6.4</v>
      </c>
      <c r="K28" s="229">
        <v>-5.1000000000000004E-3</v>
      </c>
      <c r="L28" s="231">
        <v>1254.9000000000001</v>
      </c>
      <c r="M28" s="231">
        <v>1265.4000000000001</v>
      </c>
      <c r="N28" s="228">
        <v>-10.5</v>
      </c>
      <c r="O28" s="229">
        <v>-8.3000000000000001E-3</v>
      </c>
      <c r="P28" s="231">
        <v>1262</v>
      </c>
      <c r="Q28" s="231">
        <v>1272.0999999999999</v>
      </c>
      <c r="R28" s="228">
        <v>-10.1</v>
      </c>
      <c r="S28" s="229">
        <v>-7.9000000000000008E-3</v>
      </c>
      <c r="T28" s="231">
        <v>1271.7</v>
      </c>
      <c r="U28" s="231">
        <v>1280.4000000000001</v>
      </c>
      <c r="V28" s="228">
        <v>-8.6999999999999993</v>
      </c>
      <c r="W28" s="229">
        <v>-6.7999999999999996E-3</v>
      </c>
      <c r="X28" s="228">
        <v>-2.1</v>
      </c>
      <c r="Y28" s="228">
        <v>2</v>
      </c>
      <c r="Z28" s="228">
        <v>-4.0999999999999996</v>
      </c>
      <c r="AA28" s="229">
        <v>-1.6999999999999999E-3</v>
      </c>
      <c r="AB28" s="228">
        <v>-2.1</v>
      </c>
      <c r="AC28" s="228">
        <v>2</v>
      </c>
      <c r="AD28" s="228">
        <v>-4.0999999999999996</v>
      </c>
      <c r="AE28" s="229">
        <v>-1.6999999999999999E-3</v>
      </c>
      <c r="AF28" s="228">
        <v>5</v>
      </c>
      <c r="AG28" s="228">
        <v>8.6999999999999993</v>
      </c>
      <c r="AH28" s="228">
        <v>-3.7</v>
      </c>
      <c r="AI28" s="229">
        <v>4.0000000000000001E-3</v>
      </c>
      <c r="AJ28" s="228">
        <v>14.7</v>
      </c>
      <c r="AK28" s="228">
        <v>17</v>
      </c>
      <c r="AL28" s="228">
        <v>-2.2999999999999998</v>
      </c>
      <c r="AM28" s="229">
        <v>1.17E-2</v>
      </c>
      <c r="AN28" s="231">
        <v>1257.45</v>
      </c>
      <c r="AO28" s="231">
        <v>1264.49</v>
      </c>
      <c r="AP28" s="228">
        <v>0</v>
      </c>
      <c r="AQ28" s="230">
        <v>38726</v>
      </c>
      <c r="AR28" s="230">
        <v>11569</v>
      </c>
      <c r="AS28" s="230">
        <v>27157</v>
      </c>
      <c r="AT28" s="229">
        <v>2.3473999999999999</v>
      </c>
      <c r="AU28" s="230">
        <v>20096</v>
      </c>
      <c r="AV28" s="230">
        <v>6969</v>
      </c>
      <c r="AW28" s="230">
        <v>13127</v>
      </c>
      <c r="AX28" s="229">
        <v>1.8835999999999999</v>
      </c>
      <c r="AY28" s="230">
        <v>18528</v>
      </c>
      <c r="AZ28" s="230">
        <v>3762</v>
      </c>
      <c r="BA28" s="230">
        <v>14766</v>
      </c>
      <c r="BB28" s="229">
        <v>3.9249999999999998</v>
      </c>
      <c r="BC28" s="228">
        <v>102</v>
      </c>
      <c r="BD28" s="228">
        <v>838</v>
      </c>
      <c r="BE28" s="228">
        <v>-736</v>
      </c>
      <c r="BF28" s="229">
        <v>-0.87829999999999997</v>
      </c>
      <c r="BG28" s="230">
        <v>12061</v>
      </c>
      <c r="BH28" s="230">
        <v>15548</v>
      </c>
      <c r="BI28" s="230">
        <v>-3487</v>
      </c>
      <c r="BJ28" s="229">
        <v>-0.2243</v>
      </c>
      <c r="BK28" s="230">
        <v>5816</v>
      </c>
      <c r="BL28" s="230">
        <v>10340</v>
      </c>
      <c r="BM28" s="230">
        <v>-4524</v>
      </c>
      <c r="BN28" s="229">
        <v>-0.4375</v>
      </c>
      <c r="BO28" s="230">
        <v>56603</v>
      </c>
      <c r="BP28" s="230">
        <v>37457</v>
      </c>
      <c r="BQ28" s="230">
        <v>19146</v>
      </c>
      <c r="BR28" s="229">
        <v>0.5111</v>
      </c>
      <c r="BS28" s="230">
        <v>1743929</v>
      </c>
      <c r="BT28" s="230">
        <v>2982876</v>
      </c>
      <c r="BU28" s="230">
        <v>-1238947</v>
      </c>
      <c r="BV28" s="229">
        <v>-0.41539999999999999</v>
      </c>
      <c r="BW28" s="230">
        <v>49832550</v>
      </c>
      <c r="BX28" s="230">
        <v>49842675</v>
      </c>
      <c r="BY28" s="230">
        <v>-10125</v>
      </c>
      <c r="BZ28" s="229">
        <v>-2.0000000000000001E-4</v>
      </c>
      <c r="CA28" s="230">
        <v>23083650</v>
      </c>
      <c r="CB28" s="230">
        <v>34663950</v>
      </c>
      <c r="CC28" s="230">
        <v>-11580300</v>
      </c>
      <c r="CD28" s="229">
        <v>-0.33410000000000001</v>
      </c>
      <c r="CE28" s="230">
        <v>26023275</v>
      </c>
      <c r="CF28" s="230">
        <v>14500350</v>
      </c>
      <c r="CG28" s="230">
        <v>11522925</v>
      </c>
      <c r="CH28" s="229">
        <v>0.79469999999999996</v>
      </c>
      <c r="CI28" s="230">
        <v>725625</v>
      </c>
      <c r="CJ28" s="230">
        <v>678375</v>
      </c>
      <c r="CK28" s="230">
        <v>47250</v>
      </c>
      <c r="CL28" s="229">
        <v>6.9699999999999998E-2</v>
      </c>
      <c r="CM28" s="230">
        <v>6778350</v>
      </c>
      <c r="CN28" s="230">
        <v>6853275</v>
      </c>
      <c r="CO28" s="230">
        <v>-74925</v>
      </c>
      <c r="CP28" s="229">
        <v>-1.09E-2</v>
      </c>
      <c r="CQ28" s="230">
        <v>6024375</v>
      </c>
      <c r="CR28" s="230">
        <v>6145875</v>
      </c>
      <c r="CS28" s="230">
        <v>-121500</v>
      </c>
      <c r="CT28" s="229">
        <v>-1.9800000000000002E-2</v>
      </c>
      <c r="CU28" s="230">
        <v>62635275</v>
      </c>
      <c r="CV28" s="230">
        <v>62841825</v>
      </c>
      <c r="CW28" s="230">
        <v>-206550</v>
      </c>
      <c r="CX28" s="229">
        <v>-3.3E-3</v>
      </c>
      <c r="CY28" s="228">
        <v>29.04</v>
      </c>
      <c r="CZ28" s="228">
        <v>26.44</v>
      </c>
      <c r="DA28" s="228">
        <v>2.6</v>
      </c>
      <c r="DB28" s="228">
        <v>2.6</v>
      </c>
      <c r="DC28" s="228">
        <v>32.01</v>
      </c>
      <c r="DD28" s="228">
        <v>32.07</v>
      </c>
      <c r="DE28" s="228">
        <v>-2.97</v>
      </c>
      <c r="DF28" s="228">
        <v>-0.06</v>
      </c>
      <c r="DG28" s="228">
        <v>28.77</v>
      </c>
      <c r="DH28" s="228">
        <v>25.95</v>
      </c>
      <c r="DI28" s="228">
        <v>2.82</v>
      </c>
      <c r="DJ28" s="228">
        <v>2.82</v>
      </c>
      <c r="DK28" s="228">
        <v>29.54</v>
      </c>
      <c r="DL28" s="228">
        <v>27.17</v>
      </c>
      <c r="DM28" s="228">
        <v>2.37</v>
      </c>
      <c r="DN28" s="228">
        <v>2.37</v>
      </c>
      <c r="DO28" s="228">
        <v>0.89</v>
      </c>
      <c r="DP28" s="228">
        <v>0.9</v>
      </c>
      <c r="DQ28" s="228">
        <v>-0.01</v>
      </c>
      <c r="DR28" s="229">
        <v>-1.11E-2</v>
      </c>
      <c r="DS28" s="231">
        <v>1300</v>
      </c>
      <c r="DT28" s="231">
        <v>1260</v>
      </c>
      <c r="DU28" s="228">
        <v>0.48</v>
      </c>
      <c r="DV28" s="228">
        <v>0.67</v>
      </c>
      <c r="DW28" s="228">
        <v>-0.19</v>
      </c>
      <c r="DX28" s="229">
        <v>-0.28360000000000002</v>
      </c>
      <c r="DY28" s="229">
        <v>0.53680000000000005</v>
      </c>
      <c r="DZ28" s="230">
        <v>15178725</v>
      </c>
      <c r="EA28" s="229">
        <v>5.7000000000000002E-3</v>
      </c>
      <c r="EB28" s="229">
        <v>0.53680000000000005</v>
      </c>
      <c r="EC28" s="228">
        <v>7.04</v>
      </c>
      <c r="ED28" s="229">
        <v>5.5999999999999999E-3</v>
      </c>
      <c r="EE28" s="230">
        <v>818351</v>
      </c>
      <c r="EF28" s="230">
        <v>1786738</v>
      </c>
      <c r="EG28" s="229">
        <v>-0.54200000000000004</v>
      </c>
      <c r="EH28" s="229">
        <v>0.46929999999999999</v>
      </c>
      <c r="EI28" s="231">
        <v>105269.9</v>
      </c>
      <c r="EJ28" s="231">
        <v>48613.2</v>
      </c>
      <c r="EK28" s="231">
        <v>329590.31</v>
      </c>
      <c r="EL28" s="231">
        <v>11103</v>
      </c>
      <c r="EM28" s="231">
        <v>483473.41</v>
      </c>
      <c r="EN28" s="231">
        <v>324184.06</v>
      </c>
      <c r="EO28" s="231">
        <v>159289.35</v>
      </c>
      <c r="EP28" s="229">
        <v>0.4914</v>
      </c>
      <c r="EQ28" s="231">
        <v>85430</v>
      </c>
      <c r="ER28" s="231">
        <v>69866</v>
      </c>
      <c r="ES28" s="231">
        <v>627318</v>
      </c>
      <c r="ET28" s="231">
        <v>133242960</v>
      </c>
      <c r="EU28" s="231">
        <v>782614</v>
      </c>
      <c r="EV28" s="231">
        <v>789551</v>
      </c>
      <c r="EW28" s="231">
        <v>-6937</v>
      </c>
      <c r="EX28" s="229">
        <v>-8.8000000000000005E-3</v>
      </c>
      <c r="EY28" s="229">
        <v>0.47010000000000002</v>
      </c>
    </row>
    <row r="29" spans="1:155" ht="17.25" thickBot="1" x14ac:dyDescent="0.3">
      <c r="A29" s="226">
        <v>46135</v>
      </c>
      <c r="B29" s="227" t="s">
        <v>172</v>
      </c>
      <c r="C29" s="227" t="s">
        <v>246</v>
      </c>
      <c r="D29" s="228">
        <v>370.75</v>
      </c>
      <c r="E29" s="228">
        <v>377.35</v>
      </c>
      <c r="F29" s="228">
        <v>-6.6</v>
      </c>
      <c r="G29" s="229">
        <v>-1.7500000000000002E-2</v>
      </c>
      <c r="H29" s="228">
        <v>370.4</v>
      </c>
      <c r="I29" s="228">
        <v>376.85</v>
      </c>
      <c r="J29" s="228">
        <v>-6.45</v>
      </c>
      <c r="K29" s="229">
        <v>-1.7100000000000001E-2</v>
      </c>
      <c r="L29" s="228">
        <v>370.75</v>
      </c>
      <c r="M29" s="228">
        <v>377.35</v>
      </c>
      <c r="N29" s="228">
        <v>-6.6</v>
      </c>
      <c r="O29" s="229">
        <v>-1.7500000000000002E-2</v>
      </c>
      <c r="P29" s="228">
        <v>372.9</v>
      </c>
      <c r="Q29" s="228">
        <v>379.45</v>
      </c>
      <c r="R29" s="228">
        <v>-6.55</v>
      </c>
      <c r="S29" s="229">
        <v>-1.7299999999999999E-2</v>
      </c>
      <c r="T29" s="228">
        <v>375.2</v>
      </c>
      <c r="U29" s="228">
        <v>381.9</v>
      </c>
      <c r="V29" s="228">
        <v>-6.7</v>
      </c>
      <c r="W29" s="229">
        <v>-1.7500000000000002E-2</v>
      </c>
      <c r="X29" s="228">
        <v>0.35</v>
      </c>
      <c r="Y29" s="228">
        <v>0.5</v>
      </c>
      <c r="Z29" s="228">
        <v>-0.15</v>
      </c>
      <c r="AA29" s="229">
        <v>8.9999999999999998E-4</v>
      </c>
      <c r="AB29" s="228">
        <v>0.35</v>
      </c>
      <c r="AC29" s="228">
        <v>0.5</v>
      </c>
      <c r="AD29" s="228">
        <v>-0.15</v>
      </c>
      <c r="AE29" s="229">
        <v>8.9999999999999998E-4</v>
      </c>
      <c r="AF29" s="228">
        <v>2.5</v>
      </c>
      <c r="AG29" s="228">
        <v>2.6</v>
      </c>
      <c r="AH29" s="228">
        <v>-0.1</v>
      </c>
      <c r="AI29" s="229">
        <v>6.7000000000000002E-3</v>
      </c>
      <c r="AJ29" s="228">
        <v>4.8</v>
      </c>
      <c r="AK29" s="228">
        <v>5.05</v>
      </c>
      <c r="AL29" s="228">
        <v>-0.25</v>
      </c>
      <c r="AM29" s="229">
        <v>1.2999999999999999E-2</v>
      </c>
      <c r="AN29" s="228">
        <v>371.7</v>
      </c>
      <c r="AO29" s="228">
        <v>373.89</v>
      </c>
      <c r="AP29" s="228">
        <v>0</v>
      </c>
      <c r="AQ29" s="230">
        <v>44130</v>
      </c>
      <c r="AR29" s="230">
        <v>21465</v>
      </c>
      <c r="AS29" s="230">
        <v>22665</v>
      </c>
      <c r="AT29" s="229">
        <v>1.0559000000000001</v>
      </c>
      <c r="AU29" s="230">
        <v>20783</v>
      </c>
      <c r="AV29" s="230">
        <v>10486</v>
      </c>
      <c r="AW29" s="230">
        <v>10297</v>
      </c>
      <c r="AX29" s="229">
        <v>0.98199999999999998</v>
      </c>
      <c r="AY29" s="230">
        <v>19154</v>
      </c>
      <c r="AZ29" s="230">
        <v>10004</v>
      </c>
      <c r="BA29" s="230">
        <v>9150</v>
      </c>
      <c r="BB29" s="229">
        <v>0.91459999999999997</v>
      </c>
      <c r="BC29" s="230">
        <v>4193</v>
      </c>
      <c r="BD29" s="228">
        <v>975</v>
      </c>
      <c r="BE29" s="230">
        <v>3218</v>
      </c>
      <c r="BF29" s="229">
        <v>3.3005</v>
      </c>
      <c r="BG29" s="230">
        <v>24487</v>
      </c>
      <c r="BH29" s="230">
        <v>16745</v>
      </c>
      <c r="BI29" s="230">
        <v>7742</v>
      </c>
      <c r="BJ29" s="229">
        <v>0.46229999999999999</v>
      </c>
      <c r="BK29" s="230">
        <v>13846</v>
      </c>
      <c r="BL29" s="230">
        <v>6983</v>
      </c>
      <c r="BM29" s="230">
        <v>6863</v>
      </c>
      <c r="BN29" s="229">
        <v>0.98280000000000001</v>
      </c>
      <c r="BO29" s="230">
        <v>82463</v>
      </c>
      <c r="BP29" s="230">
        <v>45193</v>
      </c>
      <c r="BQ29" s="230">
        <v>37270</v>
      </c>
      <c r="BR29" s="229">
        <v>0.82469999999999999</v>
      </c>
      <c r="BS29" s="230">
        <v>31843771</v>
      </c>
      <c r="BT29" s="230">
        <v>17342185</v>
      </c>
      <c r="BU29" s="230">
        <v>14501586</v>
      </c>
      <c r="BV29" s="229">
        <v>0.83620000000000005</v>
      </c>
      <c r="BW29" s="230">
        <v>234936000</v>
      </c>
      <c r="BX29" s="230">
        <v>224774000</v>
      </c>
      <c r="BY29" s="230">
        <v>10162000</v>
      </c>
      <c r="BZ29" s="229">
        <v>4.5199999999999997E-2</v>
      </c>
      <c r="CA29" s="230">
        <v>93358000</v>
      </c>
      <c r="CB29" s="230">
        <v>125686000</v>
      </c>
      <c r="CC29" s="230">
        <v>-32328000</v>
      </c>
      <c r="CD29" s="229">
        <v>-0.25719999999999998</v>
      </c>
      <c r="CE29" s="230">
        <v>112594000</v>
      </c>
      <c r="CF29" s="230">
        <v>78156000</v>
      </c>
      <c r="CG29" s="230">
        <v>34438000</v>
      </c>
      <c r="CH29" s="229">
        <v>0.44059999999999999</v>
      </c>
      <c r="CI29" s="230">
        <v>28984000</v>
      </c>
      <c r="CJ29" s="230">
        <v>20932000</v>
      </c>
      <c r="CK29" s="230">
        <v>8052000</v>
      </c>
      <c r="CL29" s="229">
        <v>0.38469999999999999</v>
      </c>
      <c r="CM29" s="230">
        <v>37174000</v>
      </c>
      <c r="CN29" s="230">
        <v>35730000</v>
      </c>
      <c r="CO29" s="230">
        <v>1444000</v>
      </c>
      <c r="CP29" s="229">
        <v>4.0399999999999998E-2</v>
      </c>
      <c r="CQ29" s="230">
        <v>29858000</v>
      </c>
      <c r="CR29" s="230">
        <v>29108000</v>
      </c>
      <c r="CS29" s="230">
        <v>750000</v>
      </c>
      <c r="CT29" s="229">
        <v>2.58E-2</v>
      </c>
      <c r="CU29" s="230">
        <v>301968000</v>
      </c>
      <c r="CV29" s="230">
        <v>289612000</v>
      </c>
      <c r="CW29" s="230">
        <v>12356000</v>
      </c>
      <c r="CX29" s="229">
        <v>4.2700000000000002E-2</v>
      </c>
      <c r="CY29" s="228">
        <v>29.53</v>
      </c>
      <c r="CZ29" s="228">
        <v>25.22</v>
      </c>
      <c r="DA29" s="228">
        <v>4.3099999999999996</v>
      </c>
      <c r="DB29" s="228">
        <v>4.3099999999999996</v>
      </c>
      <c r="DC29" s="228">
        <v>27.3</v>
      </c>
      <c r="DD29" s="228">
        <v>27.26</v>
      </c>
      <c r="DE29" s="228">
        <v>2.23</v>
      </c>
      <c r="DF29" s="228">
        <v>0.04</v>
      </c>
      <c r="DG29" s="228">
        <v>30.1</v>
      </c>
      <c r="DH29" s="228">
        <v>25.56</v>
      </c>
      <c r="DI29" s="228">
        <v>4.54</v>
      </c>
      <c r="DJ29" s="228">
        <v>4.54</v>
      </c>
      <c r="DK29" s="228">
        <v>28.66</v>
      </c>
      <c r="DL29" s="228">
        <v>24.4</v>
      </c>
      <c r="DM29" s="228">
        <v>4.26</v>
      </c>
      <c r="DN29" s="228">
        <v>4.26</v>
      </c>
      <c r="DO29" s="228">
        <v>0.8</v>
      </c>
      <c r="DP29" s="228">
        <v>0.81</v>
      </c>
      <c r="DQ29" s="228">
        <v>-0.01</v>
      </c>
      <c r="DR29" s="229">
        <v>-1.23E-2</v>
      </c>
      <c r="DS29" s="228">
        <v>370</v>
      </c>
      <c r="DT29" s="228">
        <v>335</v>
      </c>
      <c r="DU29" s="228">
        <v>0.56999999999999995</v>
      </c>
      <c r="DV29" s="228">
        <v>0.42</v>
      </c>
      <c r="DW29" s="228">
        <v>0.15</v>
      </c>
      <c r="DX29" s="229">
        <v>0.35709999999999997</v>
      </c>
      <c r="DY29" s="229">
        <v>0.60260000000000002</v>
      </c>
      <c r="DZ29" s="230">
        <v>99088000</v>
      </c>
      <c r="EA29" s="229">
        <v>5.7999999999999996E-3</v>
      </c>
      <c r="EB29" s="229">
        <v>0.60260000000000002</v>
      </c>
      <c r="EC29" s="228">
        <v>2.19</v>
      </c>
      <c r="ED29" s="229">
        <v>5.8999999999999999E-3</v>
      </c>
      <c r="EE29" s="230">
        <v>21547339</v>
      </c>
      <c r="EF29" s="230">
        <v>13052506</v>
      </c>
      <c r="EG29" s="229">
        <v>0.65080000000000005</v>
      </c>
      <c r="EH29" s="229">
        <v>0.67669999999999997</v>
      </c>
      <c r="EI29" s="231">
        <v>188340.29</v>
      </c>
      <c r="EJ29" s="231">
        <v>103983.99</v>
      </c>
      <c r="EK29" s="231">
        <v>329257.42</v>
      </c>
      <c r="EL29" s="231">
        <v>17857</v>
      </c>
      <c r="EM29" s="231">
        <v>621581.69999999995</v>
      </c>
      <c r="EN29" s="231">
        <v>347952.69</v>
      </c>
      <c r="EO29" s="231">
        <v>273629.01</v>
      </c>
      <c r="EP29" s="229">
        <v>0.78639999999999999</v>
      </c>
      <c r="EQ29" s="231">
        <v>144438</v>
      </c>
      <c r="ER29" s="231">
        <v>107442</v>
      </c>
      <c r="ES29" s="231">
        <v>874736</v>
      </c>
      <c r="ET29" s="231">
        <v>882793124</v>
      </c>
      <c r="EU29" s="231">
        <v>1126616</v>
      </c>
      <c r="EV29" s="231">
        <v>1094607</v>
      </c>
      <c r="EW29" s="231">
        <v>32009</v>
      </c>
      <c r="EX29" s="229">
        <v>2.92E-2</v>
      </c>
      <c r="EY29" s="229">
        <v>0.34210000000000002</v>
      </c>
    </row>
    <row r="30" spans="1:155" ht="17.25" thickBot="1" x14ac:dyDescent="0.3">
      <c r="A30" s="226">
        <v>46135</v>
      </c>
      <c r="B30" s="227" t="s">
        <v>184</v>
      </c>
      <c r="C30" s="227" t="s">
        <v>249</v>
      </c>
      <c r="D30" s="231">
        <v>4057.6</v>
      </c>
      <c r="E30" s="231">
        <v>4025.4</v>
      </c>
      <c r="F30" s="228">
        <v>32.200000000000003</v>
      </c>
      <c r="G30" s="229">
        <v>8.0000000000000002E-3</v>
      </c>
      <c r="H30" s="231">
        <v>4054.1</v>
      </c>
      <c r="I30" s="231">
        <v>4021.1</v>
      </c>
      <c r="J30" s="228">
        <v>33</v>
      </c>
      <c r="K30" s="229">
        <v>8.2000000000000007E-3</v>
      </c>
      <c r="L30" s="231">
        <v>4057.6</v>
      </c>
      <c r="M30" s="231">
        <v>4025.4</v>
      </c>
      <c r="N30" s="228">
        <v>32.200000000000003</v>
      </c>
      <c r="O30" s="229">
        <v>8.0000000000000002E-3</v>
      </c>
      <c r="P30" s="231">
        <v>4078.9</v>
      </c>
      <c r="Q30" s="231">
        <v>4046.6</v>
      </c>
      <c r="R30" s="228">
        <v>32.299999999999997</v>
      </c>
      <c r="S30" s="229">
        <v>8.0000000000000002E-3</v>
      </c>
      <c r="T30" s="231">
        <v>4078.8</v>
      </c>
      <c r="U30" s="231">
        <v>4046.8</v>
      </c>
      <c r="V30" s="228">
        <v>32</v>
      </c>
      <c r="W30" s="229">
        <v>7.9000000000000008E-3</v>
      </c>
      <c r="X30" s="228">
        <v>3.5</v>
      </c>
      <c r="Y30" s="228">
        <v>4.3</v>
      </c>
      <c r="Z30" s="228">
        <v>-0.8</v>
      </c>
      <c r="AA30" s="229">
        <v>8.9999999999999998E-4</v>
      </c>
      <c r="AB30" s="228">
        <v>3.5</v>
      </c>
      <c r="AC30" s="228">
        <v>4.3</v>
      </c>
      <c r="AD30" s="228">
        <v>-0.8</v>
      </c>
      <c r="AE30" s="229">
        <v>8.9999999999999998E-4</v>
      </c>
      <c r="AF30" s="228">
        <v>24.8</v>
      </c>
      <c r="AG30" s="228">
        <v>25.5</v>
      </c>
      <c r="AH30" s="228">
        <v>-0.7</v>
      </c>
      <c r="AI30" s="229">
        <v>6.1000000000000004E-3</v>
      </c>
      <c r="AJ30" s="228">
        <v>24.7</v>
      </c>
      <c r="AK30" s="228">
        <v>25.7</v>
      </c>
      <c r="AL30" s="228">
        <v>-1</v>
      </c>
      <c r="AM30" s="229">
        <v>6.1000000000000004E-3</v>
      </c>
      <c r="AN30" s="231">
        <v>4043.15</v>
      </c>
      <c r="AO30" s="231">
        <v>4065.65</v>
      </c>
      <c r="AP30" s="228">
        <v>0</v>
      </c>
      <c r="AQ30" s="230">
        <v>32967</v>
      </c>
      <c r="AR30" s="230">
        <v>17870</v>
      </c>
      <c r="AS30" s="230">
        <v>15097</v>
      </c>
      <c r="AT30" s="229">
        <v>0.8448</v>
      </c>
      <c r="AU30" s="230">
        <v>16936</v>
      </c>
      <c r="AV30" s="230">
        <v>10539</v>
      </c>
      <c r="AW30" s="230">
        <v>6397</v>
      </c>
      <c r="AX30" s="229">
        <v>0.60699999999999998</v>
      </c>
      <c r="AY30" s="230">
        <v>15552</v>
      </c>
      <c r="AZ30" s="230">
        <v>6731</v>
      </c>
      <c r="BA30" s="230">
        <v>8821</v>
      </c>
      <c r="BB30" s="229">
        <v>1.3105</v>
      </c>
      <c r="BC30" s="228">
        <v>479</v>
      </c>
      <c r="BD30" s="228">
        <v>600</v>
      </c>
      <c r="BE30" s="228">
        <v>-121</v>
      </c>
      <c r="BF30" s="229">
        <v>-0.20169999999999999</v>
      </c>
      <c r="BG30" s="230">
        <v>44265</v>
      </c>
      <c r="BH30" s="230">
        <v>53598</v>
      </c>
      <c r="BI30" s="230">
        <v>-9333</v>
      </c>
      <c r="BJ30" s="229">
        <v>-0.1741</v>
      </c>
      <c r="BK30" s="230">
        <v>27995</v>
      </c>
      <c r="BL30" s="230">
        <v>29160</v>
      </c>
      <c r="BM30" s="230">
        <v>-1165</v>
      </c>
      <c r="BN30" s="229">
        <v>-0.04</v>
      </c>
      <c r="BO30" s="230">
        <v>105227</v>
      </c>
      <c r="BP30" s="230">
        <v>100628</v>
      </c>
      <c r="BQ30" s="230">
        <v>4599</v>
      </c>
      <c r="BR30" s="229">
        <v>4.5699999999999998E-2</v>
      </c>
      <c r="BS30" s="230">
        <v>2508228</v>
      </c>
      <c r="BT30" s="230">
        <v>2407880</v>
      </c>
      <c r="BU30" s="230">
        <v>100348</v>
      </c>
      <c r="BV30" s="229">
        <v>4.1700000000000001E-2</v>
      </c>
      <c r="BW30" s="230">
        <v>15521100</v>
      </c>
      <c r="BX30" s="230">
        <v>15210650</v>
      </c>
      <c r="BY30" s="230">
        <v>310450</v>
      </c>
      <c r="BZ30" s="229">
        <v>2.0400000000000001E-2</v>
      </c>
      <c r="CA30" s="230">
        <v>8546475</v>
      </c>
      <c r="CB30" s="230">
        <v>10490200</v>
      </c>
      <c r="CC30" s="230">
        <v>-1943725</v>
      </c>
      <c r="CD30" s="229">
        <v>-0.18529999999999999</v>
      </c>
      <c r="CE30" s="230">
        <v>6629700</v>
      </c>
      <c r="CF30" s="230">
        <v>4422075</v>
      </c>
      <c r="CG30" s="230">
        <v>2207625</v>
      </c>
      <c r="CH30" s="229">
        <v>0.49919999999999998</v>
      </c>
      <c r="CI30" s="230">
        <v>344925</v>
      </c>
      <c r="CJ30" s="230">
        <v>298375</v>
      </c>
      <c r="CK30" s="230">
        <v>46550</v>
      </c>
      <c r="CL30" s="229">
        <v>0.156</v>
      </c>
      <c r="CM30" s="230">
        <v>10001600</v>
      </c>
      <c r="CN30" s="230">
        <v>10353875</v>
      </c>
      <c r="CO30" s="230">
        <v>-352275</v>
      </c>
      <c r="CP30" s="229">
        <v>-3.4000000000000002E-2</v>
      </c>
      <c r="CQ30" s="230">
        <v>8061725</v>
      </c>
      <c r="CR30" s="230">
        <v>7947450</v>
      </c>
      <c r="CS30" s="230">
        <v>114275</v>
      </c>
      <c r="CT30" s="229">
        <v>1.44E-2</v>
      </c>
      <c r="CU30" s="230">
        <v>33584425</v>
      </c>
      <c r="CV30" s="230">
        <v>33511975</v>
      </c>
      <c r="CW30" s="230">
        <v>72450</v>
      </c>
      <c r="CX30" s="229">
        <v>2.2000000000000001E-3</v>
      </c>
      <c r="CY30" s="228">
        <v>32.380000000000003</v>
      </c>
      <c r="CZ30" s="228">
        <v>30.08</v>
      </c>
      <c r="DA30" s="228">
        <v>2.2999999999999998</v>
      </c>
      <c r="DB30" s="228">
        <v>2.2999999999999998</v>
      </c>
      <c r="DC30" s="228">
        <v>33.79</v>
      </c>
      <c r="DD30" s="228">
        <v>33.85</v>
      </c>
      <c r="DE30" s="228">
        <v>-1.41</v>
      </c>
      <c r="DF30" s="228">
        <v>-0.06</v>
      </c>
      <c r="DG30" s="228">
        <v>31.6</v>
      </c>
      <c r="DH30" s="228">
        <v>29.19</v>
      </c>
      <c r="DI30" s="228">
        <v>2.41</v>
      </c>
      <c r="DJ30" s="228">
        <v>2.41</v>
      </c>
      <c r="DK30" s="228">
        <v>33.159999999999997</v>
      </c>
      <c r="DL30" s="228">
        <v>31.72</v>
      </c>
      <c r="DM30" s="228">
        <v>1.44</v>
      </c>
      <c r="DN30" s="228">
        <v>1.44</v>
      </c>
      <c r="DO30" s="228">
        <v>0.81</v>
      </c>
      <c r="DP30" s="228">
        <v>0.77</v>
      </c>
      <c r="DQ30" s="228">
        <v>0.04</v>
      </c>
      <c r="DR30" s="229">
        <v>5.1900000000000002E-2</v>
      </c>
      <c r="DS30" s="231">
        <v>4100</v>
      </c>
      <c r="DT30" s="231">
        <v>4000</v>
      </c>
      <c r="DU30" s="228">
        <v>0.63</v>
      </c>
      <c r="DV30" s="228">
        <v>0.54</v>
      </c>
      <c r="DW30" s="228">
        <v>0.09</v>
      </c>
      <c r="DX30" s="229">
        <v>0.16669999999999999</v>
      </c>
      <c r="DY30" s="229">
        <v>0.44940000000000002</v>
      </c>
      <c r="DZ30" s="230">
        <v>4720450</v>
      </c>
      <c r="EA30" s="229">
        <v>5.1999999999999998E-3</v>
      </c>
      <c r="EB30" s="229">
        <v>0.44940000000000002</v>
      </c>
      <c r="EC30" s="228">
        <v>22.5</v>
      </c>
      <c r="ED30" s="229">
        <v>5.5999999999999999E-3</v>
      </c>
      <c r="EE30" s="230">
        <v>1361292</v>
      </c>
      <c r="EF30" s="230">
        <v>1508881</v>
      </c>
      <c r="EG30" s="229">
        <v>-9.7799999999999998E-2</v>
      </c>
      <c r="EH30" s="229">
        <v>0.54269999999999996</v>
      </c>
      <c r="EI30" s="231">
        <v>323570.36</v>
      </c>
      <c r="EJ30" s="231">
        <v>193842.29</v>
      </c>
      <c r="EK30" s="231">
        <v>233888.31</v>
      </c>
      <c r="EL30" s="231">
        <v>14684</v>
      </c>
      <c r="EM30" s="231">
        <v>751300.96</v>
      </c>
      <c r="EN30" s="231">
        <v>722480.7</v>
      </c>
      <c r="EO30" s="231">
        <v>28820.26</v>
      </c>
      <c r="EP30" s="229">
        <v>3.9899999999999998E-2</v>
      </c>
      <c r="EQ30" s="231">
        <v>403711</v>
      </c>
      <c r="ER30" s="231">
        <v>307113</v>
      </c>
      <c r="ES30" s="231">
        <v>631269</v>
      </c>
      <c r="ET30" s="231">
        <v>136099497</v>
      </c>
      <c r="EU30" s="231">
        <v>1342093</v>
      </c>
      <c r="EV30" s="231">
        <v>1333837</v>
      </c>
      <c r="EW30" s="231">
        <v>8256</v>
      </c>
      <c r="EX30" s="229">
        <v>6.1999999999999998E-3</v>
      </c>
      <c r="EY30" s="229">
        <v>0.24679999999999999</v>
      </c>
    </row>
    <row r="31" spans="1:155" ht="17.25" thickBot="1" x14ac:dyDescent="0.3">
      <c r="A31" s="226">
        <v>46135</v>
      </c>
      <c r="B31" s="227" t="s">
        <v>162</v>
      </c>
      <c r="C31" s="227" t="s">
        <v>251</v>
      </c>
      <c r="D31" s="231">
        <v>3048.5</v>
      </c>
      <c r="E31" s="231">
        <v>3151.7</v>
      </c>
      <c r="F31" s="228">
        <v>-103.2</v>
      </c>
      <c r="G31" s="229">
        <v>-3.27E-2</v>
      </c>
      <c r="H31" s="231">
        <v>3047.7</v>
      </c>
      <c r="I31" s="231">
        <v>3149.7</v>
      </c>
      <c r="J31" s="228">
        <v>-102</v>
      </c>
      <c r="K31" s="229">
        <v>-3.2399999999999998E-2</v>
      </c>
      <c r="L31" s="231">
        <v>3048.5</v>
      </c>
      <c r="M31" s="231">
        <v>3151.7</v>
      </c>
      <c r="N31" s="228">
        <v>-103.2</v>
      </c>
      <c r="O31" s="229">
        <v>-3.27E-2</v>
      </c>
      <c r="P31" s="231">
        <v>3065.9</v>
      </c>
      <c r="Q31" s="231">
        <v>3169.8</v>
      </c>
      <c r="R31" s="228">
        <v>-103.9</v>
      </c>
      <c r="S31" s="229">
        <v>-3.2800000000000003E-2</v>
      </c>
      <c r="T31" s="231">
        <v>3085.9</v>
      </c>
      <c r="U31" s="231">
        <v>3190.5</v>
      </c>
      <c r="V31" s="228">
        <v>-104.6</v>
      </c>
      <c r="W31" s="229">
        <v>-3.2800000000000003E-2</v>
      </c>
      <c r="X31" s="228">
        <v>0.8</v>
      </c>
      <c r="Y31" s="228">
        <v>2</v>
      </c>
      <c r="Z31" s="228">
        <v>-1.2</v>
      </c>
      <c r="AA31" s="229">
        <v>2.9999999999999997E-4</v>
      </c>
      <c r="AB31" s="228">
        <v>0.8</v>
      </c>
      <c r="AC31" s="228">
        <v>2</v>
      </c>
      <c r="AD31" s="228">
        <v>-1.2</v>
      </c>
      <c r="AE31" s="229">
        <v>2.9999999999999997E-4</v>
      </c>
      <c r="AF31" s="228">
        <v>18.2</v>
      </c>
      <c r="AG31" s="228">
        <v>20.100000000000001</v>
      </c>
      <c r="AH31" s="228">
        <v>-1.9</v>
      </c>
      <c r="AI31" s="229">
        <v>6.0000000000000001E-3</v>
      </c>
      <c r="AJ31" s="228">
        <v>38.200000000000003</v>
      </c>
      <c r="AK31" s="228">
        <v>40.799999999999997</v>
      </c>
      <c r="AL31" s="228">
        <v>-2.6</v>
      </c>
      <c r="AM31" s="229">
        <v>1.2500000000000001E-2</v>
      </c>
      <c r="AN31" s="231">
        <v>3064.99</v>
      </c>
      <c r="AO31" s="231">
        <v>3081.01</v>
      </c>
      <c r="AP31" s="228">
        <v>0</v>
      </c>
      <c r="AQ31" s="230">
        <v>54332</v>
      </c>
      <c r="AR31" s="230">
        <v>20503</v>
      </c>
      <c r="AS31" s="230">
        <v>33829</v>
      </c>
      <c r="AT31" s="229">
        <v>1.65</v>
      </c>
      <c r="AU31" s="230">
        <v>27419</v>
      </c>
      <c r="AV31" s="230">
        <v>11935</v>
      </c>
      <c r="AW31" s="230">
        <v>15484</v>
      </c>
      <c r="AX31" s="229">
        <v>1.2974000000000001</v>
      </c>
      <c r="AY31" s="230">
        <v>24908</v>
      </c>
      <c r="AZ31" s="230">
        <v>4332</v>
      </c>
      <c r="BA31" s="230">
        <v>20576</v>
      </c>
      <c r="BB31" s="229">
        <v>4.7497999999999996</v>
      </c>
      <c r="BC31" s="230">
        <v>2005</v>
      </c>
      <c r="BD31" s="230">
        <v>4236</v>
      </c>
      <c r="BE31" s="230">
        <v>-2231</v>
      </c>
      <c r="BF31" s="229">
        <v>-0.52669999999999995</v>
      </c>
      <c r="BG31" s="230">
        <v>54615</v>
      </c>
      <c r="BH31" s="230">
        <v>38998</v>
      </c>
      <c r="BI31" s="230">
        <v>15617</v>
      </c>
      <c r="BJ31" s="229">
        <v>0.40050000000000002</v>
      </c>
      <c r="BK31" s="230">
        <v>31797</v>
      </c>
      <c r="BL31" s="230">
        <v>21304</v>
      </c>
      <c r="BM31" s="230">
        <v>10493</v>
      </c>
      <c r="BN31" s="229">
        <v>0.49249999999999999</v>
      </c>
      <c r="BO31" s="230">
        <v>140744</v>
      </c>
      <c r="BP31" s="230">
        <v>80805</v>
      </c>
      <c r="BQ31" s="230">
        <v>59939</v>
      </c>
      <c r="BR31" s="229">
        <v>0.74180000000000001</v>
      </c>
      <c r="BS31" s="230">
        <v>4815855</v>
      </c>
      <c r="BT31" s="230">
        <v>3149702</v>
      </c>
      <c r="BU31" s="230">
        <v>1666153</v>
      </c>
      <c r="BV31" s="229">
        <v>0.52900000000000003</v>
      </c>
      <c r="BW31" s="230">
        <v>20450800</v>
      </c>
      <c r="BX31" s="230">
        <v>20020200</v>
      </c>
      <c r="BY31" s="230">
        <v>430600</v>
      </c>
      <c r="BZ31" s="229">
        <v>2.1499999999999998E-2</v>
      </c>
      <c r="CA31" s="230">
        <v>9791800</v>
      </c>
      <c r="CB31" s="230">
        <v>14048000</v>
      </c>
      <c r="CC31" s="230">
        <v>-4256200</v>
      </c>
      <c r="CD31" s="229">
        <v>-0.30299999999999999</v>
      </c>
      <c r="CE31" s="230">
        <v>8420200</v>
      </c>
      <c r="CF31" s="230">
        <v>4079800</v>
      </c>
      <c r="CG31" s="230">
        <v>4340400</v>
      </c>
      <c r="CH31" s="229">
        <v>1.0639000000000001</v>
      </c>
      <c r="CI31" s="230">
        <v>2238800</v>
      </c>
      <c r="CJ31" s="230">
        <v>1892400</v>
      </c>
      <c r="CK31" s="230">
        <v>346400</v>
      </c>
      <c r="CL31" s="229">
        <v>0.183</v>
      </c>
      <c r="CM31" s="230">
        <v>5781600</v>
      </c>
      <c r="CN31" s="230">
        <v>5424000</v>
      </c>
      <c r="CO31" s="230">
        <v>357600</v>
      </c>
      <c r="CP31" s="229">
        <v>6.59E-2</v>
      </c>
      <c r="CQ31" s="230">
        <v>3721400</v>
      </c>
      <c r="CR31" s="230">
        <v>3656800</v>
      </c>
      <c r="CS31" s="230">
        <v>64600</v>
      </c>
      <c r="CT31" s="229">
        <v>1.77E-2</v>
      </c>
      <c r="CU31" s="230">
        <v>29953800</v>
      </c>
      <c r="CV31" s="230">
        <v>29101000</v>
      </c>
      <c r="CW31" s="230">
        <v>852800</v>
      </c>
      <c r="CX31" s="229">
        <v>2.93E-2</v>
      </c>
      <c r="CY31" s="228">
        <v>35.99</v>
      </c>
      <c r="CZ31" s="228">
        <v>34.520000000000003</v>
      </c>
      <c r="DA31" s="228">
        <v>1.47</v>
      </c>
      <c r="DB31" s="228">
        <v>1.47</v>
      </c>
      <c r="DC31" s="228">
        <v>35.83</v>
      </c>
      <c r="DD31" s="228">
        <v>35.64</v>
      </c>
      <c r="DE31" s="228">
        <v>0.16</v>
      </c>
      <c r="DF31" s="228">
        <v>0.19</v>
      </c>
      <c r="DG31" s="228">
        <v>36.29</v>
      </c>
      <c r="DH31" s="228">
        <v>34.94</v>
      </c>
      <c r="DI31" s="228">
        <v>1.35</v>
      </c>
      <c r="DJ31" s="228">
        <v>1.35</v>
      </c>
      <c r="DK31" s="228">
        <v>35.42</v>
      </c>
      <c r="DL31" s="228">
        <v>33.75</v>
      </c>
      <c r="DM31" s="228">
        <v>1.67</v>
      </c>
      <c r="DN31" s="228">
        <v>1.67</v>
      </c>
      <c r="DO31" s="228">
        <v>0.64</v>
      </c>
      <c r="DP31" s="228">
        <v>0.67</v>
      </c>
      <c r="DQ31" s="228">
        <v>-0.03</v>
      </c>
      <c r="DR31" s="229">
        <v>-4.48E-2</v>
      </c>
      <c r="DS31" s="231">
        <v>3300</v>
      </c>
      <c r="DT31" s="231">
        <v>2800</v>
      </c>
      <c r="DU31" s="228">
        <v>0.57999999999999996</v>
      </c>
      <c r="DV31" s="228">
        <v>0.55000000000000004</v>
      </c>
      <c r="DW31" s="228">
        <v>0.03</v>
      </c>
      <c r="DX31" s="229">
        <v>5.45E-2</v>
      </c>
      <c r="DY31" s="229">
        <v>0.5212</v>
      </c>
      <c r="DZ31" s="230">
        <v>5972200</v>
      </c>
      <c r="EA31" s="229">
        <v>5.7000000000000002E-3</v>
      </c>
      <c r="EB31" s="229">
        <v>0.5212</v>
      </c>
      <c r="EC31" s="228">
        <v>16.02</v>
      </c>
      <c r="ED31" s="229">
        <v>5.1999999999999998E-3</v>
      </c>
      <c r="EE31" s="230">
        <v>2946282</v>
      </c>
      <c r="EF31" s="230">
        <v>2120167</v>
      </c>
      <c r="EG31" s="229">
        <v>0.3896</v>
      </c>
      <c r="EH31" s="229">
        <v>0.61180000000000001</v>
      </c>
      <c r="EI31" s="231">
        <v>352225.06</v>
      </c>
      <c r="EJ31" s="231">
        <v>196482.13</v>
      </c>
      <c r="EK31" s="231">
        <v>333995.36</v>
      </c>
      <c r="EL31" s="231">
        <v>13102</v>
      </c>
      <c r="EM31" s="231">
        <v>882702.55</v>
      </c>
      <c r="EN31" s="231">
        <v>526549.68000000005</v>
      </c>
      <c r="EO31" s="231">
        <v>356152.87</v>
      </c>
      <c r="EP31" s="229">
        <v>0.6764</v>
      </c>
      <c r="EQ31" s="231">
        <v>188922</v>
      </c>
      <c r="ER31" s="231">
        <v>115118</v>
      </c>
      <c r="ES31" s="231">
        <v>625745</v>
      </c>
      <c r="ET31" s="231">
        <v>120808308</v>
      </c>
      <c r="EU31" s="231">
        <v>929786</v>
      </c>
      <c r="EV31" s="231">
        <v>923836</v>
      </c>
      <c r="EW31" s="231">
        <v>5950</v>
      </c>
      <c r="EX31" s="229">
        <v>6.4000000000000003E-3</v>
      </c>
      <c r="EY31" s="229">
        <v>0.24790000000000001</v>
      </c>
    </row>
    <row r="32" spans="1:155" ht="17.25" thickBot="1" x14ac:dyDescent="0.3">
      <c r="A32" s="226">
        <v>46135</v>
      </c>
      <c r="B32" s="227" t="s">
        <v>162</v>
      </c>
      <c r="C32" s="227" t="s">
        <v>255</v>
      </c>
      <c r="D32" s="231">
        <v>13139</v>
      </c>
      <c r="E32" s="231">
        <v>13322</v>
      </c>
      <c r="F32" s="228">
        <v>-183</v>
      </c>
      <c r="G32" s="229">
        <v>-1.37E-2</v>
      </c>
      <c r="H32" s="231">
        <v>13160</v>
      </c>
      <c r="I32" s="231">
        <v>13337</v>
      </c>
      <c r="J32" s="228">
        <v>-177</v>
      </c>
      <c r="K32" s="229">
        <v>-1.3299999999999999E-2</v>
      </c>
      <c r="L32" s="231">
        <v>13139</v>
      </c>
      <c r="M32" s="231">
        <v>13322</v>
      </c>
      <c r="N32" s="228">
        <v>-183</v>
      </c>
      <c r="O32" s="229">
        <v>-1.37E-2</v>
      </c>
      <c r="P32" s="231">
        <v>13212</v>
      </c>
      <c r="Q32" s="231">
        <v>13392</v>
      </c>
      <c r="R32" s="228">
        <v>-180</v>
      </c>
      <c r="S32" s="229">
        <v>-1.34E-2</v>
      </c>
      <c r="T32" s="231">
        <v>13291</v>
      </c>
      <c r="U32" s="231">
        <v>13489</v>
      </c>
      <c r="V32" s="228">
        <v>-198</v>
      </c>
      <c r="W32" s="229">
        <v>-1.47E-2</v>
      </c>
      <c r="X32" s="228">
        <v>-21</v>
      </c>
      <c r="Y32" s="228">
        <v>-15</v>
      </c>
      <c r="Z32" s="228">
        <v>-6</v>
      </c>
      <c r="AA32" s="229">
        <v>-1.6000000000000001E-3</v>
      </c>
      <c r="AB32" s="228">
        <v>-21</v>
      </c>
      <c r="AC32" s="228">
        <v>-15</v>
      </c>
      <c r="AD32" s="228">
        <v>-6</v>
      </c>
      <c r="AE32" s="229">
        <v>-1.6000000000000001E-3</v>
      </c>
      <c r="AF32" s="228">
        <v>52</v>
      </c>
      <c r="AG32" s="228">
        <v>55</v>
      </c>
      <c r="AH32" s="228">
        <v>-3</v>
      </c>
      <c r="AI32" s="229">
        <v>4.0000000000000001E-3</v>
      </c>
      <c r="AJ32" s="228">
        <v>131</v>
      </c>
      <c r="AK32" s="228">
        <v>152</v>
      </c>
      <c r="AL32" s="228">
        <v>-21</v>
      </c>
      <c r="AM32" s="229">
        <v>0.01</v>
      </c>
      <c r="AN32" s="231">
        <v>13175.2</v>
      </c>
      <c r="AO32" s="231">
        <v>13244.94</v>
      </c>
      <c r="AP32" s="228">
        <v>0</v>
      </c>
      <c r="AQ32" s="230">
        <v>42944</v>
      </c>
      <c r="AR32" s="230">
        <v>22494</v>
      </c>
      <c r="AS32" s="230">
        <v>20450</v>
      </c>
      <c r="AT32" s="229">
        <v>0.90910000000000002</v>
      </c>
      <c r="AU32" s="230">
        <v>22643</v>
      </c>
      <c r="AV32" s="230">
        <v>11694</v>
      </c>
      <c r="AW32" s="230">
        <v>10949</v>
      </c>
      <c r="AX32" s="229">
        <v>0.93630000000000002</v>
      </c>
      <c r="AY32" s="230">
        <v>17437</v>
      </c>
      <c r="AZ32" s="230">
        <v>7065</v>
      </c>
      <c r="BA32" s="230">
        <v>10372</v>
      </c>
      <c r="BB32" s="229">
        <v>1.4681</v>
      </c>
      <c r="BC32" s="230">
        <v>2864</v>
      </c>
      <c r="BD32" s="230">
        <v>3735</v>
      </c>
      <c r="BE32" s="228">
        <v>-871</v>
      </c>
      <c r="BF32" s="229">
        <v>-0.23319999999999999</v>
      </c>
      <c r="BG32" s="230">
        <v>64866</v>
      </c>
      <c r="BH32" s="230">
        <v>51041</v>
      </c>
      <c r="BI32" s="230">
        <v>13825</v>
      </c>
      <c r="BJ32" s="229">
        <v>0.27089999999999997</v>
      </c>
      <c r="BK32" s="230">
        <v>28530</v>
      </c>
      <c r="BL32" s="230">
        <v>29441</v>
      </c>
      <c r="BM32" s="228">
        <v>-911</v>
      </c>
      <c r="BN32" s="229">
        <v>-3.09E-2</v>
      </c>
      <c r="BO32" s="230">
        <v>136340</v>
      </c>
      <c r="BP32" s="230">
        <v>102976</v>
      </c>
      <c r="BQ32" s="230">
        <v>33364</v>
      </c>
      <c r="BR32" s="229">
        <v>0.32400000000000001</v>
      </c>
      <c r="BS32" s="230">
        <v>561610</v>
      </c>
      <c r="BT32" s="230">
        <v>445706</v>
      </c>
      <c r="BU32" s="230">
        <v>115904</v>
      </c>
      <c r="BV32" s="229">
        <v>0.26</v>
      </c>
      <c r="BW32" s="230">
        <v>3709850</v>
      </c>
      <c r="BX32" s="230">
        <v>3760250</v>
      </c>
      <c r="BY32" s="230">
        <v>-50400</v>
      </c>
      <c r="BZ32" s="229">
        <v>-1.34E-2</v>
      </c>
      <c r="CA32" s="230">
        <v>1856800</v>
      </c>
      <c r="CB32" s="230">
        <v>2706300</v>
      </c>
      <c r="CC32" s="230">
        <v>-849500</v>
      </c>
      <c r="CD32" s="229">
        <v>-0.31390000000000001</v>
      </c>
      <c r="CE32" s="230">
        <v>1404350</v>
      </c>
      <c r="CF32" s="230">
        <v>742200</v>
      </c>
      <c r="CG32" s="230">
        <v>662150</v>
      </c>
      <c r="CH32" s="229">
        <v>0.8921</v>
      </c>
      <c r="CI32" s="230">
        <v>448700</v>
      </c>
      <c r="CJ32" s="230">
        <v>311750</v>
      </c>
      <c r="CK32" s="230">
        <v>136950</v>
      </c>
      <c r="CL32" s="229">
        <v>0.43930000000000002</v>
      </c>
      <c r="CM32" s="230">
        <v>2258550</v>
      </c>
      <c r="CN32" s="230">
        <v>2147800</v>
      </c>
      <c r="CO32" s="230">
        <v>110750</v>
      </c>
      <c r="CP32" s="229">
        <v>5.16E-2</v>
      </c>
      <c r="CQ32" s="230">
        <v>1135700</v>
      </c>
      <c r="CR32" s="230">
        <v>1150950</v>
      </c>
      <c r="CS32" s="230">
        <v>-15250</v>
      </c>
      <c r="CT32" s="229">
        <v>-1.32E-2</v>
      </c>
      <c r="CU32" s="230">
        <v>7104100</v>
      </c>
      <c r="CV32" s="230">
        <v>7059000</v>
      </c>
      <c r="CW32" s="230">
        <v>45100</v>
      </c>
      <c r="CX32" s="229">
        <v>6.4000000000000003E-3</v>
      </c>
      <c r="CY32" s="228">
        <v>31.08</v>
      </c>
      <c r="CZ32" s="228">
        <v>32.119999999999997</v>
      </c>
      <c r="DA32" s="228">
        <v>-1.04</v>
      </c>
      <c r="DB32" s="228">
        <v>-1.04</v>
      </c>
      <c r="DC32" s="228">
        <v>28.78</v>
      </c>
      <c r="DD32" s="228">
        <v>28.8</v>
      </c>
      <c r="DE32" s="228">
        <v>2.2999999999999998</v>
      </c>
      <c r="DF32" s="228">
        <v>-0.02</v>
      </c>
      <c r="DG32" s="228">
        <v>30.95</v>
      </c>
      <c r="DH32" s="228">
        <v>31.8</v>
      </c>
      <c r="DI32" s="228">
        <v>-0.85</v>
      </c>
      <c r="DJ32" s="228">
        <v>-0.85</v>
      </c>
      <c r="DK32" s="228">
        <v>31.36</v>
      </c>
      <c r="DL32" s="228">
        <v>32.68</v>
      </c>
      <c r="DM32" s="228">
        <v>-1.32</v>
      </c>
      <c r="DN32" s="228">
        <v>-1.32</v>
      </c>
      <c r="DO32" s="228">
        <v>0.5</v>
      </c>
      <c r="DP32" s="228">
        <v>0.54</v>
      </c>
      <c r="DQ32" s="228">
        <v>-0.04</v>
      </c>
      <c r="DR32" s="229">
        <v>-7.4099999999999999E-2</v>
      </c>
      <c r="DS32" s="231">
        <v>14000</v>
      </c>
      <c r="DT32" s="231">
        <v>13000</v>
      </c>
      <c r="DU32" s="228">
        <v>0.44</v>
      </c>
      <c r="DV32" s="228">
        <v>0.57999999999999996</v>
      </c>
      <c r="DW32" s="228">
        <v>-0.14000000000000001</v>
      </c>
      <c r="DX32" s="229">
        <v>-0.2414</v>
      </c>
      <c r="DY32" s="229">
        <v>0.4995</v>
      </c>
      <c r="DZ32" s="230">
        <v>1053950</v>
      </c>
      <c r="EA32" s="229">
        <v>5.5999999999999999E-3</v>
      </c>
      <c r="EB32" s="229">
        <v>0.4995</v>
      </c>
      <c r="EC32" s="228">
        <v>69.739999999999995</v>
      </c>
      <c r="ED32" s="229">
        <v>5.3E-3</v>
      </c>
      <c r="EE32" s="230">
        <v>325661</v>
      </c>
      <c r="EF32" s="230">
        <v>260734</v>
      </c>
      <c r="EG32" s="229">
        <v>0.249</v>
      </c>
      <c r="EH32" s="229">
        <v>0.57989999999999997</v>
      </c>
      <c r="EI32" s="231">
        <v>447431.4</v>
      </c>
      <c r="EJ32" s="231">
        <v>186385.88</v>
      </c>
      <c r="EK32" s="231">
        <v>283737.33</v>
      </c>
      <c r="EL32" s="231">
        <v>11378</v>
      </c>
      <c r="EM32" s="231">
        <v>917554.61</v>
      </c>
      <c r="EN32" s="231">
        <v>699547.64</v>
      </c>
      <c r="EO32" s="231">
        <v>218006.97</v>
      </c>
      <c r="EP32" s="229">
        <v>0.31159999999999999</v>
      </c>
      <c r="EQ32" s="231">
        <v>311835</v>
      </c>
      <c r="ER32" s="231">
        <v>145338</v>
      </c>
      <c r="ES32" s="231">
        <v>489144</v>
      </c>
      <c r="ET32" s="231">
        <v>19673414</v>
      </c>
      <c r="EU32" s="231">
        <v>946317</v>
      </c>
      <c r="EV32" s="231">
        <v>946374</v>
      </c>
      <c r="EW32" s="228">
        <v>-57</v>
      </c>
      <c r="EX32" s="229">
        <v>-1E-4</v>
      </c>
      <c r="EY32" s="229">
        <v>0.36109999999999998</v>
      </c>
    </row>
    <row r="33" spans="1:155" ht="17.25" thickBot="1" x14ac:dyDescent="0.3">
      <c r="A33" s="226">
        <v>46135</v>
      </c>
      <c r="B33" s="227" t="s">
        <v>170</v>
      </c>
      <c r="C33" s="227" t="s">
        <v>602</v>
      </c>
      <c r="D33" s="231">
        <v>1008.4</v>
      </c>
      <c r="E33" s="231">
        <v>1002.8</v>
      </c>
      <c r="F33" s="228">
        <v>5.6</v>
      </c>
      <c r="G33" s="229">
        <v>5.5999999999999999E-3</v>
      </c>
      <c r="H33" s="231">
        <v>1006.75</v>
      </c>
      <c r="I33" s="231">
        <v>1005.35</v>
      </c>
      <c r="J33" s="228">
        <v>1.4</v>
      </c>
      <c r="K33" s="229">
        <v>1.4E-3</v>
      </c>
      <c r="L33" s="231">
        <v>1008.4</v>
      </c>
      <c r="M33" s="231">
        <v>1002.8</v>
      </c>
      <c r="N33" s="228">
        <v>5.6</v>
      </c>
      <c r="O33" s="229">
        <v>5.5999999999999999E-3</v>
      </c>
      <c r="P33" s="231">
        <v>1013.25</v>
      </c>
      <c r="Q33" s="231">
        <v>1009.05</v>
      </c>
      <c r="R33" s="228">
        <v>4.2</v>
      </c>
      <c r="S33" s="229">
        <v>4.1999999999999997E-3</v>
      </c>
      <c r="T33" s="231">
        <v>1019.85</v>
      </c>
      <c r="U33" s="231">
        <v>1015.9</v>
      </c>
      <c r="V33" s="228">
        <v>3.95</v>
      </c>
      <c r="W33" s="229">
        <v>3.8999999999999998E-3</v>
      </c>
      <c r="X33" s="228">
        <v>1.65</v>
      </c>
      <c r="Y33" s="228">
        <v>-2.5499999999999998</v>
      </c>
      <c r="Z33" s="228">
        <v>4.2</v>
      </c>
      <c r="AA33" s="229">
        <v>1.6000000000000001E-3</v>
      </c>
      <c r="AB33" s="228">
        <v>1.65</v>
      </c>
      <c r="AC33" s="228">
        <v>-2.5499999999999998</v>
      </c>
      <c r="AD33" s="228">
        <v>4.2</v>
      </c>
      <c r="AE33" s="229">
        <v>1.6000000000000001E-3</v>
      </c>
      <c r="AF33" s="228">
        <v>6.5</v>
      </c>
      <c r="AG33" s="228">
        <v>3.7</v>
      </c>
      <c r="AH33" s="228">
        <v>2.8</v>
      </c>
      <c r="AI33" s="229">
        <v>6.4999999999999997E-3</v>
      </c>
      <c r="AJ33" s="228">
        <v>13.1</v>
      </c>
      <c r="AK33" s="228">
        <v>10.55</v>
      </c>
      <c r="AL33" s="228">
        <v>2.5499999999999998</v>
      </c>
      <c r="AM33" s="229">
        <v>1.2999999999999999E-2</v>
      </c>
      <c r="AN33" s="231">
        <v>1003.86</v>
      </c>
      <c r="AO33" s="231">
        <v>1008.75</v>
      </c>
      <c r="AP33" s="228">
        <v>0</v>
      </c>
      <c r="AQ33" s="230">
        <v>19550</v>
      </c>
      <c r="AR33" s="230">
        <v>5566</v>
      </c>
      <c r="AS33" s="230">
        <v>13984</v>
      </c>
      <c r="AT33" s="229">
        <v>2.5124</v>
      </c>
      <c r="AU33" s="230">
        <v>10619</v>
      </c>
      <c r="AV33" s="230">
        <v>3741</v>
      </c>
      <c r="AW33" s="230">
        <v>6878</v>
      </c>
      <c r="AX33" s="229">
        <v>1.8385</v>
      </c>
      <c r="AY33" s="230">
        <v>8097</v>
      </c>
      <c r="AZ33" s="230">
        <v>1583</v>
      </c>
      <c r="BA33" s="230">
        <v>6514</v>
      </c>
      <c r="BB33" s="229">
        <v>4.1150000000000002</v>
      </c>
      <c r="BC33" s="228">
        <v>834</v>
      </c>
      <c r="BD33" s="228">
        <v>242</v>
      </c>
      <c r="BE33" s="228">
        <v>592</v>
      </c>
      <c r="BF33" s="229">
        <v>2.4462999999999999</v>
      </c>
      <c r="BG33" s="230">
        <v>11904</v>
      </c>
      <c r="BH33" s="230">
        <v>10230</v>
      </c>
      <c r="BI33" s="230">
        <v>1674</v>
      </c>
      <c r="BJ33" s="229">
        <v>0.1636</v>
      </c>
      <c r="BK33" s="230">
        <v>7261</v>
      </c>
      <c r="BL33" s="230">
        <v>9521</v>
      </c>
      <c r="BM33" s="230">
        <v>-2260</v>
      </c>
      <c r="BN33" s="229">
        <v>-0.2374</v>
      </c>
      <c r="BO33" s="230">
        <v>38715</v>
      </c>
      <c r="BP33" s="230">
        <v>25317</v>
      </c>
      <c r="BQ33" s="230">
        <v>13398</v>
      </c>
      <c r="BR33" s="229">
        <v>0.5292</v>
      </c>
      <c r="BS33" s="230">
        <v>1415132</v>
      </c>
      <c r="BT33" s="230">
        <v>1460875</v>
      </c>
      <c r="BU33" s="230">
        <v>-45743</v>
      </c>
      <c r="BV33" s="229">
        <v>-3.1300000000000001E-2</v>
      </c>
      <c r="BW33" s="230">
        <v>13833750</v>
      </c>
      <c r="BX33" s="230">
        <v>13919325</v>
      </c>
      <c r="BY33" s="230">
        <v>-85575</v>
      </c>
      <c r="BZ33" s="229">
        <v>-6.1000000000000004E-3</v>
      </c>
      <c r="CA33" s="230">
        <v>7754775</v>
      </c>
      <c r="CB33" s="230">
        <v>11966325</v>
      </c>
      <c r="CC33" s="230">
        <v>-4211550</v>
      </c>
      <c r="CD33" s="229">
        <v>-0.35199999999999998</v>
      </c>
      <c r="CE33" s="230">
        <v>5225850</v>
      </c>
      <c r="CF33" s="230">
        <v>1518825</v>
      </c>
      <c r="CG33" s="230">
        <v>3707025</v>
      </c>
      <c r="CH33" s="229">
        <v>2.4407000000000001</v>
      </c>
      <c r="CI33" s="230">
        <v>853125</v>
      </c>
      <c r="CJ33" s="230">
        <v>434175</v>
      </c>
      <c r="CK33" s="230">
        <v>418950</v>
      </c>
      <c r="CL33" s="229">
        <v>0.96489999999999998</v>
      </c>
      <c r="CM33" s="230">
        <v>4057725</v>
      </c>
      <c r="CN33" s="230">
        <v>4049325</v>
      </c>
      <c r="CO33" s="230">
        <v>8400</v>
      </c>
      <c r="CP33" s="229">
        <v>2.0999999999999999E-3</v>
      </c>
      <c r="CQ33" s="230">
        <v>2526300</v>
      </c>
      <c r="CR33" s="230">
        <v>2522625</v>
      </c>
      <c r="CS33" s="230">
        <v>3675</v>
      </c>
      <c r="CT33" s="229">
        <v>1.5E-3</v>
      </c>
      <c r="CU33" s="230">
        <v>20417775</v>
      </c>
      <c r="CV33" s="230">
        <v>20491275</v>
      </c>
      <c r="CW33" s="230">
        <v>-73500</v>
      </c>
      <c r="CX33" s="229">
        <v>-3.5999999999999999E-3</v>
      </c>
      <c r="CY33" s="228">
        <v>29.98</v>
      </c>
      <c r="CZ33" s="228">
        <v>26.85</v>
      </c>
      <c r="DA33" s="228">
        <v>3.13</v>
      </c>
      <c r="DB33" s="228">
        <v>3.13</v>
      </c>
      <c r="DC33" s="228">
        <v>36.020000000000003</v>
      </c>
      <c r="DD33" s="228">
        <v>36.11</v>
      </c>
      <c r="DE33" s="228">
        <v>-6.04</v>
      </c>
      <c r="DF33" s="228">
        <v>-0.09</v>
      </c>
      <c r="DG33" s="228">
        <v>29.96</v>
      </c>
      <c r="DH33" s="228">
        <v>26.82</v>
      </c>
      <c r="DI33" s="228">
        <v>3.14</v>
      </c>
      <c r="DJ33" s="228">
        <v>3.14</v>
      </c>
      <c r="DK33" s="228">
        <v>30.11</v>
      </c>
      <c r="DL33" s="228">
        <v>26.89</v>
      </c>
      <c r="DM33" s="228">
        <v>3.22</v>
      </c>
      <c r="DN33" s="228">
        <v>3.22</v>
      </c>
      <c r="DO33" s="228">
        <v>0.62</v>
      </c>
      <c r="DP33" s="228">
        <v>0.62</v>
      </c>
      <c r="DQ33" s="228">
        <v>0</v>
      </c>
      <c r="DR33" s="229">
        <v>0</v>
      </c>
      <c r="DS33" s="231">
        <v>1020</v>
      </c>
      <c r="DT33" s="231">
        <v>1000</v>
      </c>
      <c r="DU33" s="228">
        <v>0.61</v>
      </c>
      <c r="DV33" s="228">
        <v>0.93</v>
      </c>
      <c r="DW33" s="228">
        <v>-0.32</v>
      </c>
      <c r="DX33" s="229">
        <v>-0.34410000000000002</v>
      </c>
      <c r="DY33" s="229">
        <v>0.43940000000000001</v>
      </c>
      <c r="DZ33" s="230">
        <v>1953000</v>
      </c>
      <c r="EA33" s="229">
        <v>4.7999999999999996E-3</v>
      </c>
      <c r="EB33" s="229">
        <v>0.43940000000000001</v>
      </c>
      <c r="EC33" s="228">
        <v>4.8899999999999997</v>
      </c>
      <c r="ED33" s="229">
        <v>4.8999999999999998E-3</v>
      </c>
      <c r="EE33" s="230">
        <v>611557</v>
      </c>
      <c r="EF33" s="230">
        <v>639270</v>
      </c>
      <c r="EG33" s="229">
        <v>-4.3400000000000001E-2</v>
      </c>
      <c r="EH33" s="229">
        <v>0.43219999999999997</v>
      </c>
      <c r="EI33" s="231">
        <v>64568.49</v>
      </c>
      <c r="EJ33" s="231">
        <v>38251.550000000003</v>
      </c>
      <c r="EK33" s="231">
        <v>103289.86</v>
      </c>
      <c r="EL33" s="231">
        <v>4520</v>
      </c>
      <c r="EM33" s="231">
        <v>206109.9</v>
      </c>
      <c r="EN33" s="231">
        <v>135684.41</v>
      </c>
      <c r="EO33" s="231">
        <v>70425.490000000005</v>
      </c>
      <c r="EP33" s="229">
        <v>0.51900000000000002</v>
      </c>
      <c r="EQ33" s="231">
        <v>41544</v>
      </c>
      <c r="ER33" s="231">
        <v>24663</v>
      </c>
      <c r="ES33" s="231">
        <v>139851</v>
      </c>
      <c r="ET33" s="231">
        <v>111298748</v>
      </c>
      <c r="EU33" s="231">
        <v>206057</v>
      </c>
      <c r="EV33" s="231">
        <v>205744</v>
      </c>
      <c r="EW33" s="228">
        <v>313</v>
      </c>
      <c r="EX33" s="229">
        <v>1.5E-3</v>
      </c>
      <c r="EY33" s="229">
        <v>0.1835</v>
      </c>
    </row>
    <row r="34" spans="1:155" ht="17.25" thickBot="1" x14ac:dyDescent="0.3">
      <c r="A34" s="226">
        <v>46135</v>
      </c>
      <c r="B34" s="227" t="s">
        <v>168</v>
      </c>
      <c r="C34" s="227" t="s">
        <v>265</v>
      </c>
      <c r="D34" s="231">
        <v>1408.6</v>
      </c>
      <c r="E34" s="231">
        <v>1394.1</v>
      </c>
      <c r="F34" s="228">
        <v>14.5</v>
      </c>
      <c r="G34" s="229">
        <v>1.04E-2</v>
      </c>
      <c r="H34" s="231">
        <v>1410.5</v>
      </c>
      <c r="I34" s="231">
        <v>1395.8</v>
      </c>
      <c r="J34" s="228">
        <v>14.7</v>
      </c>
      <c r="K34" s="229">
        <v>1.0500000000000001E-2</v>
      </c>
      <c r="L34" s="231">
        <v>1408.6</v>
      </c>
      <c r="M34" s="231">
        <v>1394.1</v>
      </c>
      <c r="N34" s="228">
        <v>14.5</v>
      </c>
      <c r="O34" s="229">
        <v>1.04E-2</v>
      </c>
      <c r="P34" s="231">
        <v>1416.4</v>
      </c>
      <c r="Q34" s="231">
        <v>1402</v>
      </c>
      <c r="R34" s="228">
        <v>14.4</v>
      </c>
      <c r="S34" s="229">
        <v>1.03E-2</v>
      </c>
      <c r="T34" s="231">
        <v>1422.8</v>
      </c>
      <c r="U34" s="231">
        <v>1411.1</v>
      </c>
      <c r="V34" s="228">
        <v>11.7</v>
      </c>
      <c r="W34" s="229">
        <v>8.3000000000000001E-3</v>
      </c>
      <c r="X34" s="228">
        <v>-1.9</v>
      </c>
      <c r="Y34" s="228">
        <v>-1.7</v>
      </c>
      <c r="Z34" s="228">
        <v>-0.2</v>
      </c>
      <c r="AA34" s="229">
        <v>-1.2999999999999999E-3</v>
      </c>
      <c r="AB34" s="228">
        <v>-1.9</v>
      </c>
      <c r="AC34" s="228">
        <v>-1.7</v>
      </c>
      <c r="AD34" s="228">
        <v>-0.2</v>
      </c>
      <c r="AE34" s="229">
        <v>-1.2999999999999999E-3</v>
      </c>
      <c r="AF34" s="228">
        <v>5.9</v>
      </c>
      <c r="AG34" s="228">
        <v>6.2</v>
      </c>
      <c r="AH34" s="228">
        <v>-0.3</v>
      </c>
      <c r="AI34" s="229">
        <v>4.1999999999999997E-3</v>
      </c>
      <c r="AJ34" s="228">
        <v>12.3</v>
      </c>
      <c r="AK34" s="228">
        <v>15.3</v>
      </c>
      <c r="AL34" s="228">
        <v>-3</v>
      </c>
      <c r="AM34" s="229">
        <v>8.6999999999999994E-3</v>
      </c>
      <c r="AN34" s="231">
        <v>1406.19</v>
      </c>
      <c r="AO34" s="231">
        <v>1413.71</v>
      </c>
      <c r="AP34" s="228">
        <v>0</v>
      </c>
      <c r="AQ34" s="230">
        <v>22714</v>
      </c>
      <c r="AR34" s="230">
        <v>20422</v>
      </c>
      <c r="AS34" s="230">
        <v>2292</v>
      </c>
      <c r="AT34" s="229">
        <v>0.11219999999999999</v>
      </c>
      <c r="AU34" s="230">
        <v>11769</v>
      </c>
      <c r="AV34" s="230">
        <v>16177</v>
      </c>
      <c r="AW34" s="230">
        <v>-4408</v>
      </c>
      <c r="AX34" s="229">
        <v>-0.27250000000000002</v>
      </c>
      <c r="AY34" s="230">
        <v>10766</v>
      </c>
      <c r="AZ34" s="230">
        <v>4009</v>
      </c>
      <c r="BA34" s="230">
        <v>6757</v>
      </c>
      <c r="BB34" s="229">
        <v>1.6855</v>
      </c>
      <c r="BC34" s="228">
        <v>179</v>
      </c>
      <c r="BD34" s="228">
        <v>236</v>
      </c>
      <c r="BE34" s="228">
        <v>-57</v>
      </c>
      <c r="BF34" s="229">
        <v>-0.24149999999999999</v>
      </c>
      <c r="BG34" s="230">
        <v>39107</v>
      </c>
      <c r="BH34" s="230">
        <v>170558</v>
      </c>
      <c r="BI34" s="230">
        <v>-131451</v>
      </c>
      <c r="BJ34" s="229">
        <v>-0.77070000000000005</v>
      </c>
      <c r="BK34" s="230">
        <v>20707</v>
      </c>
      <c r="BL34" s="230">
        <v>72365</v>
      </c>
      <c r="BM34" s="230">
        <v>-51658</v>
      </c>
      <c r="BN34" s="229">
        <v>-0.71389999999999998</v>
      </c>
      <c r="BO34" s="230">
        <v>82528</v>
      </c>
      <c r="BP34" s="230">
        <v>263345</v>
      </c>
      <c r="BQ34" s="230">
        <v>-180817</v>
      </c>
      <c r="BR34" s="229">
        <v>-0.68659999999999999</v>
      </c>
      <c r="BS34" s="230">
        <v>3076691</v>
      </c>
      <c r="BT34" s="230">
        <v>8376306</v>
      </c>
      <c r="BU34" s="230">
        <v>-5299615</v>
      </c>
      <c r="BV34" s="229">
        <v>-0.63270000000000004</v>
      </c>
      <c r="BW34" s="230">
        <v>17172500</v>
      </c>
      <c r="BX34" s="230">
        <v>17309500</v>
      </c>
      <c r="BY34" s="230">
        <v>-137000</v>
      </c>
      <c r="BZ34" s="229">
        <v>-7.9000000000000008E-3</v>
      </c>
      <c r="CA34" s="230">
        <v>9661500</v>
      </c>
      <c r="CB34" s="230">
        <v>14164500</v>
      </c>
      <c r="CC34" s="230">
        <v>-4503000</v>
      </c>
      <c r="CD34" s="229">
        <v>-0.31790000000000002</v>
      </c>
      <c r="CE34" s="230">
        <v>6710500</v>
      </c>
      <c r="CF34" s="230">
        <v>2384000</v>
      </c>
      <c r="CG34" s="230">
        <v>4326500</v>
      </c>
      <c r="CH34" s="229">
        <v>1.8148</v>
      </c>
      <c r="CI34" s="230">
        <v>800500</v>
      </c>
      <c r="CJ34" s="230">
        <v>761000</v>
      </c>
      <c r="CK34" s="230">
        <v>39500</v>
      </c>
      <c r="CL34" s="229">
        <v>5.1900000000000002E-2</v>
      </c>
      <c r="CM34" s="230">
        <v>10835000</v>
      </c>
      <c r="CN34" s="230">
        <v>12673000</v>
      </c>
      <c r="CO34" s="230">
        <v>-1838000</v>
      </c>
      <c r="CP34" s="229">
        <v>-0.14499999999999999</v>
      </c>
      <c r="CQ34" s="230">
        <v>7527000</v>
      </c>
      <c r="CR34" s="230">
        <v>7923000</v>
      </c>
      <c r="CS34" s="230">
        <v>-396000</v>
      </c>
      <c r="CT34" s="229">
        <v>-0.05</v>
      </c>
      <c r="CU34" s="230">
        <v>35534500</v>
      </c>
      <c r="CV34" s="230">
        <v>37905500</v>
      </c>
      <c r="CW34" s="230">
        <v>-2371000</v>
      </c>
      <c r="CX34" s="229">
        <v>-6.2600000000000003E-2</v>
      </c>
      <c r="CY34" s="228">
        <v>25.05</v>
      </c>
      <c r="CZ34" s="228">
        <v>29.44</v>
      </c>
      <c r="DA34" s="228">
        <v>-4.3899999999999997</v>
      </c>
      <c r="DB34" s="228">
        <v>-4.3899999999999997</v>
      </c>
      <c r="DC34" s="228">
        <v>25.26</v>
      </c>
      <c r="DD34" s="228">
        <v>25.28</v>
      </c>
      <c r="DE34" s="228">
        <v>-0.21</v>
      </c>
      <c r="DF34" s="228">
        <v>-0.02</v>
      </c>
      <c r="DG34" s="228">
        <v>24.75</v>
      </c>
      <c r="DH34" s="228">
        <v>30.23</v>
      </c>
      <c r="DI34" s="228">
        <v>-5.48</v>
      </c>
      <c r="DJ34" s="228">
        <v>-5.48</v>
      </c>
      <c r="DK34" s="228">
        <v>25.61</v>
      </c>
      <c r="DL34" s="228">
        <v>27.57</v>
      </c>
      <c r="DM34" s="228">
        <v>-1.96</v>
      </c>
      <c r="DN34" s="228">
        <v>-1.96</v>
      </c>
      <c r="DO34" s="228">
        <v>0.69</v>
      </c>
      <c r="DP34" s="228">
        <v>0.63</v>
      </c>
      <c r="DQ34" s="228">
        <v>0.06</v>
      </c>
      <c r="DR34" s="229">
        <v>9.5200000000000007E-2</v>
      </c>
      <c r="DS34" s="231">
        <v>1420</v>
      </c>
      <c r="DT34" s="231">
        <v>1300</v>
      </c>
      <c r="DU34" s="228">
        <v>0.53</v>
      </c>
      <c r="DV34" s="228">
        <v>0.42</v>
      </c>
      <c r="DW34" s="228">
        <v>0.11</v>
      </c>
      <c r="DX34" s="229">
        <v>0.26190000000000002</v>
      </c>
      <c r="DY34" s="229">
        <v>0.43740000000000001</v>
      </c>
      <c r="DZ34" s="230">
        <v>3145000</v>
      </c>
      <c r="EA34" s="229">
        <v>5.4999999999999997E-3</v>
      </c>
      <c r="EB34" s="229">
        <v>0.43740000000000001</v>
      </c>
      <c r="EC34" s="228">
        <v>7.52</v>
      </c>
      <c r="ED34" s="229">
        <v>5.3E-3</v>
      </c>
      <c r="EE34" s="230">
        <v>1489241</v>
      </c>
      <c r="EF34" s="230">
        <v>2594700</v>
      </c>
      <c r="EG34" s="229">
        <v>-0.42599999999999999</v>
      </c>
      <c r="EH34" s="229">
        <v>0.48399999999999999</v>
      </c>
      <c r="EI34" s="231">
        <v>282896.71000000002</v>
      </c>
      <c r="EJ34" s="231">
        <v>142215.20000000001</v>
      </c>
      <c r="EK34" s="231">
        <v>160120.74</v>
      </c>
      <c r="EL34" s="231">
        <v>15069</v>
      </c>
      <c r="EM34" s="231">
        <v>585232.65</v>
      </c>
      <c r="EN34" s="231">
        <v>1880836.57</v>
      </c>
      <c r="EO34" s="231">
        <v>-1295603.92</v>
      </c>
      <c r="EP34" s="229">
        <v>-0.68879999999999997</v>
      </c>
      <c r="EQ34" s="231">
        <v>150092</v>
      </c>
      <c r="ER34" s="231">
        <v>99012</v>
      </c>
      <c r="ES34" s="231">
        <v>242529</v>
      </c>
      <c r="ET34" s="231">
        <v>71801274</v>
      </c>
      <c r="EU34" s="231">
        <v>491633</v>
      </c>
      <c r="EV34" s="231">
        <v>521857</v>
      </c>
      <c r="EW34" s="231">
        <v>-30224</v>
      </c>
      <c r="EX34" s="229">
        <v>-5.79E-2</v>
      </c>
      <c r="EY34" s="229">
        <v>0.49490000000000001</v>
      </c>
    </row>
    <row r="35" spans="1:155" ht="17.25" thickBot="1" x14ac:dyDescent="0.3">
      <c r="A35" s="226">
        <v>46135</v>
      </c>
      <c r="B35" s="227" t="s">
        <v>161</v>
      </c>
      <c r="C35" s="227" t="s">
        <v>268</v>
      </c>
      <c r="D35" s="228">
        <v>401.75</v>
      </c>
      <c r="E35" s="228">
        <v>404.9</v>
      </c>
      <c r="F35" s="228">
        <v>-3.15</v>
      </c>
      <c r="G35" s="229">
        <v>-7.7999999999999996E-3</v>
      </c>
      <c r="H35" s="228">
        <v>402.25</v>
      </c>
      <c r="I35" s="228">
        <v>405.4</v>
      </c>
      <c r="J35" s="228">
        <v>-3.15</v>
      </c>
      <c r="K35" s="229">
        <v>-7.7999999999999996E-3</v>
      </c>
      <c r="L35" s="228">
        <v>401.75</v>
      </c>
      <c r="M35" s="228">
        <v>404.9</v>
      </c>
      <c r="N35" s="228">
        <v>-3.15</v>
      </c>
      <c r="O35" s="229">
        <v>-7.7999999999999996E-3</v>
      </c>
      <c r="P35" s="228">
        <v>404.3</v>
      </c>
      <c r="Q35" s="228">
        <v>407.15</v>
      </c>
      <c r="R35" s="228">
        <v>-2.85</v>
      </c>
      <c r="S35" s="229">
        <v>-7.0000000000000001E-3</v>
      </c>
      <c r="T35" s="228">
        <v>406.5</v>
      </c>
      <c r="U35" s="228">
        <v>409.7</v>
      </c>
      <c r="V35" s="228">
        <v>-3.2</v>
      </c>
      <c r="W35" s="229">
        <v>-7.7999999999999996E-3</v>
      </c>
      <c r="X35" s="228">
        <v>-0.5</v>
      </c>
      <c r="Y35" s="228">
        <v>-0.5</v>
      </c>
      <c r="Z35" s="228">
        <v>0</v>
      </c>
      <c r="AA35" s="229">
        <v>-1.1999999999999999E-3</v>
      </c>
      <c r="AB35" s="228">
        <v>-0.5</v>
      </c>
      <c r="AC35" s="228">
        <v>-0.5</v>
      </c>
      <c r="AD35" s="228">
        <v>0</v>
      </c>
      <c r="AE35" s="229">
        <v>-1.1999999999999999E-3</v>
      </c>
      <c r="AF35" s="228">
        <v>2.0499999999999998</v>
      </c>
      <c r="AG35" s="228">
        <v>1.75</v>
      </c>
      <c r="AH35" s="228">
        <v>0.3</v>
      </c>
      <c r="AI35" s="229">
        <v>5.1000000000000004E-3</v>
      </c>
      <c r="AJ35" s="228">
        <v>4.25</v>
      </c>
      <c r="AK35" s="228">
        <v>4.3</v>
      </c>
      <c r="AL35" s="228">
        <v>-0.05</v>
      </c>
      <c r="AM35" s="229">
        <v>1.06E-2</v>
      </c>
      <c r="AN35" s="228">
        <v>402.46</v>
      </c>
      <c r="AO35" s="228">
        <v>404.82</v>
      </c>
      <c r="AP35" s="228">
        <v>0</v>
      </c>
      <c r="AQ35" s="230">
        <v>30043</v>
      </c>
      <c r="AR35" s="230">
        <v>17429</v>
      </c>
      <c r="AS35" s="230">
        <v>12614</v>
      </c>
      <c r="AT35" s="229">
        <v>0.72370000000000001</v>
      </c>
      <c r="AU35" s="230">
        <v>15728</v>
      </c>
      <c r="AV35" s="230">
        <v>12304</v>
      </c>
      <c r="AW35" s="230">
        <v>3424</v>
      </c>
      <c r="AX35" s="229">
        <v>0.27829999999999999</v>
      </c>
      <c r="AY35" s="230">
        <v>13949</v>
      </c>
      <c r="AZ35" s="230">
        <v>3945</v>
      </c>
      <c r="BA35" s="230">
        <v>10004</v>
      </c>
      <c r="BB35" s="229">
        <v>2.5358999999999998</v>
      </c>
      <c r="BC35" s="228">
        <v>366</v>
      </c>
      <c r="BD35" s="230">
        <v>1180</v>
      </c>
      <c r="BE35" s="228">
        <v>-814</v>
      </c>
      <c r="BF35" s="229">
        <v>-0.68979999999999997</v>
      </c>
      <c r="BG35" s="230">
        <v>49123</v>
      </c>
      <c r="BH35" s="230">
        <v>105773</v>
      </c>
      <c r="BI35" s="230">
        <v>-56650</v>
      </c>
      <c r="BJ35" s="229">
        <v>-0.53559999999999997</v>
      </c>
      <c r="BK35" s="230">
        <v>30448</v>
      </c>
      <c r="BL35" s="230">
        <v>53103</v>
      </c>
      <c r="BM35" s="230">
        <v>-22655</v>
      </c>
      <c r="BN35" s="229">
        <v>-0.42659999999999998</v>
      </c>
      <c r="BO35" s="230">
        <v>109614</v>
      </c>
      <c r="BP35" s="230">
        <v>176305</v>
      </c>
      <c r="BQ35" s="230">
        <v>-66691</v>
      </c>
      <c r="BR35" s="229">
        <v>-0.37830000000000003</v>
      </c>
      <c r="BS35" s="230">
        <v>9509040</v>
      </c>
      <c r="BT35" s="230">
        <v>17560002</v>
      </c>
      <c r="BU35" s="230">
        <v>-8050962</v>
      </c>
      <c r="BV35" s="229">
        <v>-0.45850000000000002</v>
      </c>
      <c r="BW35" s="230">
        <v>108913500</v>
      </c>
      <c r="BX35" s="230">
        <v>108111000</v>
      </c>
      <c r="BY35" s="230">
        <v>802500</v>
      </c>
      <c r="BZ35" s="229">
        <v>7.4000000000000003E-3</v>
      </c>
      <c r="CA35" s="230">
        <v>64282500</v>
      </c>
      <c r="CB35" s="230">
        <v>82380000</v>
      </c>
      <c r="CC35" s="230">
        <v>-18097500</v>
      </c>
      <c r="CD35" s="229">
        <v>-0.21970000000000001</v>
      </c>
      <c r="CE35" s="230">
        <v>36682500</v>
      </c>
      <c r="CF35" s="230">
        <v>18124500</v>
      </c>
      <c r="CG35" s="230">
        <v>18558000</v>
      </c>
      <c r="CH35" s="229">
        <v>1.0239</v>
      </c>
      <c r="CI35" s="230">
        <v>7948500</v>
      </c>
      <c r="CJ35" s="230">
        <v>7606500</v>
      </c>
      <c r="CK35" s="230">
        <v>342000</v>
      </c>
      <c r="CL35" s="229">
        <v>4.4999999999999998E-2</v>
      </c>
      <c r="CM35" s="230">
        <v>76119000</v>
      </c>
      <c r="CN35" s="230">
        <v>74988000</v>
      </c>
      <c r="CO35" s="230">
        <v>1131000</v>
      </c>
      <c r="CP35" s="229">
        <v>1.5100000000000001E-2</v>
      </c>
      <c r="CQ35" s="230">
        <v>43224000</v>
      </c>
      <c r="CR35" s="230">
        <v>44161500</v>
      </c>
      <c r="CS35" s="230">
        <v>-937500</v>
      </c>
      <c r="CT35" s="229">
        <v>-2.12E-2</v>
      </c>
      <c r="CU35" s="230">
        <v>228256500</v>
      </c>
      <c r="CV35" s="230">
        <v>227260500</v>
      </c>
      <c r="CW35" s="230">
        <v>996000</v>
      </c>
      <c r="CX35" s="229">
        <v>4.4000000000000003E-3</v>
      </c>
      <c r="CY35" s="228">
        <v>26.32</v>
      </c>
      <c r="CZ35" s="228">
        <v>19.72</v>
      </c>
      <c r="DA35" s="228">
        <v>6.6</v>
      </c>
      <c r="DB35" s="228">
        <v>6.6</v>
      </c>
      <c r="DC35" s="228">
        <v>27.39</v>
      </c>
      <c r="DD35" s="228">
        <v>27.44</v>
      </c>
      <c r="DE35" s="228">
        <v>-1.07</v>
      </c>
      <c r="DF35" s="228">
        <v>-0.05</v>
      </c>
      <c r="DG35" s="228">
        <v>26.44</v>
      </c>
      <c r="DH35" s="228">
        <v>19.11</v>
      </c>
      <c r="DI35" s="228">
        <v>7.33</v>
      </c>
      <c r="DJ35" s="228">
        <v>7.33</v>
      </c>
      <c r="DK35" s="228">
        <v>25.93</v>
      </c>
      <c r="DL35" s="228">
        <v>20.93</v>
      </c>
      <c r="DM35" s="228">
        <v>5</v>
      </c>
      <c r="DN35" s="228">
        <v>5</v>
      </c>
      <c r="DO35" s="228">
        <v>0.56999999999999995</v>
      </c>
      <c r="DP35" s="228">
        <v>0.59</v>
      </c>
      <c r="DQ35" s="228">
        <v>-0.02</v>
      </c>
      <c r="DR35" s="229">
        <v>-3.39E-2</v>
      </c>
      <c r="DS35" s="228">
        <v>395</v>
      </c>
      <c r="DT35" s="228">
        <v>400</v>
      </c>
      <c r="DU35" s="228">
        <v>0.62</v>
      </c>
      <c r="DV35" s="228">
        <v>0.5</v>
      </c>
      <c r="DW35" s="228">
        <v>0.12</v>
      </c>
      <c r="DX35" s="229">
        <v>0.24</v>
      </c>
      <c r="DY35" s="229">
        <v>0.4098</v>
      </c>
      <c r="DZ35" s="230">
        <v>25731000</v>
      </c>
      <c r="EA35" s="229">
        <v>6.3E-3</v>
      </c>
      <c r="EB35" s="229">
        <v>0.4098</v>
      </c>
      <c r="EC35" s="228">
        <v>2.36</v>
      </c>
      <c r="ED35" s="229">
        <v>5.8999999999999999E-3</v>
      </c>
      <c r="EE35" s="230">
        <v>5737770</v>
      </c>
      <c r="EF35" s="230">
        <v>10903650</v>
      </c>
      <c r="EG35" s="229">
        <v>-0.4738</v>
      </c>
      <c r="EH35" s="229">
        <v>0.60340000000000005</v>
      </c>
      <c r="EI35" s="231">
        <v>302400.63</v>
      </c>
      <c r="EJ35" s="231">
        <v>181473.92000000001</v>
      </c>
      <c r="EK35" s="231">
        <v>181886.95</v>
      </c>
      <c r="EL35" s="231">
        <v>12665</v>
      </c>
      <c r="EM35" s="231">
        <v>665761.5</v>
      </c>
      <c r="EN35" s="231">
        <v>1075328.33</v>
      </c>
      <c r="EO35" s="231">
        <v>-409566.83</v>
      </c>
      <c r="EP35" s="229">
        <v>-0.38090000000000002</v>
      </c>
      <c r="EQ35" s="231">
        <v>301104</v>
      </c>
      <c r="ER35" s="231">
        <v>165543</v>
      </c>
      <c r="ES35" s="231">
        <v>438873</v>
      </c>
      <c r="ET35" s="231">
        <v>550512361</v>
      </c>
      <c r="EU35" s="231">
        <v>905519</v>
      </c>
      <c r="EV35" s="231">
        <v>903910</v>
      </c>
      <c r="EW35" s="231">
        <v>1609</v>
      </c>
      <c r="EX35" s="229">
        <v>1.8E-3</v>
      </c>
      <c r="EY35" s="229">
        <v>0.41460000000000002</v>
      </c>
    </row>
    <row r="36" spans="1:155" ht="17.25" thickBot="1" x14ac:dyDescent="0.3">
      <c r="A36" s="226">
        <v>46135</v>
      </c>
      <c r="B36" s="227" t="s">
        <v>193</v>
      </c>
      <c r="C36" s="227" t="s">
        <v>269</v>
      </c>
      <c r="D36" s="228">
        <v>286.64999999999998</v>
      </c>
      <c r="E36" s="228">
        <v>284.5</v>
      </c>
      <c r="F36" s="228">
        <v>2.15</v>
      </c>
      <c r="G36" s="229">
        <v>7.6E-3</v>
      </c>
      <c r="H36" s="228">
        <v>286.25</v>
      </c>
      <c r="I36" s="228">
        <v>283.64999999999998</v>
      </c>
      <c r="J36" s="228">
        <v>2.6</v>
      </c>
      <c r="K36" s="229">
        <v>9.1999999999999998E-3</v>
      </c>
      <c r="L36" s="228">
        <v>286.64999999999998</v>
      </c>
      <c r="M36" s="228">
        <v>284.5</v>
      </c>
      <c r="N36" s="228">
        <v>2.15</v>
      </c>
      <c r="O36" s="229">
        <v>7.6E-3</v>
      </c>
      <c r="P36" s="228">
        <v>288.2</v>
      </c>
      <c r="Q36" s="228">
        <v>285.75</v>
      </c>
      <c r="R36" s="228">
        <v>2.4500000000000002</v>
      </c>
      <c r="S36" s="229">
        <v>8.6E-3</v>
      </c>
      <c r="T36" s="228">
        <v>290.05</v>
      </c>
      <c r="U36" s="228">
        <v>287.5</v>
      </c>
      <c r="V36" s="228">
        <v>2.5499999999999998</v>
      </c>
      <c r="W36" s="229">
        <v>8.8999999999999999E-3</v>
      </c>
      <c r="X36" s="228">
        <v>0.4</v>
      </c>
      <c r="Y36" s="228">
        <v>0.85</v>
      </c>
      <c r="Z36" s="228">
        <v>-0.45</v>
      </c>
      <c r="AA36" s="229">
        <v>1.4E-3</v>
      </c>
      <c r="AB36" s="228">
        <v>0.4</v>
      </c>
      <c r="AC36" s="228">
        <v>0.85</v>
      </c>
      <c r="AD36" s="228">
        <v>-0.45</v>
      </c>
      <c r="AE36" s="229">
        <v>1.4E-3</v>
      </c>
      <c r="AF36" s="228">
        <v>1.95</v>
      </c>
      <c r="AG36" s="228">
        <v>2.1</v>
      </c>
      <c r="AH36" s="228">
        <v>-0.15</v>
      </c>
      <c r="AI36" s="229">
        <v>6.7999999999999996E-3</v>
      </c>
      <c r="AJ36" s="228">
        <v>3.8</v>
      </c>
      <c r="AK36" s="228">
        <v>3.85</v>
      </c>
      <c r="AL36" s="228">
        <v>-0.05</v>
      </c>
      <c r="AM36" s="229">
        <v>1.3299999999999999E-2</v>
      </c>
      <c r="AN36" s="228">
        <v>286.76</v>
      </c>
      <c r="AO36" s="228">
        <v>288.2</v>
      </c>
      <c r="AP36" s="228">
        <v>0</v>
      </c>
      <c r="AQ36" s="230">
        <v>24455</v>
      </c>
      <c r="AR36" s="230">
        <v>4317</v>
      </c>
      <c r="AS36" s="230">
        <v>20138</v>
      </c>
      <c r="AT36" s="229">
        <v>4.6647999999999996</v>
      </c>
      <c r="AU36" s="230">
        <v>12789</v>
      </c>
      <c r="AV36" s="230">
        <v>2970</v>
      </c>
      <c r="AW36" s="230">
        <v>9819</v>
      </c>
      <c r="AX36" s="229">
        <v>3.3060999999999998</v>
      </c>
      <c r="AY36" s="230">
        <v>11028</v>
      </c>
      <c r="AZ36" s="230">
        <v>1239</v>
      </c>
      <c r="BA36" s="230">
        <v>9789</v>
      </c>
      <c r="BB36" s="229">
        <v>7.9006999999999996</v>
      </c>
      <c r="BC36" s="228">
        <v>638</v>
      </c>
      <c r="BD36" s="228">
        <v>108</v>
      </c>
      <c r="BE36" s="228">
        <v>530</v>
      </c>
      <c r="BF36" s="229">
        <v>4.9074</v>
      </c>
      <c r="BG36" s="230">
        <v>62544</v>
      </c>
      <c r="BH36" s="230">
        <v>25412</v>
      </c>
      <c r="BI36" s="230">
        <v>37132</v>
      </c>
      <c r="BJ36" s="229">
        <v>1.4612000000000001</v>
      </c>
      <c r="BK36" s="230">
        <v>20377</v>
      </c>
      <c r="BL36" s="230">
        <v>10103</v>
      </c>
      <c r="BM36" s="230">
        <v>10274</v>
      </c>
      <c r="BN36" s="229">
        <v>1.0168999999999999</v>
      </c>
      <c r="BO36" s="230">
        <v>107376</v>
      </c>
      <c r="BP36" s="230">
        <v>39832</v>
      </c>
      <c r="BQ36" s="230">
        <v>67544</v>
      </c>
      <c r="BR36" s="229">
        <v>1.6957</v>
      </c>
      <c r="BS36" s="230">
        <v>14316664</v>
      </c>
      <c r="BT36" s="230">
        <v>9605525</v>
      </c>
      <c r="BU36" s="230">
        <v>4711139</v>
      </c>
      <c r="BV36" s="229">
        <v>0.49049999999999999</v>
      </c>
      <c r="BW36" s="230">
        <v>103826250</v>
      </c>
      <c r="BX36" s="230">
        <v>102276000</v>
      </c>
      <c r="BY36" s="230">
        <v>1550250</v>
      </c>
      <c r="BZ36" s="229">
        <v>1.52E-2</v>
      </c>
      <c r="CA36" s="230">
        <v>65432250</v>
      </c>
      <c r="CB36" s="230">
        <v>86337000</v>
      </c>
      <c r="CC36" s="230">
        <v>-20904750</v>
      </c>
      <c r="CD36" s="229">
        <v>-0.24210000000000001</v>
      </c>
      <c r="CE36" s="230">
        <v>29376000</v>
      </c>
      <c r="CF36" s="230">
        <v>8217000</v>
      </c>
      <c r="CG36" s="230">
        <v>21159000</v>
      </c>
      <c r="CH36" s="229">
        <v>2.5750000000000002</v>
      </c>
      <c r="CI36" s="230">
        <v>9018000</v>
      </c>
      <c r="CJ36" s="230">
        <v>7722000</v>
      </c>
      <c r="CK36" s="230">
        <v>1296000</v>
      </c>
      <c r="CL36" s="229">
        <v>0.1678</v>
      </c>
      <c r="CM36" s="230">
        <v>96165000</v>
      </c>
      <c r="CN36" s="230">
        <v>93924000</v>
      </c>
      <c r="CO36" s="230">
        <v>2241000</v>
      </c>
      <c r="CP36" s="229">
        <v>2.3900000000000001E-2</v>
      </c>
      <c r="CQ36" s="230">
        <v>37170000</v>
      </c>
      <c r="CR36" s="230">
        <v>37667250</v>
      </c>
      <c r="CS36" s="230">
        <v>-497250</v>
      </c>
      <c r="CT36" s="229">
        <v>-1.32E-2</v>
      </c>
      <c r="CU36" s="230">
        <v>237161250</v>
      </c>
      <c r="CV36" s="230">
        <v>233867250</v>
      </c>
      <c r="CW36" s="230">
        <v>3294000</v>
      </c>
      <c r="CX36" s="229">
        <v>1.41E-2</v>
      </c>
      <c r="CY36" s="228">
        <v>28.21</v>
      </c>
      <c r="CZ36" s="228">
        <v>23.47</v>
      </c>
      <c r="DA36" s="228">
        <v>4.74</v>
      </c>
      <c r="DB36" s="228">
        <v>4.74</v>
      </c>
      <c r="DC36" s="228">
        <v>31.44</v>
      </c>
      <c r="DD36" s="228">
        <v>31.5</v>
      </c>
      <c r="DE36" s="228">
        <v>-3.23</v>
      </c>
      <c r="DF36" s="228">
        <v>-0.06</v>
      </c>
      <c r="DG36" s="228">
        <v>27.84</v>
      </c>
      <c r="DH36" s="228">
        <v>22.03</v>
      </c>
      <c r="DI36" s="228">
        <v>5.81</v>
      </c>
      <c r="DJ36" s="228">
        <v>5.81</v>
      </c>
      <c r="DK36" s="228">
        <v>29.81</v>
      </c>
      <c r="DL36" s="228">
        <v>27.09</v>
      </c>
      <c r="DM36" s="228">
        <v>2.72</v>
      </c>
      <c r="DN36" s="228">
        <v>2.72</v>
      </c>
      <c r="DO36" s="228">
        <v>0.39</v>
      </c>
      <c r="DP36" s="228">
        <v>0.4</v>
      </c>
      <c r="DQ36" s="228">
        <v>-0.01</v>
      </c>
      <c r="DR36" s="229">
        <v>-2.5000000000000001E-2</v>
      </c>
      <c r="DS36" s="228">
        <v>290</v>
      </c>
      <c r="DT36" s="228">
        <v>270</v>
      </c>
      <c r="DU36" s="228">
        <v>0.33</v>
      </c>
      <c r="DV36" s="228">
        <v>0.4</v>
      </c>
      <c r="DW36" s="228">
        <v>-7.0000000000000007E-2</v>
      </c>
      <c r="DX36" s="229">
        <v>-0.17499999999999999</v>
      </c>
      <c r="DY36" s="229">
        <v>0.36980000000000002</v>
      </c>
      <c r="DZ36" s="230">
        <v>15939000</v>
      </c>
      <c r="EA36" s="229">
        <v>5.4000000000000003E-3</v>
      </c>
      <c r="EB36" s="229">
        <v>0.36980000000000002</v>
      </c>
      <c r="EC36" s="228">
        <v>1.44</v>
      </c>
      <c r="ED36" s="229">
        <v>5.0000000000000001E-3</v>
      </c>
      <c r="EE36" s="230">
        <v>6884920</v>
      </c>
      <c r="EF36" s="230">
        <v>6120927</v>
      </c>
      <c r="EG36" s="229">
        <v>0.12479999999999999</v>
      </c>
      <c r="EH36" s="229">
        <v>0.48089999999999999</v>
      </c>
      <c r="EI36" s="231">
        <v>413575.48</v>
      </c>
      <c r="EJ36" s="231">
        <v>128915.78</v>
      </c>
      <c r="EK36" s="231">
        <v>158194.21</v>
      </c>
      <c r="EL36" s="231">
        <v>4978</v>
      </c>
      <c r="EM36" s="231">
        <v>700685.47</v>
      </c>
      <c r="EN36" s="231">
        <v>258541.69</v>
      </c>
      <c r="EO36" s="231">
        <v>442143.78</v>
      </c>
      <c r="EP36" s="229">
        <v>1.7101</v>
      </c>
      <c r="EQ36" s="231">
        <v>283752</v>
      </c>
      <c r="ER36" s="231">
        <v>101222</v>
      </c>
      <c r="ES36" s="231">
        <v>298380</v>
      </c>
      <c r="ET36" s="231">
        <v>711370982</v>
      </c>
      <c r="EU36" s="231">
        <v>683353</v>
      </c>
      <c r="EV36" s="231">
        <v>670960</v>
      </c>
      <c r="EW36" s="231">
        <v>12393</v>
      </c>
      <c r="EX36" s="229">
        <v>1.8499999999999999E-2</v>
      </c>
      <c r="EY36" s="229">
        <v>0.33339999999999997</v>
      </c>
    </row>
    <row r="37" spans="1:155" ht="17.25" thickBot="1" x14ac:dyDescent="0.3">
      <c r="A37" s="226">
        <v>46135</v>
      </c>
      <c r="B37" s="227" t="s">
        <v>161</v>
      </c>
      <c r="C37" s="227" t="s">
        <v>276</v>
      </c>
      <c r="D37" s="228">
        <v>318.25</v>
      </c>
      <c r="E37" s="228">
        <v>319.8</v>
      </c>
      <c r="F37" s="228">
        <v>-1.55</v>
      </c>
      <c r="G37" s="229">
        <v>-4.7999999999999996E-3</v>
      </c>
      <c r="H37" s="228">
        <v>319.14999999999998</v>
      </c>
      <c r="I37" s="228">
        <v>319.75</v>
      </c>
      <c r="J37" s="228">
        <v>-0.6</v>
      </c>
      <c r="K37" s="229">
        <v>-1.9E-3</v>
      </c>
      <c r="L37" s="228">
        <v>318.25</v>
      </c>
      <c r="M37" s="228">
        <v>319.8</v>
      </c>
      <c r="N37" s="228">
        <v>-1.55</v>
      </c>
      <c r="O37" s="229">
        <v>-4.7999999999999996E-3</v>
      </c>
      <c r="P37" s="228">
        <v>319.85000000000002</v>
      </c>
      <c r="Q37" s="228">
        <v>321.7</v>
      </c>
      <c r="R37" s="228">
        <v>-1.85</v>
      </c>
      <c r="S37" s="229">
        <v>-5.7999999999999996E-3</v>
      </c>
      <c r="T37" s="228">
        <v>322.10000000000002</v>
      </c>
      <c r="U37" s="228">
        <v>323.85000000000002</v>
      </c>
      <c r="V37" s="228">
        <v>-1.75</v>
      </c>
      <c r="W37" s="229">
        <v>-5.4000000000000003E-3</v>
      </c>
      <c r="X37" s="228">
        <v>-0.9</v>
      </c>
      <c r="Y37" s="228">
        <v>0.05</v>
      </c>
      <c r="Z37" s="228">
        <v>-0.95</v>
      </c>
      <c r="AA37" s="229">
        <v>-2.8E-3</v>
      </c>
      <c r="AB37" s="228">
        <v>-0.9</v>
      </c>
      <c r="AC37" s="228">
        <v>0.05</v>
      </c>
      <c r="AD37" s="228">
        <v>-0.95</v>
      </c>
      <c r="AE37" s="229">
        <v>-2.8E-3</v>
      </c>
      <c r="AF37" s="228">
        <v>0.7</v>
      </c>
      <c r="AG37" s="228">
        <v>1.95</v>
      </c>
      <c r="AH37" s="228">
        <v>-1.25</v>
      </c>
      <c r="AI37" s="229">
        <v>2.2000000000000001E-3</v>
      </c>
      <c r="AJ37" s="228">
        <v>2.95</v>
      </c>
      <c r="AK37" s="228">
        <v>4.0999999999999996</v>
      </c>
      <c r="AL37" s="228">
        <v>-1.1499999999999999</v>
      </c>
      <c r="AM37" s="229">
        <v>9.1999999999999998E-3</v>
      </c>
      <c r="AN37" s="228">
        <v>319.33999999999997</v>
      </c>
      <c r="AO37" s="228">
        <v>321.01</v>
      </c>
      <c r="AP37" s="228">
        <v>0</v>
      </c>
      <c r="AQ37" s="230">
        <v>24921</v>
      </c>
      <c r="AR37" s="230">
        <v>5921</v>
      </c>
      <c r="AS37" s="230">
        <v>19000</v>
      </c>
      <c r="AT37" s="229">
        <v>3.2088999999999999</v>
      </c>
      <c r="AU37" s="230">
        <v>12774</v>
      </c>
      <c r="AV37" s="230">
        <v>3757</v>
      </c>
      <c r="AW37" s="230">
        <v>9017</v>
      </c>
      <c r="AX37" s="229">
        <v>2.4001000000000001</v>
      </c>
      <c r="AY37" s="230">
        <v>11957</v>
      </c>
      <c r="AZ37" s="230">
        <v>1967</v>
      </c>
      <c r="BA37" s="230">
        <v>9990</v>
      </c>
      <c r="BB37" s="229">
        <v>5.0788000000000002</v>
      </c>
      <c r="BC37" s="228">
        <v>190</v>
      </c>
      <c r="BD37" s="228">
        <v>197</v>
      </c>
      <c r="BE37" s="228">
        <v>-7</v>
      </c>
      <c r="BF37" s="229">
        <v>-3.5499999999999997E-2</v>
      </c>
      <c r="BG37" s="230">
        <v>25245</v>
      </c>
      <c r="BH37" s="230">
        <v>26909</v>
      </c>
      <c r="BI37" s="230">
        <v>-1664</v>
      </c>
      <c r="BJ37" s="229">
        <v>-6.1800000000000001E-2</v>
      </c>
      <c r="BK37" s="230">
        <v>10475</v>
      </c>
      <c r="BL37" s="230">
        <v>10841</v>
      </c>
      <c r="BM37" s="228">
        <v>-366</v>
      </c>
      <c r="BN37" s="229">
        <v>-3.3799999999999997E-2</v>
      </c>
      <c r="BO37" s="230">
        <v>60641</v>
      </c>
      <c r="BP37" s="230">
        <v>43671</v>
      </c>
      <c r="BQ37" s="230">
        <v>16970</v>
      </c>
      <c r="BR37" s="229">
        <v>0.3886</v>
      </c>
      <c r="BS37" s="230">
        <v>7544903</v>
      </c>
      <c r="BT37" s="230">
        <v>7264687</v>
      </c>
      <c r="BU37" s="230">
        <v>280216</v>
      </c>
      <c r="BV37" s="229">
        <v>3.8600000000000002E-2</v>
      </c>
      <c r="BW37" s="230">
        <v>79714500</v>
      </c>
      <c r="BX37" s="230">
        <v>81587900</v>
      </c>
      <c r="BY37" s="230">
        <v>-1873400</v>
      </c>
      <c r="BZ37" s="229">
        <v>-2.3E-2</v>
      </c>
      <c r="CA37" s="230">
        <v>43795000</v>
      </c>
      <c r="CB37" s="230">
        <v>63855200</v>
      </c>
      <c r="CC37" s="230">
        <v>-20060200</v>
      </c>
      <c r="CD37" s="229">
        <v>-0.31419999999999998</v>
      </c>
      <c r="CE37" s="230">
        <v>28885700</v>
      </c>
      <c r="CF37" s="230">
        <v>10968700</v>
      </c>
      <c r="CG37" s="230">
        <v>17917000</v>
      </c>
      <c r="CH37" s="229">
        <v>1.6335</v>
      </c>
      <c r="CI37" s="230">
        <v>7033800</v>
      </c>
      <c r="CJ37" s="230">
        <v>6764000</v>
      </c>
      <c r="CK37" s="230">
        <v>269800</v>
      </c>
      <c r="CL37" s="229">
        <v>3.9899999999999998E-2</v>
      </c>
      <c r="CM37" s="230">
        <v>41374400</v>
      </c>
      <c r="CN37" s="230">
        <v>41402900</v>
      </c>
      <c r="CO37" s="230">
        <v>-28500</v>
      </c>
      <c r="CP37" s="229">
        <v>-6.9999999999999999E-4</v>
      </c>
      <c r="CQ37" s="230">
        <v>25898900</v>
      </c>
      <c r="CR37" s="230">
        <v>26288400</v>
      </c>
      <c r="CS37" s="230">
        <v>-389500</v>
      </c>
      <c r="CT37" s="229">
        <v>-1.4800000000000001E-2</v>
      </c>
      <c r="CU37" s="230">
        <v>146987800</v>
      </c>
      <c r="CV37" s="230">
        <v>149279200</v>
      </c>
      <c r="CW37" s="230">
        <v>-2291400</v>
      </c>
      <c r="CX37" s="229">
        <v>-1.5299999999999999E-2</v>
      </c>
      <c r="CY37" s="228">
        <v>28.65</v>
      </c>
      <c r="CZ37" s="228">
        <v>21.5</v>
      </c>
      <c r="DA37" s="228">
        <v>7.15</v>
      </c>
      <c r="DB37" s="228">
        <v>7.15</v>
      </c>
      <c r="DC37" s="228">
        <v>28.75</v>
      </c>
      <c r="DD37" s="228">
        <v>28.82</v>
      </c>
      <c r="DE37" s="228">
        <v>-0.1</v>
      </c>
      <c r="DF37" s="228">
        <v>-7.0000000000000007E-2</v>
      </c>
      <c r="DG37" s="228">
        <v>28.77</v>
      </c>
      <c r="DH37" s="228">
        <v>20.74</v>
      </c>
      <c r="DI37" s="228">
        <v>8.0299999999999994</v>
      </c>
      <c r="DJ37" s="228">
        <v>8.0299999999999994</v>
      </c>
      <c r="DK37" s="228">
        <v>28.37</v>
      </c>
      <c r="DL37" s="228">
        <v>23.4</v>
      </c>
      <c r="DM37" s="228">
        <v>4.97</v>
      </c>
      <c r="DN37" s="228">
        <v>4.97</v>
      </c>
      <c r="DO37" s="228">
        <v>0.63</v>
      </c>
      <c r="DP37" s="228">
        <v>0.63</v>
      </c>
      <c r="DQ37" s="228">
        <v>0</v>
      </c>
      <c r="DR37" s="229">
        <v>0</v>
      </c>
      <c r="DS37" s="228">
        <v>315</v>
      </c>
      <c r="DT37" s="228">
        <v>300</v>
      </c>
      <c r="DU37" s="228">
        <v>0.41</v>
      </c>
      <c r="DV37" s="228">
        <v>0.4</v>
      </c>
      <c r="DW37" s="228">
        <v>0.01</v>
      </c>
      <c r="DX37" s="229">
        <v>2.5000000000000001E-2</v>
      </c>
      <c r="DY37" s="229">
        <v>0.4506</v>
      </c>
      <c r="DZ37" s="230">
        <v>17732700</v>
      </c>
      <c r="EA37" s="229">
        <v>5.0000000000000001E-3</v>
      </c>
      <c r="EB37" s="229">
        <v>0.4506</v>
      </c>
      <c r="EC37" s="228">
        <v>1.67</v>
      </c>
      <c r="ED37" s="229">
        <v>5.1999999999999998E-3</v>
      </c>
      <c r="EE37" s="230">
        <v>4782414</v>
      </c>
      <c r="EF37" s="230">
        <v>4087341</v>
      </c>
      <c r="EG37" s="229">
        <v>0.1701</v>
      </c>
      <c r="EH37" s="229">
        <v>0.63390000000000002</v>
      </c>
      <c r="EI37" s="231">
        <v>156208.49</v>
      </c>
      <c r="EJ37" s="231">
        <v>62576.83</v>
      </c>
      <c r="EK37" s="231">
        <v>151599.63</v>
      </c>
      <c r="EL37" s="231">
        <v>8542</v>
      </c>
      <c r="EM37" s="231">
        <v>370384.95</v>
      </c>
      <c r="EN37" s="231">
        <v>267924.19</v>
      </c>
      <c r="EO37" s="231">
        <v>102460.76</v>
      </c>
      <c r="EP37" s="229">
        <v>0.38240000000000002</v>
      </c>
      <c r="EQ37" s="231">
        <v>132208</v>
      </c>
      <c r="ER37" s="231">
        <v>77494</v>
      </c>
      <c r="ES37" s="231">
        <v>254424</v>
      </c>
      <c r="ET37" s="231">
        <v>660840864</v>
      </c>
      <c r="EU37" s="231">
        <v>464127</v>
      </c>
      <c r="EV37" s="231">
        <v>472057</v>
      </c>
      <c r="EW37" s="231">
        <v>-7930</v>
      </c>
      <c r="EX37" s="229">
        <v>-1.6799999999999999E-2</v>
      </c>
      <c r="EY37" s="229">
        <v>0.22239999999999999</v>
      </c>
    </row>
    <row r="38" spans="1:155" ht="17.25" thickBot="1" x14ac:dyDescent="0.3">
      <c r="A38" s="226">
        <v>46135</v>
      </c>
      <c r="B38" s="227" t="s">
        <v>193</v>
      </c>
      <c r="C38" s="227" t="s">
        <v>281</v>
      </c>
      <c r="D38" s="231">
        <v>1344.3</v>
      </c>
      <c r="E38" s="231">
        <v>1362.1</v>
      </c>
      <c r="F38" s="228">
        <v>-17.8</v>
      </c>
      <c r="G38" s="229">
        <v>-1.3100000000000001E-2</v>
      </c>
      <c r="H38" s="231">
        <v>1343.4</v>
      </c>
      <c r="I38" s="231">
        <v>1362.1</v>
      </c>
      <c r="J38" s="228">
        <v>-18.7</v>
      </c>
      <c r="K38" s="229">
        <v>-1.37E-2</v>
      </c>
      <c r="L38" s="231">
        <v>1344.3</v>
      </c>
      <c r="M38" s="231">
        <v>1362.1</v>
      </c>
      <c r="N38" s="228">
        <v>-17.8</v>
      </c>
      <c r="O38" s="229">
        <v>-1.3100000000000001E-2</v>
      </c>
      <c r="P38" s="231">
        <v>1351.6</v>
      </c>
      <c r="Q38" s="231">
        <v>1369.5</v>
      </c>
      <c r="R38" s="228">
        <v>-17.899999999999999</v>
      </c>
      <c r="S38" s="229">
        <v>-1.3100000000000001E-2</v>
      </c>
      <c r="T38" s="231">
        <v>1360.2</v>
      </c>
      <c r="U38" s="231">
        <v>1377.7</v>
      </c>
      <c r="V38" s="228">
        <v>-17.5</v>
      </c>
      <c r="W38" s="229">
        <v>-1.2699999999999999E-2</v>
      </c>
      <c r="X38" s="228">
        <v>0.9</v>
      </c>
      <c r="Y38" s="228">
        <v>0</v>
      </c>
      <c r="Z38" s="228">
        <v>0.9</v>
      </c>
      <c r="AA38" s="229">
        <v>6.9999999999999999E-4</v>
      </c>
      <c r="AB38" s="228">
        <v>0.9</v>
      </c>
      <c r="AC38" s="228">
        <v>0</v>
      </c>
      <c r="AD38" s="228">
        <v>0.9</v>
      </c>
      <c r="AE38" s="229">
        <v>6.9999999999999999E-4</v>
      </c>
      <c r="AF38" s="228">
        <v>8.1999999999999993</v>
      </c>
      <c r="AG38" s="228">
        <v>7.4</v>
      </c>
      <c r="AH38" s="228">
        <v>0.8</v>
      </c>
      <c r="AI38" s="229">
        <v>6.1000000000000004E-3</v>
      </c>
      <c r="AJ38" s="228">
        <v>16.8</v>
      </c>
      <c r="AK38" s="228">
        <v>15.6</v>
      </c>
      <c r="AL38" s="228">
        <v>1.2</v>
      </c>
      <c r="AM38" s="229">
        <v>1.2500000000000001E-2</v>
      </c>
      <c r="AN38" s="231">
        <v>1349.45</v>
      </c>
      <c r="AO38" s="231">
        <v>1357.26</v>
      </c>
      <c r="AP38" s="228">
        <v>0</v>
      </c>
      <c r="AQ38" s="230">
        <v>80112</v>
      </c>
      <c r="AR38" s="230">
        <v>34193</v>
      </c>
      <c r="AS38" s="230">
        <v>45919</v>
      </c>
      <c r="AT38" s="229">
        <v>1.3429</v>
      </c>
      <c r="AU38" s="230">
        <v>40464</v>
      </c>
      <c r="AV38" s="230">
        <v>22047</v>
      </c>
      <c r="AW38" s="230">
        <v>18417</v>
      </c>
      <c r="AX38" s="229">
        <v>0.83540000000000003</v>
      </c>
      <c r="AY38" s="230">
        <v>29666</v>
      </c>
      <c r="AZ38" s="230">
        <v>8485</v>
      </c>
      <c r="BA38" s="230">
        <v>21181</v>
      </c>
      <c r="BB38" s="229">
        <v>2.4963000000000002</v>
      </c>
      <c r="BC38" s="230">
        <v>9982</v>
      </c>
      <c r="BD38" s="230">
        <v>3661</v>
      </c>
      <c r="BE38" s="230">
        <v>6321</v>
      </c>
      <c r="BF38" s="229">
        <v>1.7265999999999999</v>
      </c>
      <c r="BG38" s="230">
        <v>149045</v>
      </c>
      <c r="BH38" s="230">
        <v>140020</v>
      </c>
      <c r="BI38" s="230">
        <v>9025</v>
      </c>
      <c r="BJ38" s="229">
        <v>6.4500000000000002E-2</v>
      </c>
      <c r="BK38" s="230">
        <v>102960</v>
      </c>
      <c r="BL38" s="230">
        <v>80920</v>
      </c>
      <c r="BM38" s="230">
        <v>22040</v>
      </c>
      <c r="BN38" s="229">
        <v>0.27239999999999998</v>
      </c>
      <c r="BO38" s="230">
        <v>332117</v>
      </c>
      <c r="BP38" s="230">
        <v>255133</v>
      </c>
      <c r="BQ38" s="230">
        <v>76984</v>
      </c>
      <c r="BR38" s="229">
        <v>0.30170000000000002</v>
      </c>
      <c r="BS38" s="230">
        <v>19629031</v>
      </c>
      <c r="BT38" s="230">
        <v>9945109</v>
      </c>
      <c r="BU38" s="230">
        <v>9683922</v>
      </c>
      <c r="BV38" s="229">
        <v>0.97370000000000001</v>
      </c>
      <c r="BW38" s="230">
        <v>104295500</v>
      </c>
      <c r="BX38" s="230">
        <v>101507000</v>
      </c>
      <c r="BY38" s="230">
        <v>2788500</v>
      </c>
      <c r="BZ38" s="229">
        <v>2.75E-2</v>
      </c>
      <c r="CA38" s="230">
        <v>53319000</v>
      </c>
      <c r="CB38" s="230">
        <v>68429500</v>
      </c>
      <c r="CC38" s="230">
        <v>-15110500</v>
      </c>
      <c r="CD38" s="229">
        <v>-0.2208</v>
      </c>
      <c r="CE38" s="230">
        <v>39080500</v>
      </c>
      <c r="CF38" s="230">
        <v>25926500</v>
      </c>
      <c r="CG38" s="230">
        <v>13154000</v>
      </c>
      <c r="CH38" s="229">
        <v>0.50739999999999996</v>
      </c>
      <c r="CI38" s="230">
        <v>11896000</v>
      </c>
      <c r="CJ38" s="230">
        <v>7151000</v>
      </c>
      <c r="CK38" s="230">
        <v>4745000</v>
      </c>
      <c r="CL38" s="229">
        <v>0.66349999999999998</v>
      </c>
      <c r="CM38" s="230">
        <v>81209000</v>
      </c>
      <c r="CN38" s="230">
        <v>78053000</v>
      </c>
      <c r="CO38" s="230">
        <v>3156000</v>
      </c>
      <c r="CP38" s="229">
        <v>4.0399999999999998E-2</v>
      </c>
      <c r="CQ38" s="230">
        <v>41382000</v>
      </c>
      <c r="CR38" s="230">
        <v>38482000</v>
      </c>
      <c r="CS38" s="230">
        <v>2900000</v>
      </c>
      <c r="CT38" s="229">
        <v>7.5399999999999995E-2</v>
      </c>
      <c r="CU38" s="230">
        <v>226886500</v>
      </c>
      <c r="CV38" s="230">
        <v>218042000</v>
      </c>
      <c r="CW38" s="230">
        <v>8844500</v>
      </c>
      <c r="CX38" s="229">
        <v>4.0599999999999997E-2</v>
      </c>
      <c r="CY38" s="228">
        <v>28.3</v>
      </c>
      <c r="CZ38" s="228">
        <v>28.4</v>
      </c>
      <c r="DA38" s="228">
        <v>-0.1</v>
      </c>
      <c r="DB38" s="228">
        <v>-0.1</v>
      </c>
      <c r="DC38" s="228">
        <v>26.31</v>
      </c>
      <c r="DD38" s="228">
        <v>26.3</v>
      </c>
      <c r="DE38" s="228">
        <v>1.99</v>
      </c>
      <c r="DF38" s="228">
        <v>0.01</v>
      </c>
      <c r="DG38" s="228">
        <v>28.34</v>
      </c>
      <c r="DH38" s="228">
        <v>28.3</v>
      </c>
      <c r="DI38" s="228">
        <v>0.04</v>
      </c>
      <c r="DJ38" s="228">
        <v>0.04</v>
      </c>
      <c r="DK38" s="228">
        <v>28.23</v>
      </c>
      <c r="DL38" s="228">
        <v>28.57</v>
      </c>
      <c r="DM38" s="228">
        <v>-0.34</v>
      </c>
      <c r="DN38" s="228">
        <v>-0.34</v>
      </c>
      <c r="DO38" s="228">
        <v>0.51</v>
      </c>
      <c r="DP38" s="228">
        <v>0.49</v>
      </c>
      <c r="DQ38" s="228">
        <v>0.02</v>
      </c>
      <c r="DR38" s="229">
        <v>4.0800000000000003E-2</v>
      </c>
      <c r="DS38" s="231">
        <v>1400</v>
      </c>
      <c r="DT38" s="231">
        <v>1300</v>
      </c>
      <c r="DU38" s="228">
        <v>0.69</v>
      </c>
      <c r="DV38" s="228">
        <v>0.57999999999999996</v>
      </c>
      <c r="DW38" s="228">
        <v>0.11</v>
      </c>
      <c r="DX38" s="229">
        <v>0.18970000000000001</v>
      </c>
      <c r="DY38" s="229">
        <v>0.48880000000000001</v>
      </c>
      <c r="DZ38" s="230">
        <v>33077500</v>
      </c>
      <c r="EA38" s="229">
        <v>5.4000000000000003E-3</v>
      </c>
      <c r="EB38" s="229">
        <v>0.48880000000000001</v>
      </c>
      <c r="EC38" s="228">
        <v>7.81</v>
      </c>
      <c r="ED38" s="229">
        <v>5.7999999999999996E-3</v>
      </c>
      <c r="EE38" s="230">
        <v>9226674</v>
      </c>
      <c r="EF38" s="230">
        <v>6120499</v>
      </c>
      <c r="EG38" s="229">
        <v>0.50749999999999995</v>
      </c>
      <c r="EH38" s="229">
        <v>0.47010000000000002</v>
      </c>
      <c r="EI38" s="231">
        <v>1051318.42</v>
      </c>
      <c r="EJ38" s="231">
        <v>691071.65</v>
      </c>
      <c r="EK38" s="231">
        <v>542415.05000000005</v>
      </c>
      <c r="EL38" s="231">
        <v>31007</v>
      </c>
      <c r="EM38" s="231">
        <v>2284805.1200000001</v>
      </c>
      <c r="EN38" s="231">
        <v>1764616.66</v>
      </c>
      <c r="EO38" s="231">
        <v>520188.46</v>
      </c>
      <c r="EP38" s="229">
        <v>0.29480000000000001</v>
      </c>
      <c r="EQ38" s="231">
        <v>1136324</v>
      </c>
      <c r="ER38" s="231">
        <v>556530</v>
      </c>
      <c r="ES38" s="231">
        <v>1406789</v>
      </c>
      <c r="ET38" s="231">
        <v>664381721</v>
      </c>
      <c r="EU38" s="231">
        <v>3099643</v>
      </c>
      <c r="EV38" s="231">
        <v>2999145</v>
      </c>
      <c r="EW38" s="231">
        <v>100498</v>
      </c>
      <c r="EX38" s="229">
        <v>3.3500000000000002E-2</v>
      </c>
      <c r="EY38" s="229">
        <v>0.34150000000000003</v>
      </c>
    </row>
    <row r="39" spans="1:155" ht="17.25" thickBot="1" x14ac:dyDescent="0.3">
      <c r="A39" s="226">
        <v>46135</v>
      </c>
      <c r="B39" s="227" t="s">
        <v>175</v>
      </c>
      <c r="C39" s="227" t="s">
        <v>462</v>
      </c>
      <c r="D39" s="231">
        <v>1826.1</v>
      </c>
      <c r="E39" s="231">
        <v>1889.7</v>
      </c>
      <c r="F39" s="228">
        <v>-63.6</v>
      </c>
      <c r="G39" s="229">
        <v>-3.3700000000000001E-2</v>
      </c>
      <c r="H39" s="231">
        <v>1828.1</v>
      </c>
      <c r="I39" s="231">
        <v>1884.8</v>
      </c>
      <c r="J39" s="228">
        <v>-56.7</v>
      </c>
      <c r="K39" s="229">
        <v>-3.0099999999999998E-2</v>
      </c>
      <c r="L39" s="231">
        <v>1826.1</v>
      </c>
      <c r="M39" s="231">
        <v>1889.7</v>
      </c>
      <c r="N39" s="228">
        <v>-63.6</v>
      </c>
      <c r="O39" s="229">
        <v>-3.3700000000000001E-2</v>
      </c>
      <c r="P39" s="231">
        <v>1835.7</v>
      </c>
      <c r="Q39" s="231">
        <v>1898.4</v>
      </c>
      <c r="R39" s="228">
        <v>-62.7</v>
      </c>
      <c r="S39" s="229">
        <v>-3.3000000000000002E-2</v>
      </c>
      <c r="T39" s="231">
        <v>1847.1</v>
      </c>
      <c r="U39" s="231">
        <v>1910.1</v>
      </c>
      <c r="V39" s="228">
        <v>-63</v>
      </c>
      <c r="W39" s="229">
        <v>-3.3000000000000002E-2</v>
      </c>
      <c r="X39" s="228">
        <v>-2</v>
      </c>
      <c r="Y39" s="228">
        <v>4.9000000000000004</v>
      </c>
      <c r="Z39" s="228">
        <v>-6.9</v>
      </c>
      <c r="AA39" s="229">
        <v>-1.1000000000000001E-3</v>
      </c>
      <c r="AB39" s="228">
        <v>-2</v>
      </c>
      <c r="AC39" s="228">
        <v>4.9000000000000004</v>
      </c>
      <c r="AD39" s="228">
        <v>-6.9</v>
      </c>
      <c r="AE39" s="229">
        <v>-1.1000000000000001E-3</v>
      </c>
      <c r="AF39" s="228">
        <v>7.6</v>
      </c>
      <c r="AG39" s="228">
        <v>13.6</v>
      </c>
      <c r="AH39" s="228">
        <v>-6</v>
      </c>
      <c r="AI39" s="229">
        <v>4.1999999999999997E-3</v>
      </c>
      <c r="AJ39" s="228">
        <v>19</v>
      </c>
      <c r="AK39" s="228">
        <v>25.3</v>
      </c>
      <c r="AL39" s="228">
        <v>-6.3</v>
      </c>
      <c r="AM39" s="229">
        <v>1.04E-2</v>
      </c>
      <c r="AN39" s="231">
        <v>1847.83</v>
      </c>
      <c r="AO39" s="231">
        <v>1853.67</v>
      </c>
      <c r="AP39" s="228">
        <v>0</v>
      </c>
      <c r="AQ39" s="230">
        <v>23019</v>
      </c>
      <c r="AR39" s="230">
        <v>14239</v>
      </c>
      <c r="AS39" s="230">
        <v>8780</v>
      </c>
      <c r="AT39" s="229">
        <v>0.61660000000000004</v>
      </c>
      <c r="AU39" s="230">
        <v>12592</v>
      </c>
      <c r="AV39" s="230">
        <v>8291</v>
      </c>
      <c r="AW39" s="230">
        <v>4301</v>
      </c>
      <c r="AX39" s="229">
        <v>0.51880000000000004</v>
      </c>
      <c r="AY39" s="230">
        <v>10171</v>
      </c>
      <c r="AZ39" s="230">
        <v>4948</v>
      </c>
      <c r="BA39" s="230">
        <v>5223</v>
      </c>
      <c r="BB39" s="229">
        <v>1.0556000000000001</v>
      </c>
      <c r="BC39" s="228">
        <v>256</v>
      </c>
      <c r="BD39" s="230">
        <v>1000</v>
      </c>
      <c r="BE39" s="228">
        <v>-744</v>
      </c>
      <c r="BF39" s="229">
        <v>-0.74399999999999999</v>
      </c>
      <c r="BG39" s="230">
        <v>68595</v>
      </c>
      <c r="BH39" s="230">
        <v>54423</v>
      </c>
      <c r="BI39" s="230">
        <v>14172</v>
      </c>
      <c r="BJ39" s="229">
        <v>0.26040000000000002</v>
      </c>
      <c r="BK39" s="230">
        <v>44996</v>
      </c>
      <c r="BL39" s="230">
        <v>26189</v>
      </c>
      <c r="BM39" s="230">
        <v>18807</v>
      </c>
      <c r="BN39" s="229">
        <v>0.71809999999999996</v>
      </c>
      <c r="BO39" s="230">
        <v>136610</v>
      </c>
      <c r="BP39" s="230">
        <v>94851</v>
      </c>
      <c r="BQ39" s="230">
        <v>41759</v>
      </c>
      <c r="BR39" s="229">
        <v>0.44030000000000002</v>
      </c>
      <c r="BS39" s="230">
        <v>4351253</v>
      </c>
      <c r="BT39" s="230">
        <v>4287562</v>
      </c>
      <c r="BU39" s="230">
        <v>63691</v>
      </c>
      <c r="BV39" s="229">
        <v>1.49E-2</v>
      </c>
      <c r="BW39" s="230">
        <v>13248750</v>
      </c>
      <c r="BX39" s="230">
        <v>12514500</v>
      </c>
      <c r="BY39" s="230">
        <v>734250</v>
      </c>
      <c r="BZ39" s="229">
        <v>5.8700000000000002E-2</v>
      </c>
      <c r="CA39" s="230">
        <v>7959375</v>
      </c>
      <c r="CB39" s="230">
        <v>9336000</v>
      </c>
      <c r="CC39" s="230">
        <v>-1376625</v>
      </c>
      <c r="CD39" s="229">
        <v>-0.14749999999999999</v>
      </c>
      <c r="CE39" s="230">
        <v>4137750</v>
      </c>
      <c r="CF39" s="230">
        <v>2091750</v>
      </c>
      <c r="CG39" s="230">
        <v>2046000</v>
      </c>
      <c r="CH39" s="229">
        <v>0.97809999999999997</v>
      </c>
      <c r="CI39" s="230">
        <v>1151625</v>
      </c>
      <c r="CJ39" s="230">
        <v>1086750</v>
      </c>
      <c r="CK39" s="230">
        <v>64875</v>
      </c>
      <c r="CL39" s="229">
        <v>5.9700000000000003E-2</v>
      </c>
      <c r="CM39" s="230">
        <v>7444125</v>
      </c>
      <c r="CN39" s="230">
        <v>6786375</v>
      </c>
      <c r="CO39" s="230">
        <v>657750</v>
      </c>
      <c r="CP39" s="229">
        <v>9.69E-2</v>
      </c>
      <c r="CQ39" s="230">
        <v>3408375</v>
      </c>
      <c r="CR39" s="230">
        <v>3713625</v>
      </c>
      <c r="CS39" s="230">
        <v>-305250</v>
      </c>
      <c r="CT39" s="229">
        <v>-8.2199999999999995E-2</v>
      </c>
      <c r="CU39" s="230">
        <v>24101250</v>
      </c>
      <c r="CV39" s="230">
        <v>23014500</v>
      </c>
      <c r="CW39" s="230">
        <v>1086750</v>
      </c>
      <c r="CX39" s="229">
        <v>4.7199999999999999E-2</v>
      </c>
      <c r="CY39" s="228">
        <v>28.63</v>
      </c>
      <c r="CZ39" s="228">
        <v>39.79</v>
      </c>
      <c r="DA39" s="228">
        <v>-11.16</v>
      </c>
      <c r="DB39" s="228">
        <v>-11.16</v>
      </c>
      <c r="DC39" s="228">
        <v>26.53</v>
      </c>
      <c r="DD39" s="228">
        <v>26.27</v>
      </c>
      <c r="DE39" s="228">
        <v>2.1</v>
      </c>
      <c r="DF39" s="228">
        <v>0.26</v>
      </c>
      <c r="DG39" s="228">
        <v>28.75</v>
      </c>
      <c r="DH39" s="228">
        <v>39.229999999999997</v>
      </c>
      <c r="DI39" s="228">
        <v>-10.48</v>
      </c>
      <c r="DJ39" s="228">
        <v>-10.48</v>
      </c>
      <c r="DK39" s="228">
        <v>28.37</v>
      </c>
      <c r="DL39" s="228">
        <v>40.96</v>
      </c>
      <c r="DM39" s="228">
        <v>-12.59</v>
      </c>
      <c r="DN39" s="228">
        <v>-12.59</v>
      </c>
      <c r="DO39" s="228">
        <v>0.46</v>
      </c>
      <c r="DP39" s="228">
        <v>0.55000000000000004</v>
      </c>
      <c r="DQ39" s="228">
        <v>-0.09</v>
      </c>
      <c r="DR39" s="229">
        <v>-0.1636</v>
      </c>
      <c r="DS39" s="231">
        <v>2000</v>
      </c>
      <c r="DT39" s="231">
        <v>1900</v>
      </c>
      <c r="DU39" s="228">
        <v>0.66</v>
      </c>
      <c r="DV39" s="228">
        <v>0.48</v>
      </c>
      <c r="DW39" s="228">
        <v>0.18</v>
      </c>
      <c r="DX39" s="229">
        <v>0.375</v>
      </c>
      <c r="DY39" s="229">
        <v>0.3992</v>
      </c>
      <c r="DZ39" s="230">
        <v>3178500</v>
      </c>
      <c r="EA39" s="229">
        <v>5.3E-3</v>
      </c>
      <c r="EB39" s="229">
        <v>0.3992</v>
      </c>
      <c r="EC39" s="228">
        <v>5.84</v>
      </c>
      <c r="ED39" s="229">
        <v>3.2000000000000002E-3</v>
      </c>
      <c r="EE39" s="230">
        <v>2208971</v>
      </c>
      <c r="EF39" s="230">
        <v>2955291</v>
      </c>
      <c r="EG39" s="229">
        <v>-0.2525</v>
      </c>
      <c r="EH39" s="229">
        <v>0.50770000000000004</v>
      </c>
      <c r="EI39" s="231">
        <v>496786.68</v>
      </c>
      <c r="EJ39" s="231">
        <v>309440.48</v>
      </c>
      <c r="EK39" s="231">
        <v>159740.19</v>
      </c>
      <c r="EL39" s="231">
        <v>8025</v>
      </c>
      <c r="EM39" s="231">
        <v>965967.35</v>
      </c>
      <c r="EN39" s="231">
        <v>689295.79</v>
      </c>
      <c r="EO39" s="231">
        <v>276671.56</v>
      </c>
      <c r="EP39" s="229">
        <v>0.40139999999999998</v>
      </c>
      <c r="EQ39" s="231">
        <v>145469</v>
      </c>
      <c r="ER39" s="231">
        <v>61379</v>
      </c>
      <c r="ES39" s="231">
        <v>242574</v>
      </c>
      <c r="ET39" s="231">
        <v>45527821</v>
      </c>
      <c r="EU39" s="231">
        <v>449422</v>
      </c>
      <c r="EV39" s="231">
        <v>437802</v>
      </c>
      <c r="EW39" s="231">
        <v>11620</v>
      </c>
      <c r="EX39" s="229">
        <v>2.6499999999999999E-2</v>
      </c>
      <c r="EY39" s="229">
        <v>0.52939999999999998</v>
      </c>
    </row>
    <row r="40" spans="1:155" ht="17.25" thickBot="1" x14ac:dyDescent="0.3">
      <c r="A40" s="226">
        <v>46135</v>
      </c>
      <c r="B40" s="227" t="s">
        <v>172</v>
      </c>
      <c r="C40" s="227" t="s">
        <v>283</v>
      </c>
      <c r="D40" s="231">
        <v>1094.0999999999999</v>
      </c>
      <c r="E40" s="231">
        <v>1105.5</v>
      </c>
      <c r="F40" s="228">
        <v>-11.4</v>
      </c>
      <c r="G40" s="229">
        <v>-1.03E-2</v>
      </c>
      <c r="H40" s="231">
        <v>1094.25</v>
      </c>
      <c r="I40" s="231">
        <v>1103.3</v>
      </c>
      <c r="J40" s="228">
        <v>-9.0500000000000007</v>
      </c>
      <c r="K40" s="229">
        <v>-8.2000000000000007E-3</v>
      </c>
      <c r="L40" s="231">
        <v>1094.0999999999999</v>
      </c>
      <c r="M40" s="231">
        <v>1105.5</v>
      </c>
      <c r="N40" s="228">
        <v>-11.4</v>
      </c>
      <c r="O40" s="229">
        <v>-1.03E-2</v>
      </c>
      <c r="P40" s="231">
        <v>1089.95</v>
      </c>
      <c r="Q40" s="231">
        <v>1099.7</v>
      </c>
      <c r="R40" s="228">
        <v>-9.75</v>
      </c>
      <c r="S40" s="229">
        <v>-8.8999999999999999E-3</v>
      </c>
      <c r="T40" s="231">
        <v>1088.9000000000001</v>
      </c>
      <c r="U40" s="231">
        <v>1101.0999999999999</v>
      </c>
      <c r="V40" s="228">
        <v>-12.2</v>
      </c>
      <c r="W40" s="229">
        <v>-1.11E-2</v>
      </c>
      <c r="X40" s="228">
        <v>-0.15</v>
      </c>
      <c r="Y40" s="228">
        <v>2.2000000000000002</v>
      </c>
      <c r="Z40" s="228">
        <v>-2.35</v>
      </c>
      <c r="AA40" s="229">
        <v>-1E-4</v>
      </c>
      <c r="AB40" s="228">
        <v>-0.15</v>
      </c>
      <c r="AC40" s="228">
        <v>2.2000000000000002</v>
      </c>
      <c r="AD40" s="228">
        <v>-2.35</v>
      </c>
      <c r="AE40" s="229">
        <v>-1E-4</v>
      </c>
      <c r="AF40" s="228">
        <v>-4.3</v>
      </c>
      <c r="AG40" s="228">
        <v>-3.6</v>
      </c>
      <c r="AH40" s="228">
        <v>-0.7</v>
      </c>
      <c r="AI40" s="229">
        <v>-3.8999999999999998E-3</v>
      </c>
      <c r="AJ40" s="228">
        <v>-5.35</v>
      </c>
      <c r="AK40" s="228">
        <v>-2.2000000000000002</v>
      </c>
      <c r="AL40" s="228">
        <v>-3.15</v>
      </c>
      <c r="AM40" s="229">
        <v>-4.8999999999999998E-3</v>
      </c>
      <c r="AN40" s="231">
        <v>1093.6300000000001</v>
      </c>
      <c r="AO40" s="231">
        <v>1088.8</v>
      </c>
      <c r="AP40" s="228">
        <v>0</v>
      </c>
      <c r="AQ40" s="230">
        <v>51775</v>
      </c>
      <c r="AR40" s="230">
        <v>23281</v>
      </c>
      <c r="AS40" s="230">
        <v>28494</v>
      </c>
      <c r="AT40" s="229">
        <v>1.2239</v>
      </c>
      <c r="AU40" s="230">
        <v>27004</v>
      </c>
      <c r="AV40" s="230">
        <v>14307</v>
      </c>
      <c r="AW40" s="230">
        <v>12697</v>
      </c>
      <c r="AX40" s="229">
        <v>0.88749999999999996</v>
      </c>
      <c r="AY40" s="230">
        <v>21186</v>
      </c>
      <c r="AZ40" s="230">
        <v>8111</v>
      </c>
      <c r="BA40" s="230">
        <v>13075</v>
      </c>
      <c r="BB40" s="229">
        <v>1.6120000000000001</v>
      </c>
      <c r="BC40" s="230">
        <v>3585</v>
      </c>
      <c r="BD40" s="228">
        <v>863</v>
      </c>
      <c r="BE40" s="230">
        <v>2722</v>
      </c>
      <c r="BF40" s="229">
        <v>3.1541000000000001</v>
      </c>
      <c r="BG40" s="230">
        <v>118364</v>
      </c>
      <c r="BH40" s="230">
        <v>92888</v>
      </c>
      <c r="BI40" s="230">
        <v>25476</v>
      </c>
      <c r="BJ40" s="229">
        <v>0.27429999999999999</v>
      </c>
      <c r="BK40" s="230">
        <v>95547</v>
      </c>
      <c r="BL40" s="230">
        <v>60000</v>
      </c>
      <c r="BM40" s="230">
        <v>35547</v>
      </c>
      <c r="BN40" s="229">
        <v>0.59240000000000004</v>
      </c>
      <c r="BO40" s="230">
        <v>265686</v>
      </c>
      <c r="BP40" s="230">
        <v>176169</v>
      </c>
      <c r="BQ40" s="230">
        <v>89517</v>
      </c>
      <c r="BR40" s="229">
        <v>0.5081</v>
      </c>
      <c r="BS40" s="230">
        <v>15208417</v>
      </c>
      <c r="BT40" s="230">
        <v>12996009</v>
      </c>
      <c r="BU40" s="230">
        <v>2212408</v>
      </c>
      <c r="BV40" s="229">
        <v>0.17019999999999999</v>
      </c>
      <c r="BW40" s="230">
        <v>88077750</v>
      </c>
      <c r="BX40" s="230">
        <v>85618500</v>
      </c>
      <c r="BY40" s="230">
        <v>2459250</v>
      </c>
      <c r="BZ40" s="229">
        <v>2.87E-2</v>
      </c>
      <c r="CA40" s="230">
        <v>52866750</v>
      </c>
      <c r="CB40" s="230">
        <v>65423250</v>
      </c>
      <c r="CC40" s="230">
        <v>-12556500</v>
      </c>
      <c r="CD40" s="229">
        <v>-0.19189999999999999</v>
      </c>
      <c r="CE40" s="230">
        <v>28842750</v>
      </c>
      <c r="CF40" s="230">
        <v>16188000</v>
      </c>
      <c r="CG40" s="230">
        <v>12654750</v>
      </c>
      <c r="CH40" s="229">
        <v>0.78169999999999995</v>
      </c>
      <c r="CI40" s="230">
        <v>6368250</v>
      </c>
      <c r="CJ40" s="230">
        <v>4007250</v>
      </c>
      <c r="CK40" s="230">
        <v>2361000</v>
      </c>
      <c r="CL40" s="229">
        <v>0.58919999999999995</v>
      </c>
      <c r="CM40" s="230">
        <v>50079750</v>
      </c>
      <c r="CN40" s="230">
        <v>49864500</v>
      </c>
      <c r="CO40" s="230">
        <v>215250</v>
      </c>
      <c r="CP40" s="229">
        <v>4.3E-3</v>
      </c>
      <c r="CQ40" s="230">
        <v>39811500</v>
      </c>
      <c r="CR40" s="230">
        <v>41452500</v>
      </c>
      <c r="CS40" s="230">
        <v>-1641000</v>
      </c>
      <c r="CT40" s="229">
        <v>-3.9600000000000003E-2</v>
      </c>
      <c r="CU40" s="230">
        <v>177969000</v>
      </c>
      <c r="CV40" s="230">
        <v>176935500</v>
      </c>
      <c r="CW40" s="230">
        <v>1033500</v>
      </c>
      <c r="CX40" s="229">
        <v>5.7999999999999996E-3</v>
      </c>
      <c r="CY40" s="228">
        <v>28.64</v>
      </c>
      <c r="CZ40" s="228">
        <v>27.31</v>
      </c>
      <c r="DA40" s="228">
        <v>1.33</v>
      </c>
      <c r="DB40" s="228">
        <v>1.33</v>
      </c>
      <c r="DC40" s="228">
        <v>29.13</v>
      </c>
      <c r="DD40" s="228">
        <v>29.18</v>
      </c>
      <c r="DE40" s="228">
        <v>-0.49</v>
      </c>
      <c r="DF40" s="228">
        <v>-0.05</v>
      </c>
      <c r="DG40" s="228">
        <v>28.5</v>
      </c>
      <c r="DH40" s="228">
        <v>26.62</v>
      </c>
      <c r="DI40" s="228">
        <v>1.88</v>
      </c>
      <c r="DJ40" s="228">
        <v>1.88</v>
      </c>
      <c r="DK40" s="228">
        <v>28.89</v>
      </c>
      <c r="DL40" s="228">
        <v>28.39</v>
      </c>
      <c r="DM40" s="228">
        <v>0.5</v>
      </c>
      <c r="DN40" s="228">
        <v>0.5</v>
      </c>
      <c r="DO40" s="228">
        <v>0.79</v>
      </c>
      <c r="DP40" s="228">
        <v>0.83</v>
      </c>
      <c r="DQ40" s="228">
        <v>-0.04</v>
      </c>
      <c r="DR40" s="229">
        <v>-4.82E-2</v>
      </c>
      <c r="DS40" s="231">
        <v>1200</v>
      </c>
      <c r="DT40" s="231">
        <v>1000</v>
      </c>
      <c r="DU40" s="228">
        <v>0.81</v>
      </c>
      <c r="DV40" s="228">
        <v>0.65</v>
      </c>
      <c r="DW40" s="228">
        <v>0.16</v>
      </c>
      <c r="DX40" s="229">
        <v>0.2462</v>
      </c>
      <c r="DY40" s="229">
        <v>0.39979999999999999</v>
      </c>
      <c r="DZ40" s="230">
        <v>20195250</v>
      </c>
      <c r="EA40" s="229">
        <v>-3.8E-3</v>
      </c>
      <c r="EB40" s="229">
        <v>0.39979999999999999</v>
      </c>
      <c r="EC40" s="228">
        <v>-4.83</v>
      </c>
      <c r="ED40" s="229">
        <v>-4.4000000000000003E-3</v>
      </c>
      <c r="EE40" s="230">
        <v>6566628</v>
      </c>
      <c r="EF40" s="230">
        <v>7781699</v>
      </c>
      <c r="EG40" s="229">
        <v>-0.15609999999999999</v>
      </c>
      <c r="EH40" s="229">
        <v>0.43180000000000002</v>
      </c>
      <c r="EI40" s="231">
        <v>1002164.27</v>
      </c>
      <c r="EJ40" s="231">
        <v>774459.79</v>
      </c>
      <c r="EK40" s="231">
        <v>423832.1</v>
      </c>
      <c r="EL40" s="231">
        <v>22323</v>
      </c>
      <c r="EM40" s="231">
        <v>2200456.16</v>
      </c>
      <c r="EN40" s="231">
        <v>1477744.17</v>
      </c>
      <c r="EO40" s="231">
        <v>722711.99</v>
      </c>
      <c r="EP40" s="229">
        <v>0.48909999999999998</v>
      </c>
      <c r="EQ40" s="231">
        <v>561780</v>
      </c>
      <c r="ER40" s="231">
        <v>415295</v>
      </c>
      <c r="ES40" s="231">
        <v>962131</v>
      </c>
      <c r="ET40" s="231">
        <v>580324288</v>
      </c>
      <c r="EU40" s="231">
        <v>1939205</v>
      </c>
      <c r="EV40" s="231">
        <v>1936842</v>
      </c>
      <c r="EW40" s="231">
        <v>2363</v>
      </c>
      <c r="EX40" s="229">
        <v>1.1999999999999999E-3</v>
      </c>
      <c r="EY40" s="229">
        <v>0.30669999999999997</v>
      </c>
    </row>
    <row r="41" spans="1:155" ht="17.25" thickBot="1" x14ac:dyDescent="0.3">
      <c r="A41" s="226">
        <v>46135</v>
      </c>
      <c r="B41" s="227" t="s">
        <v>175</v>
      </c>
      <c r="C41" s="227" t="s">
        <v>561</v>
      </c>
      <c r="D41" s="231">
        <v>1010.2</v>
      </c>
      <c r="E41" s="231">
        <v>1044.7</v>
      </c>
      <c r="F41" s="228">
        <v>-34.5</v>
      </c>
      <c r="G41" s="229">
        <v>-3.3000000000000002E-2</v>
      </c>
      <c r="H41" s="231">
        <v>1009.3</v>
      </c>
      <c r="I41" s="231">
        <v>1044.55</v>
      </c>
      <c r="J41" s="228">
        <v>-35.25</v>
      </c>
      <c r="K41" s="229">
        <v>-3.3700000000000001E-2</v>
      </c>
      <c r="L41" s="231">
        <v>1010.2</v>
      </c>
      <c r="M41" s="231">
        <v>1044.7</v>
      </c>
      <c r="N41" s="228">
        <v>-34.5</v>
      </c>
      <c r="O41" s="229">
        <v>-3.3000000000000002E-2</v>
      </c>
      <c r="P41" s="231">
        <v>1015.65</v>
      </c>
      <c r="Q41" s="231">
        <v>1050.8</v>
      </c>
      <c r="R41" s="228">
        <v>-35.15</v>
      </c>
      <c r="S41" s="229">
        <v>-3.3500000000000002E-2</v>
      </c>
      <c r="T41" s="231">
        <v>1021.4</v>
      </c>
      <c r="U41" s="231">
        <v>1056.75</v>
      </c>
      <c r="V41" s="228">
        <v>-35.35</v>
      </c>
      <c r="W41" s="229">
        <v>-3.3500000000000002E-2</v>
      </c>
      <c r="X41" s="228">
        <v>0.9</v>
      </c>
      <c r="Y41" s="228">
        <v>0.15</v>
      </c>
      <c r="Z41" s="228">
        <v>0.75</v>
      </c>
      <c r="AA41" s="229">
        <v>8.9999999999999998E-4</v>
      </c>
      <c r="AB41" s="228">
        <v>0.9</v>
      </c>
      <c r="AC41" s="228">
        <v>0.15</v>
      </c>
      <c r="AD41" s="228">
        <v>0.75</v>
      </c>
      <c r="AE41" s="229">
        <v>8.9999999999999998E-4</v>
      </c>
      <c r="AF41" s="228">
        <v>6.35</v>
      </c>
      <c r="AG41" s="228">
        <v>6.25</v>
      </c>
      <c r="AH41" s="228">
        <v>0.1</v>
      </c>
      <c r="AI41" s="229">
        <v>6.3E-3</v>
      </c>
      <c r="AJ41" s="228">
        <v>12.1</v>
      </c>
      <c r="AK41" s="228">
        <v>12.2</v>
      </c>
      <c r="AL41" s="228">
        <v>-0.1</v>
      </c>
      <c r="AM41" s="229">
        <v>1.2E-2</v>
      </c>
      <c r="AN41" s="231">
        <v>1019.57</v>
      </c>
      <c r="AO41" s="231">
        <v>1024.18</v>
      </c>
      <c r="AP41" s="228">
        <v>0</v>
      </c>
      <c r="AQ41" s="230">
        <v>26730</v>
      </c>
      <c r="AR41" s="230">
        <v>12508</v>
      </c>
      <c r="AS41" s="230">
        <v>14222</v>
      </c>
      <c r="AT41" s="229">
        <v>1.137</v>
      </c>
      <c r="AU41" s="230">
        <v>14343</v>
      </c>
      <c r="AV41" s="230">
        <v>7637</v>
      </c>
      <c r="AW41" s="230">
        <v>6706</v>
      </c>
      <c r="AX41" s="229">
        <v>0.87809999999999999</v>
      </c>
      <c r="AY41" s="230">
        <v>10151</v>
      </c>
      <c r="AZ41" s="230">
        <v>4736</v>
      </c>
      <c r="BA41" s="230">
        <v>5415</v>
      </c>
      <c r="BB41" s="229">
        <v>1.1434</v>
      </c>
      <c r="BC41" s="230">
        <v>2236</v>
      </c>
      <c r="BD41" s="228">
        <v>135</v>
      </c>
      <c r="BE41" s="230">
        <v>2101</v>
      </c>
      <c r="BF41" s="229">
        <v>15.563000000000001</v>
      </c>
      <c r="BG41" s="230">
        <v>23394</v>
      </c>
      <c r="BH41" s="230">
        <v>17436</v>
      </c>
      <c r="BI41" s="230">
        <v>5958</v>
      </c>
      <c r="BJ41" s="229">
        <v>0.3417</v>
      </c>
      <c r="BK41" s="230">
        <v>14544</v>
      </c>
      <c r="BL41" s="230">
        <v>7947</v>
      </c>
      <c r="BM41" s="230">
        <v>6597</v>
      </c>
      <c r="BN41" s="229">
        <v>0.83009999999999995</v>
      </c>
      <c r="BO41" s="230">
        <v>64668</v>
      </c>
      <c r="BP41" s="230">
        <v>37891</v>
      </c>
      <c r="BQ41" s="230">
        <v>26777</v>
      </c>
      <c r="BR41" s="229">
        <v>0.70669999999999999</v>
      </c>
      <c r="BS41" s="230">
        <v>4811024</v>
      </c>
      <c r="BT41" s="230">
        <v>4565960</v>
      </c>
      <c r="BU41" s="230">
        <v>245064</v>
      </c>
      <c r="BV41" s="229">
        <v>5.3699999999999998E-2</v>
      </c>
      <c r="BW41" s="230">
        <v>39987750</v>
      </c>
      <c r="BX41" s="230">
        <v>39497700</v>
      </c>
      <c r="BY41" s="230">
        <v>490050</v>
      </c>
      <c r="BZ41" s="229">
        <v>1.24E-2</v>
      </c>
      <c r="CA41" s="230">
        <v>21860025</v>
      </c>
      <c r="CB41" s="230">
        <v>29330400</v>
      </c>
      <c r="CC41" s="230">
        <v>-7470375</v>
      </c>
      <c r="CD41" s="229">
        <v>-0.25469999999999998</v>
      </c>
      <c r="CE41" s="230">
        <v>13358400</v>
      </c>
      <c r="CF41" s="230">
        <v>7164300</v>
      </c>
      <c r="CG41" s="230">
        <v>6194100</v>
      </c>
      <c r="CH41" s="229">
        <v>0.86460000000000004</v>
      </c>
      <c r="CI41" s="230">
        <v>4769325</v>
      </c>
      <c r="CJ41" s="230">
        <v>3003000</v>
      </c>
      <c r="CK41" s="230">
        <v>1766325</v>
      </c>
      <c r="CL41" s="229">
        <v>0.58819999999999995</v>
      </c>
      <c r="CM41" s="230">
        <v>15196500</v>
      </c>
      <c r="CN41" s="230">
        <v>14404500</v>
      </c>
      <c r="CO41" s="230">
        <v>792000</v>
      </c>
      <c r="CP41" s="229">
        <v>5.5E-2</v>
      </c>
      <c r="CQ41" s="230">
        <v>10642500</v>
      </c>
      <c r="CR41" s="230">
        <v>10382625</v>
      </c>
      <c r="CS41" s="230">
        <v>259875</v>
      </c>
      <c r="CT41" s="229">
        <v>2.5000000000000001E-2</v>
      </c>
      <c r="CU41" s="230">
        <v>65826750</v>
      </c>
      <c r="CV41" s="230">
        <v>64284825</v>
      </c>
      <c r="CW41" s="230">
        <v>1541925</v>
      </c>
      <c r="CX41" s="229">
        <v>2.4E-2</v>
      </c>
      <c r="CY41" s="228">
        <v>43.63</v>
      </c>
      <c r="CZ41" s="228">
        <v>49.82</v>
      </c>
      <c r="DA41" s="228">
        <v>-6.19</v>
      </c>
      <c r="DB41" s="228">
        <v>-6.19</v>
      </c>
      <c r="DC41" s="228">
        <v>44.92</v>
      </c>
      <c r="DD41" s="228">
        <v>44.79</v>
      </c>
      <c r="DE41" s="228">
        <v>-1.29</v>
      </c>
      <c r="DF41" s="228">
        <v>0.13</v>
      </c>
      <c r="DG41" s="228">
        <v>43.71</v>
      </c>
      <c r="DH41" s="228">
        <v>48.77</v>
      </c>
      <c r="DI41" s="228">
        <v>-5.0599999999999996</v>
      </c>
      <c r="DJ41" s="228">
        <v>-5.0599999999999996</v>
      </c>
      <c r="DK41" s="228">
        <v>43.52</v>
      </c>
      <c r="DL41" s="228">
        <v>52.12</v>
      </c>
      <c r="DM41" s="228">
        <v>-8.6</v>
      </c>
      <c r="DN41" s="228">
        <v>-8.6</v>
      </c>
      <c r="DO41" s="228">
        <v>0.7</v>
      </c>
      <c r="DP41" s="228">
        <v>0.72</v>
      </c>
      <c r="DQ41" s="228">
        <v>-0.02</v>
      </c>
      <c r="DR41" s="229">
        <v>-2.7799999999999998E-2</v>
      </c>
      <c r="DS41" s="231">
        <v>1100</v>
      </c>
      <c r="DT41" s="231">
        <v>1000</v>
      </c>
      <c r="DU41" s="228">
        <v>0.62</v>
      </c>
      <c r="DV41" s="228">
        <v>0.46</v>
      </c>
      <c r="DW41" s="228">
        <v>0.16</v>
      </c>
      <c r="DX41" s="229">
        <v>0.3478</v>
      </c>
      <c r="DY41" s="229">
        <v>0.45329999999999998</v>
      </c>
      <c r="DZ41" s="230">
        <v>10167300</v>
      </c>
      <c r="EA41" s="229">
        <v>5.4000000000000003E-3</v>
      </c>
      <c r="EB41" s="229">
        <v>0.45329999999999998</v>
      </c>
      <c r="EC41" s="228">
        <v>4.6100000000000003</v>
      </c>
      <c r="ED41" s="229">
        <v>4.4999999999999997E-3</v>
      </c>
      <c r="EE41" s="230">
        <v>2423553</v>
      </c>
      <c r="EF41" s="230">
        <v>2217588</v>
      </c>
      <c r="EG41" s="229">
        <v>9.2899999999999996E-2</v>
      </c>
      <c r="EH41" s="229">
        <v>0.50370000000000004</v>
      </c>
      <c r="EI41" s="231">
        <v>207556.49</v>
      </c>
      <c r="EJ41" s="231">
        <v>121671.34</v>
      </c>
      <c r="EK41" s="231">
        <v>225492.33</v>
      </c>
      <c r="EL41" s="231">
        <v>9545</v>
      </c>
      <c r="EM41" s="231">
        <v>554720.16</v>
      </c>
      <c r="EN41" s="231">
        <v>331587.73</v>
      </c>
      <c r="EO41" s="231">
        <v>223132.43</v>
      </c>
      <c r="EP41" s="229">
        <v>0.67290000000000005</v>
      </c>
      <c r="EQ41" s="231">
        <v>158297</v>
      </c>
      <c r="ER41" s="231">
        <v>101614</v>
      </c>
      <c r="ES41" s="231">
        <v>405218</v>
      </c>
      <c r="ET41" s="231">
        <v>210567108</v>
      </c>
      <c r="EU41" s="231">
        <v>665129</v>
      </c>
      <c r="EV41" s="231">
        <v>662930</v>
      </c>
      <c r="EW41" s="231">
        <v>2199</v>
      </c>
      <c r="EX41" s="229">
        <v>3.3E-3</v>
      </c>
      <c r="EY41" s="229">
        <v>0.31259999999999999</v>
      </c>
    </row>
    <row r="42" spans="1:155" ht="17.25" thickBot="1" x14ac:dyDescent="0.3">
      <c r="A42" s="226">
        <v>46135</v>
      </c>
      <c r="B42" s="227" t="s">
        <v>170</v>
      </c>
      <c r="C42" s="227" t="s">
        <v>288</v>
      </c>
      <c r="D42" s="231">
        <v>1676.7</v>
      </c>
      <c r="E42" s="231">
        <v>1667.2</v>
      </c>
      <c r="F42" s="228">
        <v>9.5</v>
      </c>
      <c r="G42" s="229">
        <v>5.7000000000000002E-3</v>
      </c>
      <c r="H42" s="231">
        <v>1680.1</v>
      </c>
      <c r="I42" s="231">
        <v>1669.8</v>
      </c>
      <c r="J42" s="228">
        <v>10.3</v>
      </c>
      <c r="K42" s="229">
        <v>6.1999999999999998E-3</v>
      </c>
      <c r="L42" s="231">
        <v>1676.7</v>
      </c>
      <c r="M42" s="231">
        <v>1667.2</v>
      </c>
      <c r="N42" s="228">
        <v>9.5</v>
      </c>
      <c r="O42" s="229">
        <v>5.7000000000000002E-3</v>
      </c>
      <c r="P42" s="231">
        <v>1686</v>
      </c>
      <c r="Q42" s="231">
        <v>1676.5</v>
      </c>
      <c r="R42" s="228">
        <v>9.5</v>
      </c>
      <c r="S42" s="229">
        <v>5.7000000000000002E-3</v>
      </c>
      <c r="T42" s="231">
        <v>1696.8</v>
      </c>
      <c r="U42" s="231">
        <v>1687.7</v>
      </c>
      <c r="V42" s="228">
        <v>9.1</v>
      </c>
      <c r="W42" s="229">
        <v>5.4000000000000003E-3</v>
      </c>
      <c r="X42" s="228">
        <v>-3.4</v>
      </c>
      <c r="Y42" s="228">
        <v>-2.6</v>
      </c>
      <c r="Z42" s="228">
        <v>-0.8</v>
      </c>
      <c r="AA42" s="229">
        <v>-2E-3</v>
      </c>
      <c r="AB42" s="228">
        <v>-3.4</v>
      </c>
      <c r="AC42" s="228">
        <v>-2.6</v>
      </c>
      <c r="AD42" s="228">
        <v>-0.8</v>
      </c>
      <c r="AE42" s="229">
        <v>-2E-3</v>
      </c>
      <c r="AF42" s="228">
        <v>5.9</v>
      </c>
      <c r="AG42" s="228">
        <v>6.7</v>
      </c>
      <c r="AH42" s="228">
        <v>-0.8</v>
      </c>
      <c r="AI42" s="229">
        <v>3.5000000000000001E-3</v>
      </c>
      <c r="AJ42" s="228">
        <v>16.7</v>
      </c>
      <c r="AK42" s="228">
        <v>17.899999999999999</v>
      </c>
      <c r="AL42" s="228">
        <v>-1.2</v>
      </c>
      <c r="AM42" s="229">
        <v>9.9000000000000008E-3</v>
      </c>
      <c r="AN42" s="231">
        <v>1688.4</v>
      </c>
      <c r="AO42" s="231">
        <v>1697.48</v>
      </c>
      <c r="AP42" s="228">
        <v>0</v>
      </c>
      <c r="AQ42" s="230">
        <v>27582</v>
      </c>
      <c r="AR42" s="230">
        <v>8040</v>
      </c>
      <c r="AS42" s="230">
        <v>19542</v>
      </c>
      <c r="AT42" s="229">
        <v>2.4306000000000001</v>
      </c>
      <c r="AU42" s="230">
        <v>14037</v>
      </c>
      <c r="AV42" s="230">
        <v>5733</v>
      </c>
      <c r="AW42" s="230">
        <v>8304</v>
      </c>
      <c r="AX42" s="229">
        <v>1.4484999999999999</v>
      </c>
      <c r="AY42" s="230">
        <v>13225</v>
      </c>
      <c r="AZ42" s="230">
        <v>1289</v>
      </c>
      <c r="BA42" s="230">
        <v>11936</v>
      </c>
      <c r="BB42" s="229">
        <v>9.2599</v>
      </c>
      <c r="BC42" s="228">
        <v>320</v>
      </c>
      <c r="BD42" s="230">
        <v>1018</v>
      </c>
      <c r="BE42" s="228">
        <v>-698</v>
      </c>
      <c r="BF42" s="229">
        <v>-0.68569999999999998</v>
      </c>
      <c r="BG42" s="230">
        <v>85869</v>
      </c>
      <c r="BH42" s="230">
        <v>25807</v>
      </c>
      <c r="BI42" s="230">
        <v>60062</v>
      </c>
      <c r="BJ42" s="229">
        <v>2.3273999999999999</v>
      </c>
      <c r="BK42" s="230">
        <v>34643</v>
      </c>
      <c r="BL42" s="230">
        <v>14171</v>
      </c>
      <c r="BM42" s="230">
        <v>20472</v>
      </c>
      <c r="BN42" s="229">
        <v>1.4446000000000001</v>
      </c>
      <c r="BO42" s="230">
        <v>148094</v>
      </c>
      <c r="BP42" s="230">
        <v>48018</v>
      </c>
      <c r="BQ42" s="230">
        <v>100076</v>
      </c>
      <c r="BR42" s="229">
        <v>2.0840999999999998</v>
      </c>
      <c r="BS42" s="230">
        <v>3351932</v>
      </c>
      <c r="BT42" s="230">
        <v>2248749</v>
      </c>
      <c r="BU42" s="230">
        <v>1103183</v>
      </c>
      <c r="BV42" s="229">
        <v>0.49059999999999998</v>
      </c>
      <c r="BW42" s="230">
        <v>18451650</v>
      </c>
      <c r="BX42" s="230">
        <v>18427150</v>
      </c>
      <c r="BY42" s="230">
        <v>24500</v>
      </c>
      <c r="BZ42" s="229">
        <v>1.2999999999999999E-3</v>
      </c>
      <c r="CA42" s="230">
        <v>9535050</v>
      </c>
      <c r="CB42" s="230">
        <v>12967150</v>
      </c>
      <c r="CC42" s="230">
        <v>-3432100</v>
      </c>
      <c r="CD42" s="229">
        <v>-0.26469999999999999</v>
      </c>
      <c r="CE42" s="230">
        <v>6872950</v>
      </c>
      <c r="CF42" s="230">
        <v>3469200</v>
      </c>
      <c r="CG42" s="230">
        <v>3403750</v>
      </c>
      <c r="CH42" s="229">
        <v>0.98109999999999997</v>
      </c>
      <c r="CI42" s="230">
        <v>2043650</v>
      </c>
      <c r="CJ42" s="230">
        <v>1990800</v>
      </c>
      <c r="CK42" s="230">
        <v>52850</v>
      </c>
      <c r="CL42" s="229">
        <v>2.6499999999999999E-2</v>
      </c>
      <c r="CM42" s="230">
        <v>8215900</v>
      </c>
      <c r="CN42" s="230">
        <v>8037400</v>
      </c>
      <c r="CO42" s="230">
        <v>178500</v>
      </c>
      <c r="CP42" s="229">
        <v>2.2200000000000001E-2</v>
      </c>
      <c r="CQ42" s="230">
        <v>6001100</v>
      </c>
      <c r="CR42" s="230">
        <v>5232150</v>
      </c>
      <c r="CS42" s="230">
        <v>768950</v>
      </c>
      <c r="CT42" s="229">
        <v>0.14699999999999999</v>
      </c>
      <c r="CU42" s="230">
        <v>32668650</v>
      </c>
      <c r="CV42" s="230">
        <v>31696700</v>
      </c>
      <c r="CW42" s="230">
        <v>971950</v>
      </c>
      <c r="CX42" s="229">
        <v>3.0700000000000002E-2</v>
      </c>
      <c r="CY42" s="228">
        <v>27.34</v>
      </c>
      <c r="CZ42" s="228">
        <v>23.2</v>
      </c>
      <c r="DA42" s="228">
        <v>4.1399999999999997</v>
      </c>
      <c r="DB42" s="228">
        <v>4.1399999999999997</v>
      </c>
      <c r="DC42" s="228">
        <v>23.53</v>
      </c>
      <c r="DD42" s="228">
        <v>23.58</v>
      </c>
      <c r="DE42" s="228">
        <v>3.81</v>
      </c>
      <c r="DF42" s="228">
        <v>-0.05</v>
      </c>
      <c r="DG42" s="228">
        <v>27.22</v>
      </c>
      <c r="DH42" s="228">
        <v>22.54</v>
      </c>
      <c r="DI42" s="228">
        <v>4.68</v>
      </c>
      <c r="DJ42" s="228">
        <v>4.68</v>
      </c>
      <c r="DK42" s="228">
        <v>27.73</v>
      </c>
      <c r="DL42" s="228">
        <v>24.39</v>
      </c>
      <c r="DM42" s="228">
        <v>3.34</v>
      </c>
      <c r="DN42" s="228">
        <v>3.34</v>
      </c>
      <c r="DO42" s="228">
        <v>0.73</v>
      </c>
      <c r="DP42" s="228">
        <v>0.65</v>
      </c>
      <c r="DQ42" s="228">
        <v>0.08</v>
      </c>
      <c r="DR42" s="229">
        <v>0.1231</v>
      </c>
      <c r="DS42" s="231">
        <v>1800</v>
      </c>
      <c r="DT42" s="231">
        <v>1690</v>
      </c>
      <c r="DU42" s="228">
        <v>0.4</v>
      </c>
      <c r="DV42" s="228">
        <v>0.55000000000000004</v>
      </c>
      <c r="DW42" s="228">
        <v>-0.15</v>
      </c>
      <c r="DX42" s="229">
        <v>-0.2727</v>
      </c>
      <c r="DY42" s="229">
        <v>0.48320000000000002</v>
      </c>
      <c r="DZ42" s="230">
        <v>5460000</v>
      </c>
      <c r="EA42" s="229">
        <v>5.4999999999999997E-3</v>
      </c>
      <c r="EB42" s="229">
        <v>0.48320000000000002</v>
      </c>
      <c r="EC42" s="228">
        <v>9.08</v>
      </c>
      <c r="ED42" s="229">
        <v>5.4000000000000003E-3</v>
      </c>
      <c r="EE42" s="230">
        <v>1905182</v>
      </c>
      <c r="EF42" s="230">
        <v>1507342</v>
      </c>
      <c r="EG42" s="229">
        <v>0.26390000000000002</v>
      </c>
      <c r="EH42" s="229">
        <v>0.56840000000000002</v>
      </c>
      <c r="EI42" s="231">
        <v>519812.08</v>
      </c>
      <c r="EJ42" s="231">
        <v>203562.68</v>
      </c>
      <c r="EK42" s="231">
        <v>163437.29</v>
      </c>
      <c r="EL42" s="231">
        <v>8423</v>
      </c>
      <c r="EM42" s="231">
        <v>886812.05</v>
      </c>
      <c r="EN42" s="231">
        <v>283988.21000000002</v>
      </c>
      <c r="EO42" s="231">
        <v>602823.84</v>
      </c>
      <c r="EP42" s="229">
        <v>2.1227</v>
      </c>
      <c r="EQ42" s="231">
        <v>143770</v>
      </c>
      <c r="ER42" s="231">
        <v>99233</v>
      </c>
      <c r="ES42" s="231">
        <v>310429</v>
      </c>
      <c r="ET42" s="231">
        <v>121755902</v>
      </c>
      <c r="EU42" s="231">
        <v>553432</v>
      </c>
      <c r="EV42" s="231">
        <v>534736</v>
      </c>
      <c r="EW42" s="231">
        <v>18696</v>
      </c>
      <c r="EX42" s="229">
        <v>3.5000000000000003E-2</v>
      </c>
      <c r="EY42" s="229">
        <v>0.26829999999999998</v>
      </c>
    </row>
    <row r="43" spans="1:155" ht="17.25" thickBot="1" x14ac:dyDescent="0.3">
      <c r="A43" s="226">
        <v>46135</v>
      </c>
      <c r="B43" s="227" t="s">
        <v>168</v>
      </c>
      <c r="C43" s="227" t="s">
        <v>291</v>
      </c>
      <c r="D43" s="231">
        <v>1182.8</v>
      </c>
      <c r="E43" s="231">
        <v>1177.3</v>
      </c>
      <c r="F43" s="228">
        <v>5.5</v>
      </c>
      <c r="G43" s="229">
        <v>4.7000000000000002E-3</v>
      </c>
      <c r="H43" s="231">
        <v>1184.4000000000001</v>
      </c>
      <c r="I43" s="231">
        <v>1178.5999999999999</v>
      </c>
      <c r="J43" s="228">
        <v>5.8</v>
      </c>
      <c r="K43" s="229">
        <v>4.8999999999999998E-3</v>
      </c>
      <c r="L43" s="231">
        <v>1182.8</v>
      </c>
      <c r="M43" s="231">
        <v>1177.3</v>
      </c>
      <c r="N43" s="228">
        <v>5.5</v>
      </c>
      <c r="O43" s="229">
        <v>4.7000000000000002E-3</v>
      </c>
      <c r="P43" s="231">
        <v>1186.7</v>
      </c>
      <c r="Q43" s="231">
        <v>1181.8</v>
      </c>
      <c r="R43" s="228">
        <v>4.9000000000000004</v>
      </c>
      <c r="S43" s="229">
        <v>4.1000000000000003E-3</v>
      </c>
      <c r="T43" s="231">
        <v>1186.5</v>
      </c>
      <c r="U43" s="231">
        <v>1183.4000000000001</v>
      </c>
      <c r="V43" s="228">
        <v>3.1</v>
      </c>
      <c r="W43" s="229">
        <v>2.5999999999999999E-3</v>
      </c>
      <c r="X43" s="228">
        <v>-1.6</v>
      </c>
      <c r="Y43" s="228">
        <v>-1.3</v>
      </c>
      <c r="Z43" s="228">
        <v>-0.3</v>
      </c>
      <c r="AA43" s="229">
        <v>-1.4E-3</v>
      </c>
      <c r="AB43" s="228">
        <v>-1.6</v>
      </c>
      <c r="AC43" s="228">
        <v>-1.3</v>
      </c>
      <c r="AD43" s="228">
        <v>-0.3</v>
      </c>
      <c r="AE43" s="229">
        <v>-1.4E-3</v>
      </c>
      <c r="AF43" s="228">
        <v>2.2999999999999998</v>
      </c>
      <c r="AG43" s="228">
        <v>3.2</v>
      </c>
      <c r="AH43" s="228">
        <v>-0.9</v>
      </c>
      <c r="AI43" s="229">
        <v>1.9E-3</v>
      </c>
      <c r="AJ43" s="228">
        <v>2.1</v>
      </c>
      <c r="AK43" s="228">
        <v>4.8</v>
      </c>
      <c r="AL43" s="228">
        <v>-2.7</v>
      </c>
      <c r="AM43" s="229">
        <v>1.8E-3</v>
      </c>
      <c r="AN43" s="231">
        <v>1178.83</v>
      </c>
      <c r="AO43" s="231">
        <v>1182.54</v>
      </c>
      <c r="AP43" s="228">
        <v>0</v>
      </c>
      <c r="AQ43" s="230">
        <v>9334</v>
      </c>
      <c r="AR43" s="230">
        <v>8095</v>
      </c>
      <c r="AS43" s="230">
        <v>1239</v>
      </c>
      <c r="AT43" s="229">
        <v>0.15310000000000001</v>
      </c>
      <c r="AU43" s="230">
        <v>5303</v>
      </c>
      <c r="AV43" s="230">
        <v>6561</v>
      </c>
      <c r="AW43" s="230">
        <v>-1258</v>
      </c>
      <c r="AX43" s="229">
        <v>-0.19170000000000001</v>
      </c>
      <c r="AY43" s="230">
        <v>3931</v>
      </c>
      <c r="AZ43" s="230">
        <v>1364</v>
      </c>
      <c r="BA43" s="230">
        <v>2567</v>
      </c>
      <c r="BB43" s="229">
        <v>1.8819999999999999</v>
      </c>
      <c r="BC43" s="228">
        <v>100</v>
      </c>
      <c r="BD43" s="228">
        <v>170</v>
      </c>
      <c r="BE43" s="228">
        <v>-70</v>
      </c>
      <c r="BF43" s="229">
        <v>-0.4118</v>
      </c>
      <c r="BG43" s="230">
        <v>8626</v>
      </c>
      <c r="BH43" s="230">
        <v>40931</v>
      </c>
      <c r="BI43" s="230">
        <v>-32305</v>
      </c>
      <c r="BJ43" s="229">
        <v>-0.7893</v>
      </c>
      <c r="BK43" s="230">
        <v>6336</v>
      </c>
      <c r="BL43" s="230">
        <v>16820</v>
      </c>
      <c r="BM43" s="230">
        <v>-10484</v>
      </c>
      <c r="BN43" s="229">
        <v>-0.62329999999999997</v>
      </c>
      <c r="BO43" s="230">
        <v>24296</v>
      </c>
      <c r="BP43" s="230">
        <v>65846</v>
      </c>
      <c r="BQ43" s="230">
        <v>-41550</v>
      </c>
      <c r="BR43" s="229">
        <v>-0.63100000000000001</v>
      </c>
      <c r="BS43" s="230">
        <v>1633965</v>
      </c>
      <c r="BT43" s="230">
        <v>4496735</v>
      </c>
      <c r="BU43" s="230">
        <v>-2862770</v>
      </c>
      <c r="BV43" s="229">
        <v>-0.63660000000000005</v>
      </c>
      <c r="BW43" s="230">
        <v>11517000</v>
      </c>
      <c r="BX43" s="230">
        <v>11846450</v>
      </c>
      <c r="BY43" s="230">
        <v>-329450</v>
      </c>
      <c r="BZ43" s="229">
        <v>-2.7799999999999998E-2</v>
      </c>
      <c r="CA43" s="230">
        <v>9007900</v>
      </c>
      <c r="CB43" s="230">
        <v>10549000</v>
      </c>
      <c r="CC43" s="230">
        <v>-1541100</v>
      </c>
      <c r="CD43" s="229">
        <v>-0.14610000000000001</v>
      </c>
      <c r="CE43" s="230">
        <v>2343000</v>
      </c>
      <c r="CF43" s="230">
        <v>1159950</v>
      </c>
      <c r="CG43" s="230">
        <v>1183050</v>
      </c>
      <c r="CH43" s="229">
        <v>1.0199</v>
      </c>
      <c r="CI43" s="230">
        <v>166100</v>
      </c>
      <c r="CJ43" s="230">
        <v>137500</v>
      </c>
      <c r="CK43" s="230">
        <v>28600</v>
      </c>
      <c r="CL43" s="229">
        <v>0.20799999999999999</v>
      </c>
      <c r="CM43" s="230">
        <v>2916100</v>
      </c>
      <c r="CN43" s="230">
        <v>3001350</v>
      </c>
      <c r="CO43" s="230">
        <v>-85250</v>
      </c>
      <c r="CP43" s="229">
        <v>-2.8400000000000002E-2</v>
      </c>
      <c r="CQ43" s="230">
        <v>3885750</v>
      </c>
      <c r="CR43" s="230">
        <v>3576650</v>
      </c>
      <c r="CS43" s="230">
        <v>309100</v>
      </c>
      <c r="CT43" s="229">
        <v>8.6400000000000005E-2</v>
      </c>
      <c r="CU43" s="230">
        <v>18318850</v>
      </c>
      <c r="CV43" s="230">
        <v>18424450</v>
      </c>
      <c r="CW43" s="230">
        <v>-105600</v>
      </c>
      <c r="CX43" s="229">
        <v>-5.7000000000000002E-3</v>
      </c>
      <c r="CY43" s="228">
        <v>27.17</v>
      </c>
      <c r="CZ43" s="228">
        <v>28.76</v>
      </c>
      <c r="DA43" s="228">
        <v>-1.59</v>
      </c>
      <c r="DB43" s="228">
        <v>-1.59</v>
      </c>
      <c r="DC43" s="228">
        <v>27.56</v>
      </c>
      <c r="DD43" s="228">
        <v>27.62</v>
      </c>
      <c r="DE43" s="228">
        <v>-0.39</v>
      </c>
      <c r="DF43" s="228">
        <v>-0.06</v>
      </c>
      <c r="DG43" s="228">
        <v>26.87</v>
      </c>
      <c r="DH43" s="228">
        <v>28.35</v>
      </c>
      <c r="DI43" s="228">
        <v>-1.48</v>
      </c>
      <c r="DJ43" s="228">
        <v>-1.48</v>
      </c>
      <c r="DK43" s="228">
        <v>28.19</v>
      </c>
      <c r="DL43" s="228">
        <v>29.76</v>
      </c>
      <c r="DM43" s="228">
        <v>-1.57</v>
      </c>
      <c r="DN43" s="228">
        <v>-1.57</v>
      </c>
      <c r="DO43" s="228">
        <v>1.33</v>
      </c>
      <c r="DP43" s="228">
        <v>1.19</v>
      </c>
      <c r="DQ43" s="228">
        <v>0.14000000000000001</v>
      </c>
      <c r="DR43" s="229">
        <v>0.1176</v>
      </c>
      <c r="DS43" s="231">
        <v>1200</v>
      </c>
      <c r="DT43" s="228">
        <v>930</v>
      </c>
      <c r="DU43" s="228">
        <v>0.73</v>
      </c>
      <c r="DV43" s="228">
        <v>0.41</v>
      </c>
      <c r="DW43" s="228">
        <v>0.32</v>
      </c>
      <c r="DX43" s="229">
        <v>0.78049999999999997</v>
      </c>
      <c r="DY43" s="229">
        <v>0.21790000000000001</v>
      </c>
      <c r="DZ43" s="230">
        <v>1297450</v>
      </c>
      <c r="EA43" s="229">
        <v>3.3E-3</v>
      </c>
      <c r="EB43" s="229">
        <v>0.21790000000000001</v>
      </c>
      <c r="EC43" s="228">
        <v>3.71</v>
      </c>
      <c r="ED43" s="229">
        <v>3.0999999999999999E-3</v>
      </c>
      <c r="EE43" s="230">
        <v>925930</v>
      </c>
      <c r="EF43" s="230">
        <v>2648561</v>
      </c>
      <c r="EG43" s="229">
        <v>-0.65039999999999998</v>
      </c>
      <c r="EH43" s="229">
        <v>0.56669999999999998</v>
      </c>
      <c r="EI43" s="231">
        <v>57360.42</v>
      </c>
      <c r="EJ43" s="231">
        <v>40412.21</v>
      </c>
      <c r="EK43" s="231">
        <v>60600.21</v>
      </c>
      <c r="EL43" s="231">
        <v>3941</v>
      </c>
      <c r="EM43" s="231">
        <v>158372.84</v>
      </c>
      <c r="EN43" s="231">
        <v>428538.02</v>
      </c>
      <c r="EO43" s="231">
        <v>-270165.18</v>
      </c>
      <c r="EP43" s="229">
        <v>-0.63039999999999996</v>
      </c>
      <c r="EQ43" s="231">
        <v>33995</v>
      </c>
      <c r="ER43" s="231">
        <v>41421</v>
      </c>
      <c r="ES43" s="231">
        <v>136321</v>
      </c>
      <c r="ET43" s="231">
        <v>65472757</v>
      </c>
      <c r="EU43" s="231">
        <v>211736</v>
      </c>
      <c r="EV43" s="231">
        <v>212220</v>
      </c>
      <c r="EW43" s="228">
        <v>-484</v>
      </c>
      <c r="EX43" s="229">
        <v>-2.3E-3</v>
      </c>
      <c r="EY43" s="229">
        <v>0.27979999999999999</v>
      </c>
    </row>
    <row r="44" spans="1:155" ht="17.25" thickBot="1" x14ac:dyDescent="0.3">
      <c r="A44" s="226">
        <v>46135</v>
      </c>
      <c r="B44" s="227" t="s">
        <v>227</v>
      </c>
      <c r="C44" s="227" t="s">
        <v>294</v>
      </c>
      <c r="D44" s="228">
        <v>210.67</v>
      </c>
      <c r="E44" s="228">
        <v>213.02</v>
      </c>
      <c r="F44" s="228">
        <v>-2.35</v>
      </c>
      <c r="G44" s="229">
        <v>-1.0999999999999999E-2</v>
      </c>
      <c r="H44" s="228">
        <v>210.91</v>
      </c>
      <c r="I44" s="228">
        <v>213.03</v>
      </c>
      <c r="J44" s="228">
        <v>-2.12</v>
      </c>
      <c r="K44" s="229">
        <v>-0.01</v>
      </c>
      <c r="L44" s="228">
        <v>210.67</v>
      </c>
      <c r="M44" s="228">
        <v>213.02</v>
      </c>
      <c r="N44" s="228">
        <v>-2.35</v>
      </c>
      <c r="O44" s="229">
        <v>-1.0999999999999999E-2</v>
      </c>
      <c r="P44" s="228">
        <v>211.84</v>
      </c>
      <c r="Q44" s="228">
        <v>214.13</v>
      </c>
      <c r="R44" s="228">
        <v>-2.29</v>
      </c>
      <c r="S44" s="229">
        <v>-1.0699999999999999E-2</v>
      </c>
      <c r="T44" s="228">
        <v>210.03</v>
      </c>
      <c r="U44" s="228">
        <v>212.32</v>
      </c>
      <c r="V44" s="228">
        <v>-2.29</v>
      </c>
      <c r="W44" s="229">
        <v>-1.0800000000000001E-2</v>
      </c>
      <c r="X44" s="228">
        <v>-0.24</v>
      </c>
      <c r="Y44" s="228">
        <v>-0.01</v>
      </c>
      <c r="Z44" s="228">
        <v>-0.23</v>
      </c>
      <c r="AA44" s="229">
        <v>-1.1000000000000001E-3</v>
      </c>
      <c r="AB44" s="228">
        <v>-0.24</v>
      </c>
      <c r="AC44" s="228">
        <v>-0.01</v>
      </c>
      <c r="AD44" s="228">
        <v>-0.23</v>
      </c>
      <c r="AE44" s="229">
        <v>-1.1000000000000001E-3</v>
      </c>
      <c r="AF44" s="228">
        <v>0.93</v>
      </c>
      <c r="AG44" s="228">
        <v>1.1000000000000001</v>
      </c>
      <c r="AH44" s="228">
        <v>-0.17</v>
      </c>
      <c r="AI44" s="229">
        <v>4.4000000000000003E-3</v>
      </c>
      <c r="AJ44" s="228">
        <v>-0.88</v>
      </c>
      <c r="AK44" s="228">
        <v>-0.71</v>
      </c>
      <c r="AL44" s="228">
        <v>-0.17</v>
      </c>
      <c r="AM44" s="229">
        <v>-4.1999999999999997E-3</v>
      </c>
      <c r="AN44" s="228">
        <v>211.04</v>
      </c>
      <c r="AO44" s="228">
        <v>212.22</v>
      </c>
      <c r="AP44" s="228">
        <v>0</v>
      </c>
      <c r="AQ44" s="230">
        <v>13753</v>
      </c>
      <c r="AR44" s="230">
        <v>6897</v>
      </c>
      <c r="AS44" s="230">
        <v>6856</v>
      </c>
      <c r="AT44" s="229">
        <v>0.99409999999999998</v>
      </c>
      <c r="AU44" s="230">
        <v>7255</v>
      </c>
      <c r="AV44" s="230">
        <v>4146</v>
      </c>
      <c r="AW44" s="230">
        <v>3109</v>
      </c>
      <c r="AX44" s="229">
        <v>0.74990000000000001</v>
      </c>
      <c r="AY44" s="230">
        <v>6245</v>
      </c>
      <c r="AZ44" s="230">
        <v>2519</v>
      </c>
      <c r="BA44" s="230">
        <v>3726</v>
      </c>
      <c r="BB44" s="229">
        <v>1.4792000000000001</v>
      </c>
      <c r="BC44" s="228">
        <v>253</v>
      </c>
      <c r="BD44" s="228">
        <v>232</v>
      </c>
      <c r="BE44" s="228">
        <v>21</v>
      </c>
      <c r="BF44" s="229">
        <v>9.0499999999999997E-2</v>
      </c>
      <c r="BG44" s="230">
        <v>15799</v>
      </c>
      <c r="BH44" s="230">
        <v>21472</v>
      </c>
      <c r="BI44" s="230">
        <v>-5673</v>
      </c>
      <c r="BJ44" s="229">
        <v>-0.26419999999999999</v>
      </c>
      <c r="BK44" s="230">
        <v>9751</v>
      </c>
      <c r="BL44" s="230">
        <v>13055</v>
      </c>
      <c r="BM44" s="230">
        <v>-3304</v>
      </c>
      <c r="BN44" s="229">
        <v>-0.25309999999999999</v>
      </c>
      <c r="BO44" s="230">
        <v>39303</v>
      </c>
      <c r="BP44" s="230">
        <v>41424</v>
      </c>
      <c r="BQ44" s="230">
        <v>-2121</v>
      </c>
      <c r="BR44" s="229">
        <v>-5.1200000000000002E-2</v>
      </c>
      <c r="BS44" s="230">
        <v>20415328</v>
      </c>
      <c r="BT44" s="230">
        <v>22304183</v>
      </c>
      <c r="BU44" s="230">
        <v>-1888855</v>
      </c>
      <c r="BV44" s="229">
        <v>-8.4699999999999998E-2</v>
      </c>
      <c r="BW44" s="230">
        <v>182792500</v>
      </c>
      <c r="BX44" s="230">
        <v>180554000</v>
      </c>
      <c r="BY44" s="230">
        <v>2238500</v>
      </c>
      <c r="BZ44" s="229">
        <v>1.24E-2</v>
      </c>
      <c r="CA44" s="230">
        <v>116545000</v>
      </c>
      <c r="CB44" s="230">
        <v>140910000</v>
      </c>
      <c r="CC44" s="230">
        <v>-24365000</v>
      </c>
      <c r="CD44" s="229">
        <v>-0.1729</v>
      </c>
      <c r="CE44" s="230">
        <v>59290000</v>
      </c>
      <c r="CF44" s="230">
        <v>33429000</v>
      </c>
      <c r="CG44" s="230">
        <v>25861000</v>
      </c>
      <c r="CH44" s="229">
        <v>0.77359999999999995</v>
      </c>
      <c r="CI44" s="230">
        <v>6957500</v>
      </c>
      <c r="CJ44" s="230">
        <v>6215000</v>
      </c>
      <c r="CK44" s="230">
        <v>742500</v>
      </c>
      <c r="CL44" s="229">
        <v>0.1195</v>
      </c>
      <c r="CM44" s="230">
        <v>122023000</v>
      </c>
      <c r="CN44" s="230">
        <v>124492500</v>
      </c>
      <c r="CO44" s="230">
        <v>-2469500</v>
      </c>
      <c r="CP44" s="229">
        <v>-1.9800000000000002E-2</v>
      </c>
      <c r="CQ44" s="230">
        <v>95969500</v>
      </c>
      <c r="CR44" s="230">
        <v>100342000</v>
      </c>
      <c r="CS44" s="230">
        <v>-4372500</v>
      </c>
      <c r="CT44" s="229">
        <v>-4.36E-2</v>
      </c>
      <c r="CU44" s="230">
        <v>400785000</v>
      </c>
      <c r="CV44" s="230">
        <v>405388500</v>
      </c>
      <c r="CW44" s="230">
        <v>-4603500</v>
      </c>
      <c r="CX44" s="229">
        <v>-1.14E-2</v>
      </c>
      <c r="CY44" s="228">
        <v>30.37</v>
      </c>
      <c r="CZ44" s="228">
        <v>28.96</v>
      </c>
      <c r="DA44" s="228">
        <v>1.41</v>
      </c>
      <c r="DB44" s="228">
        <v>1.41</v>
      </c>
      <c r="DC44" s="228">
        <v>35.840000000000003</v>
      </c>
      <c r="DD44" s="228">
        <v>35.9</v>
      </c>
      <c r="DE44" s="228">
        <v>-5.47</v>
      </c>
      <c r="DF44" s="228">
        <v>-0.06</v>
      </c>
      <c r="DG44" s="228">
        <v>30.11</v>
      </c>
      <c r="DH44" s="228">
        <v>27.48</v>
      </c>
      <c r="DI44" s="228">
        <v>2.63</v>
      </c>
      <c r="DJ44" s="228">
        <v>2.63</v>
      </c>
      <c r="DK44" s="228">
        <v>30.84</v>
      </c>
      <c r="DL44" s="228">
        <v>31.4</v>
      </c>
      <c r="DM44" s="228">
        <v>-0.56000000000000005</v>
      </c>
      <c r="DN44" s="228">
        <v>-0.56000000000000005</v>
      </c>
      <c r="DO44" s="228">
        <v>0.79</v>
      </c>
      <c r="DP44" s="228">
        <v>0.81</v>
      </c>
      <c r="DQ44" s="228">
        <v>-0.02</v>
      </c>
      <c r="DR44" s="229">
        <v>-2.47E-2</v>
      </c>
      <c r="DS44" s="228">
        <v>195</v>
      </c>
      <c r="DT44" s="228">
        <v>200</v>
      </c>
      <c r="DU44" s="228">
        <v>0.62</v>
      </c>
      <c r="DV44" s="228">
        <v>0.61</v>
      </c>
      <c r="DW44" s="228">
        <v>0.01</v>
      </c>
      <c r="DX44" s="229">
        <v>1.6400000000000001E-2</v>
      </c>
      <c r="DY44" s="229">
        <v>0.3624</v>
      </c>
      <c r="DZ44" s="230">
        <v>39644000</v>
      </c>
      <c r="EA44" s="229">
        <v>5.5999999999999999E-3</v>
      </c>
      <c r="EB44" s="229">
        <v>0.3624</v>
      </c>
      <c r="EC44" s="228">
        <v>1.18</v>
      </c>
      <c r="ED44" s="229">
        <v>5.5999999999999999E-3</v>
      </c>
      <c r="EE44" s="230">
        <v>8967831</v>
      </c>
      <c r="EF44" s="230">
        <v>8100886</v>
      </c>
      <c r="EG44" s="229">
        <v>0.107</v>
      </c>
      <c r="EH44" s="229">
        <v>0.43930000000000002</v>
      </c>
      <c r="EI44" s="231">
        <v>189306.05</v>
      </c>
      <c r="EJ44" s="231">
        <v>110716.34</v>
      </c>
      <c r="EK44" s="231">
        <v>160031.48000000001</v>
      </c>
      <c r="EL44" s="231">
        <v>6074</v>
      </c>
      <c r="EM44" s="231">
        <v>460053.87</v>
      </c>
      <c r="EN44" s="231">
        <v>487917.35</v>
      </c>
      <c r="EO44" s="231">
        <v>-27863.48</v>
      </c>
      <c r="EP44" s="229">
        <v>-5.7099999999999998E-2</v>
      </c>
      <c r="EQ44" s="231">
        <v>254972</v>
      </c>
      <c r="ER44" s="231">
        <v>188694</v>
      </c>
      <c r="ES44" s="231">
        <v>385738</v>
      </c>
      <c r="ET44" s="231">
        <v>1049350971</v>
      </c>
      <c r="EU44" s="231">
        <v>829404</v>
      </c>
      <c r="EV44" s="231">
        <v>842127</v>
      </c>
      <c r="EW44" s="231">
        <v>-12723</v>
      </c>
      <c r="EX44" s="229">
        <v>-1.5100000000000001E-2</v>
      </c>
      <c r="EY44" s="229">
        <v>0.38190000000000002</v>
      </c>
    </row>
    <row r="45" spans="1:155" ht="17.25" thickBot="1" x14ac:dyDescent="0.3">
      <c r="A45" s="226">
        <v>46135</v>
      </c>
      <c r="B45" s="227" t="s">
        <v>221</v>
      </c>
      <c r="C45" s="227" t="s">
        <v>295</v>
      </c>
      <c r="D45" s="231">
        <v>2516.9</v>
      </c>
      <c r="E45" s="231">
        <v>2529.1999999999998</v>
      </c>
      <c r="F45" s="228">
        <v>-12.3</v>
      </c>
      <c r="G45" s="229">
        <v>-4.8999999999999998E-3</v>
      </c>
      <c r="H45" s="231">
        <v>2521.8000000000002</v>
      </c>
      <c r="I45" s="231">
        <v>2538.5</v>
      </c>
      <c r="J45" s="228">
        <v>-16.7</v>
      </c>
      <c r="K45" s="229">
        <v>-6.6E-3</v>
      </c>
      <c r="L45" s="231">
        <v>2516.9</v>
      </c>
      <c r="M45" s="231">
        <v>2529.1999999999998</v>
      </c>
      <c r="N45" s="228">
        <v>-12.3</v>
      </c>
      <c r="O45" s="229">
        <v>-4.8999999999999998E-3</v>
      </c>
      <c r="P45" s="231">
        <v>2502.4</v>
      </c>
      <c r="Q45" s="231">
        <v>2530.9</v>
      </c>
      <c r="R45" s="228">
        <v>-28.5</v>
      </c>
      <c r="S45" s="229">
        <v>-1.1299999999999999E-2</v>
      </c>
      <c r="T45" s="231">
        <v>2497.3000000000002</v>
      </c>
      <c r="U45" s="231">
        <v>2530.1</v>
      </c>
      <c r="V45" s="228">
        <v>-32.799999999999997</v>
      </c>
      <c r="W45" s="229">
        <v>-1.2999999999999999E-2</v>
      </c>
      <c r="X45" s="228">
        <v>-4.9000000000000004</v>
      </c>
      <c r="Y45" s="228">
        <v>-9.3000000000000007</v>
      </c>
      <c r="Z45" s="228">
        <v>4.4000000000000004</v>
      </c>
      <c r="AA45" s="229">
        <v>-1.9E-3</v>
      </c>
      <c r="AB45" s="228">
        <v>-4.9000000000000004</v>
      </c>
      <c r="AC45" s="228">
        <v>-9.3000000000000007</v>
      </c>
      <c r="AD45" s="228">
        <v>4.4000000000000004</v>
      </c>
      <c r="AE45" s="229">
        <v>-1.9E-3</v>
      </c>
      <c r="AF45" s="228">
        <v>-19.399999999999999</v>
      </c>
      <c r="AG45" s="228">
        <v>-7.6</v>
      </c>
      <c r="AH45" s="228">
        <v>-11.8</v>
      </c>
      <c r="AI45" s="229">
        <v>-7.7000000000000002E-3</v>
      </c>
      <c r="AJ45" s="228">
        <v>-24.5</v>
      </c>
      <c r="AK45" s="228">
        <v>-8.4</v>
      </c>
      <c r="AL45" s="228">
        <v>-16.100000000000001</v>
      </c>
      <c r="AM45" s="229">
        <v>-9.7000000000000003E-3</v>
      </c>
      <c r="AN45" s="231">
        <v>2537.37</v>
      </c>
      <c r="AO45" s="231">
        <v>2523.3000000000002</v>
      </c>
      <c r="AP45" s="228">
        <v>0</v>
      </c>
      <c r="AQ45" s="230">
        <v>122502</v>
      </c>
      <c r="AR45" s="230">
        <v>49441</v>
      </c>
      <c r="AS45" s="230">
        <v>73061</v>
      </c>
      <c r="AT45" s="229">
        <v>1.4777</v>
      </c>
      <c r="AU45" s="230">
        <v>61186</v>
      </c>
      <c r="AV45" s="230">
        <v>34307</v>
      </c>
      <c r="AW45" s="230">
        <v>26879</v>
      </c>
      <c r="AX45" s="229">
        <v>0.78349999999999997</v>
      </c>
      <c r="AY45" s="230">
        <v>58226</v>
      </c>
      <c r="AZ45" s="230">
        <v>13279</v>
      </c>
      <c r="BA45" s="230">
        <v>44947</v>
      </c>
      <c r="BB45" s="229">
        <v>3.3847999999999998</v>
      </c>
      <c r="BC45" s="230">
        <v>3090</v>
      </c>
      <c r="BD45" s="230">
        <v>1855</v>
      </c>
      <c r="BE45" s="230">
        <v>1235</v>
      </c>
      <c r="BF45" s="229">
        <v>0.66579999999999995</v>
      </c>
      <c r="BG45" s="230">
        <v>136453</v>
      </c>
      <c r="BH45" s="230">
        <v>238210</v>
      </c>
      <c r="BI45" s="230">
        <v>-101757</v>
      </c>
      <c r="BJ45" s="229">
        <v>-0.42720000000000002</v>
      </c>
      <c r="BK45" s="230">
        <v>78267</v>
      </c>
      <c r="BL45" s="230">
        <v>143604</v>
      </c>
      <c r="BM45" s="230">
        <v>-65337</v>
      </c>
      <c r="BN45" s="229">
        <v>-0.45500000000000002</v>
      </c>
      <c r="BO45" s="230">
        <v>337222</v>
      </c>
      <c r="BP45" s="230">
        <v>431255</v>
      </c>
      <c r="BQ45" s="230">
        <v>-94033</v>
      </c>
      <c r="BR45" s="229">
        <v>-0.218</v>
      </c>
      <c r="BS45" s="230">
        <v>2715816</v>
      </c>
      <c r="BT45" s="230">
        <v>5533440</v>
      </c>
      <c r="BU45" s="230">
        <v>-2817624</v>
      </c>
      <c r="BV45" s="229">
        <v>-0.50919999999999999</v>
      </c>
      <c r="BW45" s="230">
        <v>36055600</v>
      </c>
      <c r="BX45" s="230">
        <v>36884050</v>
      </c>
      <c r="BY45" s="230">
        <v>-828450</v>
      </c>
      <c r="BZ45" s="229">
        <v>-2.2499999999999999E-2</v>
      </c>
      <c r="CA45" s="230">
        <v>24370150</v>
      </c>
      <c r="CB45" s="230">
        <v>30850400</v>
      </c>
      <c r="CC45" s="230">
        <v>-6480250</v>
      </c>
      <c r="CD45" s="229">
        <v>-0.21010000000000001</v>
      </c>
      <c r="CE45" s="230">
        <v>10458000</v>
      </c>
      <c r="CF45" s="230">
        <v>5119625</v>
      </c>
      <c r="CG45" s="230">
        <v>5338375</v>
      </c>
      <c r="CH45" s="229">
        <v>1.0427</v>
      </c>
      <c r="CI45" s="230">
        <v>1227450</v>
      </c>
      <c r="CJ45" s="230">
        <v>914025</v>
      </c>
      <c r="CK45" s="230">
        <v>313425</v>
      </c>
      <c r="CL45" s="229">
        <v>0.34289999999999998</v>
      </c>
      <c r="CM45" s="230">
        <v>18975775</v>
      </c>
      <c r="CN45" s="230">
        <v>18209275</v>
      </c>
      <c r="CO45" s="230">
        <v>766500</v>
      </c>
      <c r="CP45" s="229">
        <v>4.2099999999999999E-2</v>
      </c>
      <c r="CQ45" s="230">
        <v>11519025</v>
      </c>
      <c r="CR45" s="230">
        <v>10989650</v>
      </c>
      <c r="CS45" s="230">
        <v>529375</v>
      </c>
      <c r="CT45" s="229">
        <v>4.82E-2</v>
      </c>
      <c r="CU45" s="230">
        <v>66550400</v>
      </c>
      <c r="CV45" s="230">
        <v>66082975</v>
      </c>
      <c r="CW45" s="230">
        <v>467425</v>
      </c>
      <c r="CX45" s="229">
        <v>7.1000000000000004E-3</v>
      </c>
      <c r="CY45" s="228">
        <v>26.97</v>
      </c>
      <c r="CZ45" s="228">
        <v>26.4</v>
      </c>
      <c r="DA45" s="228">
        <v>0.56999999999999995</v>
      </c>
      <c r="DB45" s="228">
        <v>0.56999999999999995</v>
      </c>
      <c r="DC45" s="228">
        <v>27.37</v>
      </c>
      <c r="DD45" s="228">
        <v>27.42</v>
      </c>
      <c r="DE45" s="228">
        <v>-0.4</v>
      </c>
      <c r="DF45" s="228">
        <v>-0.05</v>
      </c>
      <c r="DG45" s="228">
        <v>27.29</v>
      </c>
      <c r="DH45" s="228">
        <v>25.44</v>
      </c>
      <c r="DI45" s="228">
        <v>1.85</v>
      </c>
      <c r="DJ45" s="228">
        <v>1.85</v>
      </c>
      <c r="DK45" s="228">
        <v>26.47</v>
      </c>
      <c r="DL45" s="228">
        <v>27.98</v>
      </c>
      <c r="DM45" s="228">
        <v>-1.51</v>
      </c>
      <c r="DN45" s="228">
        <v>-1.51</v>
      </c>
      <c r="DO45" s="228">
        <v>0.61</v>
      </c>
      <c r="DP45" s="228">
        <v>0.6</v>
      </c>
      <c r="DQ45" s="228">
        <v>0.01</v>
      </c>
      <c r="DR45" s="229">
        <v>1.67E-2</v>
      </c>
      <c r="DS45" s="231">
        <v>2600</v>
      </c>
      <c r="DT45" s="231">
        <v>2400</v>
      </c>
      <c r="DU45" s="228">
        <v>0.56999999999999995</v>
      </c>
      <c r="DV45" s="228">
        <v>0.6</v>
      </c>
      <c r="DW45" s="228">
        <v>-0.03</v>
      </c>
      <c r="DX45" s="229">
        <v>-0.05</v>
      </c>
      <c r="DY45" s="229">
        <v>0.3241</v>
      </c>
      <c r="DZ45" s="230">
        <v>6033650</v>
      </c>
      <c r="EA45" s="229">
        <v>-5.7999999999999996E-3</v>
      </c>
      <c r="EB45" s="229">
        <v>0.3241</v>
      </c>
      <c r="EC45" s="228">
        <v>-14.07</v>
      </c>
      <c r="ED45" s="229">
        <v>-5.4999999999999997E-3</v>
      </c>
      <c r="EE45" s="230">
        <v>1240471</v>
      </c>
      <c r="EF45" s="230">
        <v>3020997</v>
      </c>
      <c r="EG45" s="229">
        <v>-0.58940000000000003</v>
      </c>
      <c r="EH45" s="229">
        <v>0.45679999999999998</v>
      </c>
      <c r="EI45" s="231">
        <v>627321.71</v>
      </c>
      <c r="EJ45" s="231">
        <v>348142.06</v>
      </c>
      <c r="EK45" s="231">
        <v>542407.5</v>
      </c>
      <c r="EL45" s="231">
        <v>26788</v>
      </c>
      <c r="EM45" s="231">
        <v>1517871.27</v>
      </c>
      <c r="EN45" s="231">
        <v>1951317.96</v>
      </c>
      <c r="EO45" s="231">
        <v>-433446.69</v>
      </c>
      <c r="EP45" s="229">
        <v>-0.22209999999999999</v>
      </c>
      <c r="EQ45" s="231">
        <v>501585</v>
      </c>
      <c r="ER45" s="231">
        <v>292055</v>
      </c>
      <c r="ES45" s="231">
        <v>905726</v>
      </c>
      <c r="ET45" s="231">
        <v>153229333</v>
      </c>
      <c r="EU45" s="231">
        <v>1699367</v>
      </c>
      <c r="EV45" s="231">
        <v>1693843</v>
      </c>
      <c r="EW45" s="231">
        <v>5524</v>
      </c>
      <c r="EX45" s="229">
        <v>3.3E-3</v>
      </c>
      <c r="EY45" s="229">
        <v>0.43430000000000002</v>
      </c>
    </row>
    <row r="46" spans="1:155" ht="17.25" thickBot="1" x14ac:dyDescent="0.3">
      <c r="A46" s="226">
        <v>46135</v>
      </c>
      <c r="B46" s="227" t="s">
        <v>221</v>
      </c>
      <c r="C46" s="227" t="s">
        <v>296</v>
      </c>
      <c r="D46" s="231">
        <v>1424.8</v>
      </c>
      <c r="E46" s="231">
        <v>1466.7</v>
      </c>
      <c r="F46" s="228">
        <v>-41.9</v>
      </c>
      <c r="G46" s="229">
        <v>-2.86E-2</v>
      </c>
      <c r="H46" s="231">
        <v>1421.5</v>
      </c>
      <c r="I46" s="231">
        <v>1462.6</v>
      </c>
      <c r="J46" s="228">
        <v>-41.1</v>
      </c>
      <c r="K46" s="229">
        <v>-2.81E-2</v>
      </c>
      <c r="L46" s="231">
        <v>1424.8</v>
      </c>
      <c r="M46" s="231">
        <v>1466.7</v>
      </c>
      <c r="N46" s="228">
        <v>-41.9</v>
      </c>
      <c r="O46" s="229">
        <v>-2.86E-2</v>
      </c>
      <c r="P46" s="231">
        <v>1420.5</v>
      </c>
      <c r="Q46" s="231">
        <v>1468.5</v>
      </c>
      <c r="R46" s="228">
        <v>-48</v>
      </c>
      <c r="S46" s="229">
        <v>-3.27E-2</v>
      </c>
      <c r="T46" s="231">
        <v>1419.6</v>
      </c>
      <c r="U46" s="231">
        <v>1474.6</v>
      </c>
      <c r="V46" s="228">
        <v>-55</v>
      </c>
      <c r="W46" s="229">
        <v>-3.73E-2</v>
      </c>
      <c r="X46" s="228">
        <v>3.3</v>
      </c>
      <c r="Y46" s="228">
        <v>4.0999999999999996</v>
      </c>
      <c r="Z46" s="228">
        <v>-0.8</v>
      </c>
      <c r="AA46" s="229">
        <v>2.3E-3</v>
      </c>
      <c r="AB46" s="228">
        <v>3.3</v>
      </c>
      <c r="AC46" s="228">
        <v>4.0999999999999996</v>
      </c>
      <c r="AD46" s="228">
        <v>-0.8</v>
      </c>
      <c r="AE46" s="229">
        <v>2.3E-3</v>
      </c>
      <c r="AF46" s="228">
        <v>-1</v>
      </c>
      <c r="AG46" s="228">
        <v>5.9</v>
      </c>
      <c r="AH46" s="228">
        <v>-6.9</v>
      </c>
      <c r="AI46" s="229">
        <v>-6.9999999999999999E-4</v>
      </c>
      <c r="AJ46" s="228">
        <v>-1.9</v>
      </c>
      <c r="AK46" s="228">
        <v>12</v>
      </c>
      <c r="AL46" s="228">
        <v>-13.9</v>
      </c>
      <c r="AM46" s="229">
        <v>-1.2999999999999999E-3</v>
      </c>
      <c r="AN46" s="231">
        <v>1436.5</v>
      </c>
      <c r="AO46" s="231">
        <v>1431.9</v>
      </c>
      <c r="AP46" s="228">
        <v>0</v>
      </c>
      <c r="AQ46" s="230">
        <v>33126</v>
      </c>
      <c r="AR46" s="230">
        <v>36132</v>
      </c>
      <c r="AS46" s="230">
        <v>-3006</v>
      </c>
      <c r="AT46" s="229">
        <v>-8.3199999999999996E-2</v>
      </c>
      <c r="AU46" s="230">
        <v>17473</v>
      </c>
      <c r="AV46" s="230">
        <v>28314</v>
      </c>
      <c r="AW46" s="230">
        <v>-10841</v>
      </c>
      <c r="AX46" s="229">
        <v>-0.38290000000000002</v>
      </c>
      <c r="AY46" s="230">
        <v>15239</v>
      </c>
      <c r="AZ46" s="230">
        <v>7520</v>
      </c>
      <c r="BA46" s="230">
        <v>7719</v>
      </c>
      <c r="BB46" s="229">
        <v>1.0265</v>
      </c>
      <c r="BC46" s="228">
        <v>414</v>
      </c>
      <c r="BD46" s="228">
        <v>298</v>
      </c>
      <c r="BE46" s="228">
        <v>116</v>
      </c>
      <c r="BF46" s="229">
        <v>0.38929999999999998</v>
      </c>
      <c r="BG46" s="230">
        <v>77018</v>
      </c>
      <c r="BH46" s="230">
        <v>191704</v>
      </c>
      <c r="BI46" s="230">
        <v>-114686</v>
      </c>
      <c r="BJ46" s="229">
        <v>-0.59819999999999995</v>
      </c>
      <c r="BK46" s="230">
        <v>40843</v>
      </c>
      <c r="BL46" s="230">
        <v>128093</v>
      </c>
      <c r="BM46" s="230">
        <v>-87250</v>
      </c>
      <c r="BN46" s="229">
        <v>-0.68110000000000004</v>
      </c>
      <c r="BO46" s="230">
        <v>150987</v>
      </c>
      <c r="BP46" s="230">
        <v>355929</v>
      </c>
      <c r="BQ46" s="230">
        <v>-204942</v>
      </c>
      <c r="BR46" s="229">
        <v>-0.57579999999999998</v>
      </c>
      <c r="BS46" s="230">
        <v>4323764</v>
      </c>
      <c r="BT46" s="230">
        <v>12203411</v>
      </c>
      <c r="BU46" s="230">
        <v>-7879647</v>
      </c>
      <c r="BV46" s="229">
        <v>-0.64570000000000005</v>
      </c>
      <c r="BW46" s="230">
        <v>19813200</v>
      </c>
      <c r="BX46" s="230">
        <v>19483800</v>
      </c>
      <c r="BY46" s="230">
        <v>329400</v>
      </c>
      <c r="BZ46" s="229">
        <v>1.6899999999999998E-2</v>
      </c>
      <c r="CA46" s="230">
        <v>11574600</v>
      </c>
      <c r="CB46" s="230">
        <v>16849800</v>
      </c>
      <c r="CC46" s="230">
        <v>-5275200</v>
      </c>
      <c r="CD46" s="229">
        <v>-0.31309999999999999</v>
      </c>
      <c r="CE46" s="230">
        <v>8011200</v>
      </c>
      <c r="CF46" s="230">
        <v>2449800</v>
      </c>
      <c r="CG46" s="230">
        <v>5561400</v>
      </c>
      <c r="CH46" s="229">
        <v>2.2700999999999998</v>
      </c>
      <c r="CI46" s="230">
        <v>227400</v>
      </c>
      <c r="CJ46" s="230">
        <v>184200</v>
      </c>
      <c r="CK46" s="230">
        <v>43200</v>
      </c>
      <c r="CL46" s="229">
        <v>0.23449999999999999</v>
      </c>
      <c r="CM46" s="230">
        <v>12700800</v>
      </c>
      <c r="CN46" s="230">
        <v>11309400</v>
      </c>
      <c r="CO46" s="230">
        <v>1391400</v>
      </c>
      <c r="CP46" s="229">
        <v>0.123</v>
      </c>
      <c r="CQ46" s="230">
        <v>6052800</v>
      </c>
      <c r="CR46" s="230">
        <v>7930200</v>
      </c>
      <c r="CS46" s="230">
        <v>-1877400</v>
      </c>
      <c r="CT46" s="229">
        <v>-0.23669999999999999</v>
      </c>
      <c r="CU46" s="230">
        <v>38566800</v>
      </c>
      <c r="CV46" s="230">
        <v>38723400</v>
      </c>
      <c r="CW46" s="230">
        <v>-156600</v>
      </c>
      <c r="CX46" s="229">
        <v>-4.0000000000000001E-3</v>
      </c>
      <c r="CY46" s="228">
        <v>31.9</v>
      </c>
      <c r="CZ46" s="228">
        <v>40.799999999999997</v>
      </c>
      <c r="DA46" s="228">
        <v>-8.9</v>
      </c>
      <c r="DB46" s="228">
        <v>-8.9</v>
      </c>
      <c r="DC46" s="228">
        <v>31.43</v>
      </c>
      <c r="DD46" s="228">
        <v>31.27</v>
      </c>
      <c r="DE46" s="228">
        <v>0.47</v>
      </c>
      <c r="DF46" s="228">
        <v>0.16</v>
      </c>
      <c r="DG46" s="228">
        <v>31.92</v>
      </c>
      <c r="DH46" s="228">
        <v>39.380000000000003</v>
      </c>
      <c r="DI46" s="228">
        <v>-7.46</v>
      </c>
      <c r="DJ46" s="228">
        <v>-7.46</v>
      </c>
      <c r="DK46" s="228">
        <v>31.87</v>
      </c>
      <c r="DL46" s="228">
        <v>42.92</v>
      </c>
      <c r="DM46" s="228">
        <v>-11.05</v>
      </c>
      <c r="DN46" s="228">
        <v>-11.05</v>
      </c>
      <c r="DO46" s="228">
        <v>0.48</v>
      </c>
      <c r="DP46" s="228">
        <v>0.7</v>
      </c>
      <c r="DQ46" s="228">
        <v>-0.22</v>
      </c>
      <c r="DR46" s="229">
        <v>-0.31430000000000002</v>
      </c>
      <c r="DS46" s="231">
        <v>1500</v>
      </c>
      <c r="DT46" s="231">
        <v>1400</v>
      </c>
      <c r="DU46" s="228">
        <v>0.53</v>
      </c>
      <c r="DV46" s="228">
        <v>0.67</v>
      </c>
      <c r="DW46" s="228">
        <v>-0.14000000000000001</v>
      </c>
      <c r="DX46" s="229">
        <v>-0.20899999999999999</v>
      </c>
      <c r="DY46" s="229">
        <v>0.4158</v>
      </c>
      <c r="DZ46" s="230">
        <v>2634000</v>
      </c>
      <c r="EA46" s="229">
        <v>-3.0000000000000001E-3</v>
      </c>
      <c r="EB46" s="229">
        <v>0.4158</v>
      </c>
      <c r="EC46" s="228">
        <v>-4.5999999999999996</v>
      </c>
      <c r="ED46" s="229">
        <v>-3.2000000000000002E-3</v>
      </c>
      <c r="EE46" s="230">
        <v>1972888</v>
      </c>
      <c r="EF46" s="230">
        <v>4328643</v>
      </c>
      <c r="EG46" s="229">
        <v>-0.54420000000000002</v>
      </c>
      <c r="EH46" s="229">
        <v>0.45629999999999998</v>
      </c>
      <c r="EI46" s="231">
        <v>696500.93</v>
      </c>
      <c r="EJ46" s="231">
        <v>348280.43</v>
      </c>
      <c r="EK46" s="231">
        <v>285078.71999999997</v>
      </c>
      <c r="EL46" s="231">
        <v>11268</v>
      </c>
      <c r="EM46" s="231">
        <v>1329860.08</v>
      </c>
      <c r="EN46" s="231">
        <v>3178501.74</v>
      </c>
      <c r="EO46" s="231">
        <v>-1848641.66</v>
      </c>
      <c r="EP46" s="229">
        <v>-0.58160000000000001</v>
      </c>
      <c r="EQ46" s="231">
        <v>192736</v>
      </c>
      <c r="ER46" s="231">
        <v>85303</v>
      </c>
      <c r="ES46" s="231">
        <v>281942</v>
      </c>
      <c r="ET46" s="231">
        <v>95553300</v>
      </c>
      <c r="EU46" s="231">
        <v>559981</v>
      </c>
      <c r="EV46" s="231">
        <v>570195</v>
      </c>
      <c r="EW46" s="231">
        <v>-10214</v>
      </c>
      <c r="EX46" s="229">
        <v>-1.7899999999999999E-2</v>
      </c>
      <c r="EY46" s="229">
        <v>0.40360000000000001</v>
      </c>
    </row>
    <row r="47" spans="1:155" ht="17.25" thickBot="1" x14ac:dyDescent="0.3">
      <c r="A47" s="226">
        <v>46135</v>
      </c>
      <c r="B47" s="227" t="s">
        <v>168</v>
      </c>
      <c r="C47" s="227" t="s">
        <v>297</v>
      </c>
      <c r="D47" s="231">
        <v>4453.5</v>
      </c>
      <c r="E47" s="231">
        <v>4455.6000000000004</v>
      </c>
      <c r="F47" s="228">
        <v>-2.1</v>
      </c>
      <c r="G47" s="229">
        <v>-5.0000000000000001E-4</v>
      </c>
      <c r="H47" s="231">
        <v>4456.5</v>
      </c>
      <c r="I47" s="231">
        <v>4454.6000000000004</v>
      </c>
      <c r="J47" s="228">
        <v>1.9</v>
      </c>
      <c r="K47" s="229">
        <v>4.0000000000000002E-4</v>
      </c>
      <c r="L47" s="231">
        <v>4453.5</v>
      </c>
      <c r="M47" s="231">
        <v>4455.6000000000004</v>
      </c>
      <c r="N47" s="228">
        <v>-2.1</v>
      </c>
      <c r="O47" s="229">
        <v>-5.0000000000000001E-4</v>
      </c>
      <c r="P47" s="231">
        <v>4478</v>
      </c>
      <c r="Q47" s="231">
        <v>4479.6000000000004</v>
      </c>
      <c r="R47" s="228">
        <v>-1.6</v>
      </c>
      <c r="S47" s="229">
        <v>-4.0000000000000002E-4</v>
      </c>
      <c r="T47" s="231">
        <v>4504.5</v>
      </c>
      <c r="U47" s="231">
        <v>4510.8</v>
      </c>
      <c r="V47" s="228">
        <v>-6.3</v>
      </c>
      <c r="W47" s="229">
        <v>-1.4E-3</v>
      </c>
      <c r="X47" s="228">
        <v>-3</v>
      </c>
      <c r="Y47" s="228">
        <v>1</v>
      </c>
      <c r="Z47" s="228">
        <v>-4</v>
      </c>
      <c r="AA47" s="229">
        <v>-6.9999999999999999E-4</v>
      </c>
      <c r="AB47" s="228">
        <v>-3</v>
      </c>
      <c r="AC47" s="228">
        <v>1</v>
      </c>
      <c r="AD47" s="228">
        <v>-4</v>
      </c>
      <c r="AE47" s="229">
        <v>-6.9999999999999999E-4</v>
      </c>
      <c r="AF47" s="228">
        <v>21.5</v>
      </c>
      <c r="AG47" s="228">
        <v>25</v>
      </c>
      <c r="AH47" s="228">
        <v>-3.5</v>
      </c>
      <c r="AI47" s="229">
        <v>4.7999999999999996E-3</v>
      </c>
      <c r="AJ47" s="228">
        <v>48</v>
      </c>
      <c r="AK47" s="228">
        <v>56.2</v>
      </c>
      <c r="AL47" s="228">
        <v>-8.1999999999999993</v>
      </c>
      <c r="AM47" s="229">
        <v>1.0800000000000001E-2</v>
      </c>
      <c r="AN47" s="231">
        <v>4448.63</v>
      </c>
      <c r="AO47" s="231">
        <v>4474.21</v>
      </c>
      <c r="AP47" s="228">
        <v>0</v>
      </c>
      <c r="AQ47" s="230">
        <v>22224</v>
      </c>
      <c r="AR47" s="230">
        <v>5948</v>
      </c>
      <c r="AS47" s="230">
        <v>16276</v>
      </c>
      <c r="AT47" s="229">
        <v>2.7364000000000002</v>
      </c>
      <c r="AU47" s="230">
        <v>11386</v>
      </c>
      <c r="AV47" s="230">
        <v>3791</v>
      </c>
      <c r="AW47" s="230">
        <v>7595</v>
      </c>
      <c r="AX47" s="229">
        <v>2.0034000000000001</v>
      </c>
      <c r="AY47" s="230">
        <v>9949</v>
      </c>
      <c r="AZ47" s="230">
        <v>1619</v>
      </c>
      <c r="BA47" s="230">
        <v>8330</v>
      </c>
      <c r="BB47" s="229">
        <v>5.1452</v>
      </c>
      <c r="BC47" s="228">
        <v>889</v>
      </c>
      <c r="BD47" s="228">
        <v>538</v>
      </c>
      <c r="BE47" s="228">
        <v>351</v>
      </c>
      <c r="BF47" s="229">
        <v>0.65239999999999998</v>
      </c>
      <c r="BG47" s="230">
        <v>21979</v>
      </c>
      <c r="BH47" s="230">
        <v>18773</v>
      </c>
      <c r="BI47" s="230">
        <v>3206</v>
      </c>
      <c r="BJ47" s="229">
        <v>0.17080000000000001</v>
      </c>
      <c r="BK47" s="230">
        <v>17981</v>
      </c>
      <c r="BL47" s="230">
        <v>14312</v>
      </c>
      <c r="BM47" s="230">
        <v>3669</v>
      </c>
      <c r="BN47" s="229">
        <v>0.25640000000000002</v>
      </c>
      <c r="BO47" s="230">
        <v>62184</v>
      </c>
      <c r="BP47" s="230">
        <v>39033</v>
      </c>
      <c r="BQ47" s="230">
        <v>23151</v>
      </c>
      <c r="BR47" s="229">
        <v>0.59309999999999996</v>
      </c>
      <c r="BS47" s="230">
        <v>728034</v>
      </c>
      <c r="BT47" s="230">
        <v>620614</v>
      </c>
      <c r="BU47" s="230">
        <v>107420</v>
      </c>
      <c r="BV47" s="229">
        <v>0.1731</v>
      </c>
      <c r="BW47" s="230">
        <v>8947925</v>
      </c>
      <c r="BX47" s="230">
        <v>8763125</v>
      </c>
      <c r="BY47" s="230">
        <v>184800</v>
      </c>
      <c r="BZ47" s="229">
        <v>2.1100000000000001E-2</v>
      </c>
      <c r="CA47" s="230">
        <v>5851475</v>
      </c>
      <c r="CB47" s="230">
        <v>7234675</v>
      </c>
      <c r="CC47" s="230">
        <v>-1383200</v>
      </c>
      <c r="CD47" s="229">
        <v>-0.19120000000000001</v>
      </c>
      <c r="CE47" s="230">
        <v>2468200</v>
      </c>
      <c r="CF47" s="230">
        <v>1043525</v>
      </c>
      <c r="CG47" s="230">
        <v>1424675</v>
      </c>
      <c r="CH47" s="229">
        <v>1.3653</v>
      </c>
      <c r="CI47" s="230">
        <v>628250</v>
      </c>
      <c r="CJ47" s="230">
        <v>484925</v>
      </c>
      <c r="CK47" s="230">
        <v>143325</v>
      </c>
      <c r="CL47" s="229">
        <v>0.29559999999999997</v>
      </c>
      <c r="CM47" s="230">
        <v>3817100</v>
      </c>
      <c r="CN47" s="230">
        <v>3972850</v>
      </c>
      <c r="CO47" s="230">
        <v>-155750</v>
      </c>
      <c r="CP47" s="229">
        <v>-3.9199999999999999E-2</v>
      </c>
      <c r="CQ47" s="230">
        <v>2883650</v>
      </c>
      <c r="CR47" s="230">
        <v>3145625</v>
      </c>
      <c r="CS47" s="230">
        <v>-261975</v>
      </c>
      <c r="CT47" s="229">
        <v>-8.3299999999999999E-2</v>
      </c>
      <c r="CU47" s="230">
        <v>15648675</v>
      </c>
      <c r="CV47" s="230">
        <v>15881600</v>
      </c>
      <c r="CW47" s="230">
        <v>-232925</v>
      </c>
      <c r="CX47" s="229">
        <v>-1.47E-2</v>
      </c>
      <c r="CY47" s="228">
        <v>29.52</v>
      </c>
      <c r="CZ47" s="228">
        <v>25.77</v>
      </c>
      <c r="DA47" s="228">
        <v>3.75</v>
      </c>
      <c r="DB47" s="228">
        <v>3.75</v>
      </c>
      <c r="DC47" s="228">
        <v>27.72</v>
      </c>
      <c r="DD47" s="228">
        <v>27.79</v>
      </c>
      <c r="DE47" s="228">
        <v>1.8</v>
      </c>
      <c r="DF47" s="228">
        <v>-7.0000000000000007E-2</v>
      </c>
      <c r="DG47" s="228">
        <v>29.04</v>
      </c>
      <c r="DH47" s="228">
        <v>25.5</v>
      </c>
      <c r="DI47" s="228">
        <v>3.54</v>
      </c>
      <c r="DJ47" s="228">
        <v>3.54</v>
      </c>
      <c r="DK47" s="228">
        <v>30.07</v>
      </c>
      <c r="DL47" s="228">
        <v>26.13</v>
      </c>
      <c r="DM47" s="228">
        <v>3.94</v>
      </c>
      <c r="DN47" s="228">
        <v>3.94</v>
      </c>
      <c r="DO47" s="228">
        <v>0.76</v>
      </c>
      <c r="DP47" s="228">
        <v>0.79</v>
      </c>
      <c r="DQ47" s="228">
        <v>-0.03</v>
      </c>
      <c r="DR47" s="229">
        <v>-3.7999999999999999E-2</v>
      </c>
      <c r="DS47" s="231">
        <v>4500</v>
      </c>
      <c r="DT47" s="231">
        <v>4400</v>
      </c>
      <c r="DU47" s="228">
        <v>0.82</v>
      </c>
      <c r="DV47" s="228">
        <v>0.76</v>
      </c>
      <c r="DW47" s="228">
        <v>0.06</v>
      </c>
      <c r="DX47" s="229">
        <v>7.8899999999999998E-2</v>
      </c>
      <c r="DY47" s="229">
        <v>0.34610000000000002</v>
      </c>
      <c r="DZ47" s="230">
        <v>1528450</v>
      </c>
      <c r="EA47" s="229">
        <v>5.4999999999999997E-3</v>
      </c>
      <c r="EB47" s="229">
        <v>0.34610000000000002</v>
      </c>
      <c r="EC47" s="228">
        <v>25.58</v>
      </c>
      <c r="ED47" s="229">
        <v>5.7999999999999996E-3</v>
      </c>
      <c r="EE47" s="230">
        <v>368708</v>
      </c>
      <c r="EF47" s="230">
        <v>307958</v>
      </c>
      <c r="EG47" s="229">
        <v>0.1973</v>
      </c>
      <c r="EH47" s="229">
        <v>0.50639999999999996</v>
      </c>
      <c r="EI47" s="231">
        <v>175982.83</v>
      </c>
      <c r="EJ47" s="231">
        <v>138022.6</v>
      </c>
      <c r="EK47" s="231">
        <v>173534.82</v>
      </c>
      <c r="EL47" s="231">
        <v>9023</v>
      </c>
      <c r="EM47" s="231">
        <v>487540.25</v>
      </c>
      <c r="EN47" s="231">
        <v>307527.31</v>
      </c>
      <c r="EO47" s="231">
        <v>180012.94</v>
      </c>
      <c r="EP47" s="229">
        <v>0.58540000000000003</v>
      </c>
      <c r="EQ47" s="231">
        <v>168787</v>
      </c>
      <c r="ER47" s="231">
        <v>119839</v>
      </c>
      <c r="ES47" s="231">
        <v>399421</v>
      </c>
      <c r="ET47" s="231">
        <v>41744334</v>
      </c>
      <c r="EU47" s="231">
        <v>688047</v>
      </c>
      <c r="EV47" s="231">
        <v>698185</v>
      </c>
      <c r="EW47" s="231">
        <v>-10138</v>
      </c>
      <c r="EX47" s="229">
        <v>-1.4500000000000001E-2</v>
      </c>
      <c r="EY47" s="229">
        <v>0.37490000000000001</v>
      </c>
    </row>
    <row r="48" spans="1:155" ht="17.25" thickBot="1" x14ac:dyDescent="0.3">
      <c r="A48" s="226">
        <v>46135</v>
      </c>
      <c r="B48" s="227" t="s">
        <v>162</v>
      </c>
      <c r="C48" s="227" t="s">
        <v>687</v>
      </c>
      <c r="D48" s="228">
        <v>350.95</v>
      </c>
      <c r="E48" s="228">
        <v>360.5</v>
      </c>
      <c r="F48" s="228">
        <v>-9.5500000000000007</v>
      </c>
      <c r="G48" s="229">
        <v>-2.6499999999999999E-2</v>
      </c>
      <c r="H48" s="228">
        <v>351.95</v>
      </c>
      <c r="I48" s="228">
        <v>361.85</v>
      </c>
      <c r="J48" s="228">
        <v>-9.9</v>
      </c>
      <c r="K48" s="229">
        <v>-2.7400000000000001E-2</v>
      </c>
      <c r="L48" s="228">
        <v>350.95</v>
      </c>
      <c r="M48" s="228">
        <v>360.5</v>
      </c>
      <c r="N48" s="228">
        <v>-9.5500000000000007</v>
      </c>
      <c r="O48" s="229">
        <v>-2.6499999999999999E-2</v>
      </c>
      <c r="P48" s="228">
        <v>352.2</v>
      </c>
      <c r="Q48" s="228">
        <v>362.75</v>
      </c>
      <c r="R48" s="228">
        <v>-10.55</v>
      </c>
      <c r="S48" s="229">
        <v>-2.9100000000000001E-2</v>
      </c>
      <c r="T48" s="228">
        <v>352.35</v>
      </c>
      <c r="U48" s="228">
        <v>362.8</v>
      </c>
      <c r="V48" s="228">
        <v>-10.45</v>
      </c>
      <c r="W48" s="229">
        <v>-2.8799999999999999E-2</v>
      </c>
      <c r="X48" s="228">
        <v>-1</v>
      </c>
      <c r="Y48" s="228">
        <v>-1.35</v>
      </c>
      <c r="Z48" s="228">
        <v>0.35</v>
      </c>
      <c r="AA48" s="229">
        <v>-2.8E-3</v>
      </c>
      <c r="AB48" s="228">
        <v>-1</v>
      </c>
      <c r="AC48" s="228">
        <v>-1.35</v>
      </c>
      <c r="AD48" s="228">
        <v>0.35</v>
      </c>
      <c r="AE48" s="229">
        <v>-2.8E-3</v>
      </c>
      <c r="AF48" s="228">
        <v>0.25</v>
      </c>
      <c r="AG48" s="228">
        <v>0.9</v>
      </c>
      <c r="AH48" s="228">
        <v>-0.65</v>
      </c>
      <c r="AI48" s="229">
        <v>6.9999999999999999E-4</v>
      </c>
      <c r="AJ48" s="228">
        <v>0.4</v>
      </c>
      <c r="AK48" s="228">
        <v>0.95</v>
      </c>
      <c r="AL48" s="228">
        <v>-0.55000000000000004</v>
      </c>
      <c r="AM48" s="229">
        <v>1.1000000000000001E-3</v>
      </c>
      <c r="AN48" s="228">
        <v>353.93</v>
      </c>
      <c r="AO48" s="228">
        <v>355.23</v>
      </c>
      <c r="AP48" s="228">
        <v>0</v>
      </c>
      <c r="AQ48" s="230">
        <v>65979</v>
      </c>
      <c r="AR48" s="230">
        <v>24023</v>
      </c>
      <c r="AS48" s="230">
        <v>41956</v>
      </c>
      <c r="AT48" s="229">
        <v>1.7464999999999999</v>
      </c>
      <c r="AU48" s="230">
        <v>33490</v>
      </c>
      <c r="AV48" s="230">
        <v>15380</v>
      </c>
      <c r="AW48" s="230">
        <v>18110</v>
      </c>
      <c r="AX48" s="229">
        <v>1.1775</v>
      </c>
      <c r="AY48" s="230">
        <v>31669</v>
      </c>
      <c r="AZ48" s="230">
        <v>7698</v>
      </c>
      <c r="BA48" s="230">
        <v>23971</v>
      </c>
      <c r="BB48" s="229">
        <v>3.1139000000000001</v>
      </c>
      <c r="BC48" s="228">
        <v>820</v>
      </c>
      <c r="BD48" s="228">
        <v>945</v>
      </c>
      <c r="BE48" s="228">
        <v>-125</v>
      </c>
      <c r="BF48" s="229">
        <v>-0.1323</v>
      </c>
      <c r="BG48" s="230">
        <v>77043</v>
      </c>
      <c r="BH48" s="230">
        <v>112263</v>
      </c>
      <c r="BI48" s="230">
        <v>-35220</v>
      </c>
      <c r="BJ48" s="229">
        <v>-0.31369999999999998</v>
      </c>
      <c r="BK48" s="230">
        <v>56596</v>
      </c>
      <c r="BL48" s="230">
        <v>66847</v>
      </c>
      <c r="BM48" s="230">
        <v>-10251</v>
      </c>
      <c r="BN48" s="229">
        <v>-0.15340000000000001</v>
      </c>
      <c r="BO48" s="230">
        <v>199618</v>
      </c>
      <c r="BP48" s="230">
        <v>203133</v>
      </c>
      <c r="BQ48" s="230">
        <v>-3515</v>
      </c>
      <c r="BR48" s="229">
        <v>-1.7299999999999999E-2</v>
      </c>
      <c r="BS48" s="230">
        <v>11374109</v>
      </c>
      <c r="BT48" s="230">
        <v>14994313</v>
      </c>
      <c r="BU48" s="230">
        <v>-3620204</v>
      </c>
      <c r="BV48" s="229">
        <v>-0.2414</v>
      </c>
      <c r="BW48" s="230">
        <v>64608800</v>
      </c>
      <c r="BX48" s="230">
        <v>62835200</v>
      </c>
      <c r="BY48" s="230">
        <v>1773600</v>
      </c>
      <c r="BZ48" s="229">
        <v>2.8199999999999999E-2</v>
      </c>
      <c r="CA48" s="230">
        <v>34161600</v>
      </c>
      <c r="CB48" s="230">
        <v>50808000</v>
      </c>
      <c r="CC48" s="230">
        <v>-16646400</v>
      </c>
      <c r="CD48" s="229">
        <v>-0.3276</v>
      </c>
      <c r="CE48" s="230">
        <v>28890400</v>
      </c>
      <c r="CF48" s="230">
        <v>10749600</v>
      </c>
      <c r="CG48" s="230">
        <v>18140800</v>
      </c>
      <c r="CH48" s="229">
        <v>1.6876</v>
      </c>
      <c r="CI48" s="230">
        <v>1556800</v>
      </c>
      <c r="CJ48" s="230">
        <v>1277600</v>
      </c>
      <c r="CK48" s="230">
        <v>279200</v>
      </c>
      <c r="CL48" s="229">
        <v>0.2185</v>
      </c>
      <c r="CM48" s="230">
        <v>37183200</v>
      </c>
      <c r="CN48" s="230">
        <v>36492800</v>
      </c>
      <c r="CO48" s="230">
        <v>690400</v>
      </c>
      <c r="CP48" s="229">
        <v>1.89E-2</v>
      </c>
      <c r="CQ48" s="230">
        <v>27445600</v>
      </c>
      <c r="CR48" s="230">
        <v>29357600</v>
      </c>
      <c r="CS48" s="230">
        <v>-1912000</v>
      </c>
      <c r="CT48" s="229">
        <v>-6.5100000000000005E-2</v>
      </c>
      <c r="CU48" s="230">
        <v>129237600</v>
      </c>
      <c r="CV48" s="230">
        <v>128685600</v>
      </c>
      <c r="CW48" s="230">
        <v>552000</v>
      </c>
      <c r="CX48" s="229">
        <v>4.3E-3</v>
      </c>
      <c r="CY48" s="228">
        <v>38.03</v>
      </c>
      <c r="CZ48" s="228">
        <v>31.58</v>
      </c>
      <c r="DA48" s="228">
        <v>6.45</v>
      </c>
      <c r="DB48" s="228">
        <v>6.45</v>
      </c>
      <c r="DC48" s="228">
        <v>38.17</v>
      </c>
      <c r="DD48" s="228">
        <v>38.090000000000003</v>
      </c>
      <c r="DE48" s="228">
        <v>-0.14000000000000001</v>
      </c>
      <c r="DF48" s="228">
        <v>0.08</v>
      </c>
      <c r="DG48" s="228">
        <v>38.04</v>
      </c>
      <c r="DH48" s="228">
        <v>29.84</v>
      </c>
      <c r="DI48" s="228">
        <v>8.1999999999999993</v>
      </c>
      <c r="DJ48" s="228">
        <v>8.1999999999999993</v>
      </c>
      <c r="DK48" s="228">
        <v>38.01</v>
      </c>
      <c r="DL48" s="228">
        <v>34.5</v>
      </c>
      <c r="DM48" s="228">
        <v>3.51</v>
      </c>
      <c r="DN48" s="228">
        <v>3.51</v>
      </c>
      <c r="DO48" s="228">
        <v>0.74</v>
      </c>
      <c r="DP48" s="228">
        <v>0.8</v>
      </c>
      <c r="DQ48" s="228">
        <v>-0.06</v>
      </c>
      <c r="DR48" s="229">
        <v>-7.4999999999999997E-2</v>
      </c>
      <c r="DS48" s="228">
        <v>360</v>
      </c>
      <c r="DT48" s="228">
        <v>300</v>
      </c>
      <c r="DU48" s="228">
        <v>0.73</v>
      </c>
      <c r="DV48" s="228">
        <v>0.6</v>
      </c>
      <c r="DW48" s="228">
        <v>0.13</v>
      </c>
      <c r="DX48" s="229">
        <v>0.2167</v>
      </c>
      <c r="DY48" s="229">
        <v>0.4713</v>
      </c>
      <c r="DZ48" s="230">
        <v>12027200</v>
      </c>
      <c r="EA48" s="229">
        <v>3.5999999999999999E-3</v>
      </c>
      <c r="EB48" s="229">
        <v>0.4713</v>
      </c>
      <c r="EC48" s="228">
        <v>1.3</v>
      </c>
      <c r="ED48" s="229">
        <v>3.7000000000000002E-3</v>
      </c>
      <c r="EE48" s="230">
        <v>5753122</v>
      </c>
      <c r="EF48" s="230">
        <v>6902861</v>
      </c>
      <c r="EG48" s="229">
        <v>-0.1666</v>
      </c>
      <c r="EH48" s="229">
        <v>0.50580000000000003</v>
      </c>
      <c r="EI48" s="231">
        <v>227162.21</v>
      </c>
      <c r="EJ48" s="231">
        <v>157868.51999999999</v>
      </c>
      <c r="EK48" s="231">
        <v>187157.54</v>
      </c>
      <c r="EL48" s="231">
        <v>13809</v>
      </c>
      <c r="EM48" s="231">
        <v>572188.27</v>
      </c>
      <c r="EN48" s="231">
        <v>592380.18999999994</v>
      </c>
      <c r="EO48" s="231">
        <v>-20191.919999999998</v>
      </c>
      <c r="EP48" s="229">
        <v>-3.4099999999999998E-2</v>
      </c>
      <c r="EQ48" s="231">
        <v>133297</v>
      </c>
      <c r="ER48" s="231">
        <v>92713</v>
      </c>
      <c r="ES48" s="231">
        <v>227128</v>
      </c>
      <c r="ET48" s="231">
        <v>317244234</v>
      </c>
      <c r="EU48" s="231">
        <v>453137</v>
      </c>
      <c r="EV48" s="231">
        <v>456683</v>
      </c>
      <c r="EW48" s="231">
        <v>-3546</v>
      </c>
      <c r="EX48" s="229">
        <v>-7.7999999999999996E-3</v>
      </c>
      <c r="EY48" s="229">
        <v>0.40739999999999998</v>
      </c>
    </row>
    <row r="49" spans="1:155" ht="17.25" thickBot="1" x14ac:dyDescent="0.3">
      <c r="A49" s="226">
        <v>46135</v>
      </c>
      <c r="B49" s="227" t="s">
        <v>197</v>
      </c>
      <c r="C49" s="227" t="s">
        <v>482</v>
      </c>
      <c r="D49" s="231">
        <v>4237.8</v>
      </c>
      <c r="E49" s="231">
        <v>4438.1000000000004</v>
      </c>
      <c r="F49" s="228">
        <v>-200.3</v>
      </c>
      <c r="G49" s="229">
        <v>-4.5100000000000001E-2</v>
      </c>
      <c r="H49" s="231">
        <v>4251.3999999999996</v>
      </c>
      <c r="I49" s="231">
        <v>4434.5</v>
      </c>
      <c r="J49" s="228">
        <v>-183.1</v>
      </c>
      <c r="K49" s="229">
        <v>-4.1300000000000003E-2</v>
      </c>
      <c r="L49" s="231">
        <v>4237.8</v>
      </c>
      <c r="M49" s="231">
        <v>4438.1000000000004</v>
      </c>
      <c r="N49" s="228">
        <v>-200.3</v>
      </c>
      <c r="O49" s="229">
        <v>-4.5100000000000001E-2</v>
      </c>
      <c r="P49" s="231">
        <v>4202.1000000000004</v>
      </c>
      <c r="Q49" s="231">
        <v>4440.1000000000004</v>
      </c>
      <c r="R49" s="228">
        <v>-238</v>
      </c>
      <c r="S49" s="229">
        <v>-5.3600000000000002E-2</v>
      </c>
      <c r="T49" s="231">
        <v>4179.6000000000004</v>
      </c>
      <c r="U49" s="231">
        <v>4457.2</v>
      </c>
      <c r="V49" s="228">
        <v>-277.60000000000002</v>
      </c>
      <c r="W49" s="229">
        <v>-6.2300000000000001E-2</v>
      </c>
      <c r="X49" s="228">
        <v>-13.6</v>
      </c>
      <c r="Y49" s="228">
        <v>3.6</v>
      </c>
      <c r="Z49" s="228">
        <v>-17.2</v>
      </c>
      <c r="AA49" s="229">
        <v>-3.2000000000000002E-3</v>
      </c>
      <c r="AB49" s="228">
        <v>-13.6</v>
      </c>
      <c r="AC49" s="228">
        <v>3.6</v>
      </c>
      <c r="AD49" s="228">
        <v>-17.2</v>
      </c>
      <c r="AE49" s="229">
        <v>-3.2000000000000002E-3</v>
      </c>
      <c r="AF49" s="228">
        <v>-49.3</v>
      </c>
      <c r="AG49" s="228">
        <v>5.6</v>
      </c>
      <c r="AH49" s="228">
        <v>-54.9</v>
      </c>
      <c r="AI49" s="229">
        <v>-1.1599999999999999E-2</v>
      </c>
      <c r="AJ49" s="228">
        <v>-71.8</v>
      </c>
      <c r="AK49" s="228">
        <v>22.7</v>
      </c>
      <c r="AL49" s="228">
        <v>-94.5</v>
      </c>
      <c r="AM49" s="229">
        <v>-1.6899999999999998E-2</v>
      </c>
      <c r="AN49" s="231">
        <v>4306.0600000000004</v>
      </c>
      <c r="AO49" s="231">
        <v>4277.32</v>
      </c>
      <c r="AP49" s="228">
        <v>0</v>
      </c>
      <c r="AQ49" s="230">
        <v>103744</v>
      </c>
      <c r="AR49" s="230">
        <v>32067</v>
      </c>
      <c r="AS49" s="230">
        <v>71677</v>
      </c>
      <c r="AT49" s="229">
        <v>2.2351999999999999</v>
      </c>
      <c r="AU49" s="230">
        <v>57823</v>
      </c>
      <c r="AV49" s="230">
        <v>24757</v>
      </c>
      <c r="AW49" s="230">
        <v>33066</v>
      </c>
      <c r="AX49" s="229">
        <v>1.3355999999999999</v>
      </c>
      <c r="AY49" s="230">
        <v>44010</v>
      </c>
      <c r="AZ49" s="230">
        <v>6921</v>
      </c>
      <c r="BA49" s="230">
        <v>37089</v>
      </c>
      <c r="BB49" s="229">
        <v>5.3589000000000002</v>
      </c>
      <c r="BC49" s="230">
        <v>1911</v>
      </c>
      <c r="BD49" s="228">
        <v>389</v>
      </c>
      <c r="BE49" s="230">
        <v>1522</v>
      </c>
      <c r="BF49" s="229">
        <v>3.9125999999999999</v>
      </c>
      <c r="BG49" s="230">
        <v>303540</v>
      </c>
      <c r="BH49" s="230">
        <v>190208</v>
      </c>
      <c r="BI49" s="230">
        <v>113332</v>
      </c>
      <c r="BJ49" s="229">
        <v>0.5958</v>
      </c>
      <c r="BK49" s="230">
        <v>171234</v>
      </c>
      <c r="BL49" s="230">
        <v>91834</v>
      </c>
      <c r="BM49" s="230">
        <v>79400</v>
      </c>
      <c r="BN49" s="229">
        <v>0.86460000000000004</v>
      </c>
      <c r="BO49" s="230">
        <v>578518</v>
      </c>
      <c r="BP49" s="230">
        <v>314109</v>
      </c>
      <c r="BQ49" s="230">
        <v>264409</v>
      </c>
      <c r="BR49" s="229">
        <v>0.84179999999999999</v>
      </c>
      <c r="BS49" s="230">
        <v>5081227</v>
      </c>
      <c r="BT49" s="230">
        <v>2757972</v>
      </c>
      <c r="BU49" s="230">
        <v>2323255</v>
      </c>
      <c r="BV49" s="229">
        <v>0.84240000000000004</v>
      </c>
      <c r="BW49" s="230">
        <v>7924100</v>
      </c>
      <c r="BX49" s="230">
        <v>8356100</v>
      </c>
      <c r="BY49" s="230">
        <v>-432000</v>
      </c>
      <c r="BZ49" s="229">
        <v>-5.1700000000000003E-2</v>
      </c>
      <c r="CA49" s="230">
        <v>3883900</v>
      </c>
      <c r="CB49" s="230">
        <v>6515500</v>
      </c>
      <c r="CC49" s="230">
        <v>-2631600</v>
      </c>
      <c r="CD49" s="229">
        <v>-0.40389999999999998</v>
      </c>
      <c r="CE49" s="230">
        <v>3881500</v>
      </c>
      <c r="CF49" s="230">
        <v>1743300</v>
      </c>
      <c r="CG49" s="230">
        <v>2138200</v>
      </c>
      <c r="CH49" s="229">
        <v>1.2264999999999999</v>
      </c>
      <c r="CI49" s="230">
        <v>158700</v>
      </c>
      <c r="CJ49" s="230">
        <v>97300</v>
      </c>
      <c r="CK49" s="230">
        <v>61400</v>
      </c>
      <c r="CL49" s="229">
        <v>0.63100000000000001</v>
      </c>
      <c r="CM49" s="230">
        <v>6464600</v>
      </c>
      <c r="CN49" s="230">
        <v>4883400</v>
      </c>
      <c r="CO49" s="230">
        <v>1581200</v>
      </c>
      <c r="CP49" s="229">
        <v>0.32379999999999998</v>
      </c>
      <c r="CQ49" s="230">
        <v>3695200</v>
      </c>
      <c r="CR49" s="230">
        <v>3807900</v>
      </c>
      <c r="CS49" s="230">
        <v>-112700</v>
      </c>
      <c r="CT49" s="229">
        <v>-2.9600000000000001E-2</v>
      </c>
      <c r="CU49" s="230">
        <v>18083900</v>
      </c>
      <c r="CV49" s="230">
        <v>17047400</v>
      </c>
      <c r="CW49" s="230">
        <v>1036500</v>
      </c>
      <c r="CX49" s="229">
        <v>6.08E-2</v>
      </c>
      <c r="CY49" s="228">
        <v>39.28</v>
      </c>
      <c r="CZ49" s="228">
        <v>57.25</v>
      </c>
      <c r="DA49" s="228">
        <v>-17.97</v>
      </c>
      <c r="DB49" s="228">
        <v>-17.97</v>
      </c>
      <c r="DC49" s="228">
        <v>44.53</v>
      </c>
      <c r="DD49" s="228">
        <v>44.27</v>
      </c>
      <c r="DE49" s="228">
        <v>-5.25</v>
      </c>
      <c r="DF49" s="228">
        <v>0.26</v>
      </c>
      <c r="DG49" s="228">
        <v>39.28</v>
      </c>
      <c r="DH49" s="228">
        <v>56.42</v>
      </c>
      <c r="DI49" s="228">
        <v>-17.14</v>
      </c>
      <c r="DJ49" s="228">
        <v>-17.14</v>
      </c>
      <c r="DK49" s="228">
        <v>39.28</v>
      </c>
      <c r="DL49" s="228">
        <v>58.97</v>
      </c>
      <c r="DM49" s="228">
        <v>-19.690000000000001</v>
      </c>
      <c r="DN49" s="228">
        <v>-19.690000000000001</v>
      </c>
      <c r="DO49" s="228">
        <v>0.56999999999999995</v>
      </c>
      <c r="DP49" s="228">
        <v>0.78</v>
      </c>
      <c r="DQ49" s="228">
        <v>-0.21</v>
      </c>
      <c r="DR49" s="229">
        <v>-0.26919999999999999</v>
      </c>
      <c r="DS49" s="231">
        <v>4500</v>
      </c>
      <c r="DT49" s="231">
        <v>4300</v>
      </c>
      <c r="DU49" s="228">
        <v>0.56000000000000005</v>
      </c>
      <c r="DV49" s="228">
        <v>0.48</v>
      </c>
      <c r="DW49" s="228">
        <v>0.08</v>
      </c>
      <c r="DX49" s="229">
        <v>0.16669999999999999</v>
      </c>
      <c r="DY49" s="229">
        <v>0.50990000000000002</v>
      </c>
      <c r="DZ49" s="230">
        <v>1840600</v>
      </c>
      <c r="EA49" s="229">
        <v>-8.3999999999999995E-3</v>
      </c>
      <c r="EB49" s="229">
        <v>0.50990000000000002</v>
      </c>
      <c r="EC49" s="228">
        <v>-28.74</v>
      </c>
      <c r="ED49" s="229">
        <v>-6.7000000000000002E-3</v>
      </c>
      <c r="EE49" s="230">
        <v>1453242</v>
      </c>
      <c r="EF49" s="230">
        <v>800571</v>
      </c>
      <c r="EG49" s="229">
        <v>0.81530000000000002</v>
      </c>
      <c r="EH49" s="229">
        <v>0.28599999999999998</v>
      </c>
      <c r="EI49" s="231">
        <v>1380807.08</v>
      </c>
      <c r="EJ49" s="231">
        <v>728199.86</v>
      </c>
      <c r="EK49" s="231">
        <v>445419.99</v>
      </c>
      <c r="EL49" s="231">
        <v>21547</v>
      </c>
      <c r="EM49" s="231">
        <v>2554426.9300000002</v>
      </c>
      <c r="EN49" s="231">
        <v>1415429.49</v>
      </c>
      <c r="EO49" s="231">
        <v>1138997.44</v>
      </c>
      <c r="EP49" s="229">
        <v>0.80469999999999997</v>
      </c>
      <c r="EQ49" s="231">
        <v>282068</v>
      </c>
      <c r="ER49" s="231">
        <v>146369</v>
      </c>
      <c r="ES49" s="231">
        <v>334329</v>
      </c>
      <c r="ET49" s="231">
        <v>33590487</v>
      </c>
      <c r="EU49" s="231">
        <v>762767</v>
      </c>
      <c r="EV49" s="231">
        <v>732276</v>
      </c>
      <c r="EW49" s="231">
        <v>30491</v>
      </c>
      <c r="EX49" s="229">
        <v>4.1599999999999998E-2</v>
      </c>
      <c r="EY49" s="229">
        <v>0.53839999999999999</v>
      </c>
    </row>
    <row r="50" spans="1:155" ht="17.25" thickBot="1" x14ac:dyDescent="0.3">
      <c r="A50" s="226">
        <v>46135</v>
      </c>
      <c r="B50" s="227" t="s">
        <v>157</v>
      </c>
      <c r="C50" s="227" t="s">
        <v>302</v>
      </c>
      <c r="D50" s="231">
        <v>12176</v>
      </c>
      <c r="E50" s="231">
        <v>12171</v>
      </c>
      <c r="F50" s="228">
        <v>5</v>
      </c>
      <c r="G50" s="229">
        <v>4.0000000000000002E-4</v>
      </c>
      <c r="H50" s="231">
        <v>12167</v>
      </c>
      <c r="I50" s="231">
        <v>12193</v>
      </c>
      <c r="J50" s="228">
        <v>-26</v>
      </c>
      <c r="K50" s="229">
        <v>-2.0999999999999999E-3</v>
      </c>
      <c r="L50" s="231">
        <v>12176</v>
      </c>
      <c r="M50" s="231">
        <v>12171</v>
      </c>
      <c r="N50" s="228">
        <v>5</v>
      </c>
      <c r="O50" s="229">
        <v>4.0000000000000002E-4</v>
      </c>
      <c r="P50" s="231">
        <v>12239</v>
      </c>
      <c r="Q50" s="231">
        <v>12236</v>
      </c>
      <c r="R50" s="228">
        <v>3</v>
      </c>
      <c r="S50" s="229">
        <v>2.0000000000000001E-4</v>
      </c>
      <c r="T50" s="231">
        <v>12309</v>
      </c>
      <c r="U50" s="231">
        <v>12314</v>
      </c>
      <c r="V50" s="228">
        <v>-5</v>
      </c>
      <c r="W50" s="229">
        <v>-4.0000000000000002E-4</v>
      </c>
      <c r="X50" s="228">
        <v>9</v>
      </c>
      <c r="Y50" s="228">
        <v>-22</v>
      </c>
      <c r="Z50" s="228">
        <v>31</v>
      </c>
      <c r="AA50" s="229">
        <v>6.9999999999999999E-4</v>
      </c>
      <c r="AB50" s="228">
        <v>9</v>
      </c>
      <c r="AC50" s="228">
        <v>-22</v>
      </c>
      <c r="AD50" s="228">
        <v>31</v>
      </c>
      <c r="AE50" s="229">
        <v>6.9999999999999999E-4</v>
      </c>
      <c r="AF50" s="228">
        <v>72</v>
      </c>
      <c r="AG50" s="228">
        <v>43</v>
      </c>
      <c r="AH50" s="228">
        <v>29</v>
      </c>
      <c r="AI50" s="229">
        <v>5.8999999999999999E-3</v>
      </c>
      <c r="AJ50" s="228">
        <v>142</v>
      </c>
      <c r="AK50" s="228">
        <v>121</v>
      </c>
      <c r="AL50" s="228">
        <v>21</v>
      </c>
      <c r="AM50" s="229">
        <v>1.17E-2</v>
      </c>
      <c r="AN50" s="231">
        <v>12097.38</v>
      </c>
      <c r="AO50" s="231">
        <v>12160.46</v>
      </c>
      <c r="AP50" s="228">
        <v>0</v>
      </c>
      <c r="AQ50" s="230">
        <v>35050</v>
      </c>
      <c r="AR50" s="230">
        <v>10716</v>
      </c>
      <c r="AS50" s="230">
        <v>24334</v>
      </c>
      <c r="AT50" s="229">
        <v>2.2707999999999999</v>
      </c>
      <c r="AU50" s="230">
        <v>18062</v>
      </c>
      <c r="AV50" s="230">
        <v>7314</v>
      </c>
      <c r="AW50" s="230">
        <v>10748</v>
      </c>
      <c r="AX50" s="229">
        <v>1.4695</v>
      </c>
      <c r="AY50" s="230">
        <v>15598</v>
      </c>
      <c r="AZ50" s="230">
        <v>2545</v>
      </c>
      <c r="BA50" s="230">
        <v>13053</v>
      </c>
      <c r="BB50" s="229">
        <v>5.1288999999999998</v>
      </c>
      <c r="BC50" s="230">
        <v>1390</v>
      </c>
      <c r="BD50" s="228">
        <v>857</v>
      </c>
      <c r="BE50" s="228">
        <v>533</v>
      </c>
      <c r="BF50" s="229">
        <v>0.62190000000000001</v>
      </c>
      <c r="BG50" s="230">
        <v>30196</v>
      </c>
      <c r="BH50" s="230">
        <v>29267</v>
      </c>
      <c r="BI50" s="228">
        <v>929</v>
      </c>
      <c r="BJ50" s="229">
        <v>3.1699999999999999E-2</v>
      </c>
      <c r="BK50" s="230">
        <v>27247</v>
      </c>
      <c r="BL50" s="230">
        <v>15939</v>
      </c>
      <c r="BM50" s="230">
        <v>11308</v>
      </c>
      <c r="BN50" s="229">
        <v>0.70950000000000002</v>
      </c>
      <c r="BO50" s="230">
        <v>92493</v>
      </c>
      <c r="BP50" s="230">
        <v>55922</v>
      </c>
      <c r="BQ50" s="230">
        <v>36571</v>
      </c>
      <c r="BR50" s="229">
        <v>0.65400000000000003</v>
      </c>
      <c r="BS50" s="230">
        <v>243143</v>
      </c>
      <c r="BT50" s="230">
        <v>417779</v>
      </c>
      <c r="BU50" s="230">
        <v>-174636</v>
      </c>
      <c r="BV50" s="229">
        <v>-0.41799999999999998</v>
      </c>
      <c r="BW50" s="230">
        <v>2732400</v>
      </c>
      <c r="BX50" s="230">
        <v>2588000</v>
      </c>
      <c r="BY50" s="230">
        <v>144400</v>
      </c>
      <c r="BZ50" s="229">
        <v>5.5800000000000002E-2</v>
      </c>
      <c r="CA50" s="230">
        <v>1338200</v>
      </c>
      <c r="CB50" s="230">
        <v>1890950</v>
      </c>
      <c r="CC50" s="230">
        <v>-552750</v>
      </c>
      <c r="CD50" s="229">
        <v>-0.2923</v>
      </c>
      <c r="CE50" s="230">
        <v>1038850</v>
      </c>
      <c r="CF50" s="230">
        <v>404000</v>
      </c>
      <c r="CG50" s="230">
        <v>634850</v>
      </c>
      <c r="CH50" s="229">
        <v>1.5713999999999999</v>
      </c>
      <c r="CI50" s="230">
        <v>355350</v>
      </c>
      <c r="CJ50" s="230">
        <v>293050</v>
      </c>
      <c r="CK50" s="230">
        <v>62300</v>
      </c>
      <c r="CL50" s="229">
        <v>0.21260000000000001</v>
      </c>
      <c r="CM50" s="230">
        <v>1005900</v>
      </c>
      <c r="CN50" s="230">
        <v>787300</v>
      </c>
      <c r="CO50" s="230">
        <v>218600</v>
      </c>
      <c r="CP50" s="229">
        <v>0.2777</v>
      </c>
      <c r="CQ50" s="230">
        <v>608400</v>
      </c>
      <c r="CR50" s="230">
        <v>576550</v>
      </c>
      <c r="CS50" s="230">
        <v>31850</v>
      </c>
      <c r="CT50" s="229">
        <v>5.5199999999999999E-2</v>
      </c>
      <c r="CU50" s="230">
        <v>4346700</v>
      </c>
      <c r="CV50" s="230">
        <v>3951850</v>
      </c>
      <c r="CW50" s="230">
        <v>394850</v>
      </c>
      <c r="CX50" s="229">
        <v>9.9900000000000003E-2</v>
      </c>
      <c r="CY50" s="228">
        <v>28.88</v>
      </c>
      <c r="CZ50" s="228">
        <v>29.87</v>
      </c>
      <c r="DA50" s="228">
        <v>-0.99</v>
      </c>
      <c r="DB50" s="228">
        <v>-0.99</v>
      </c>
      <c r="DC50" s="228">
        <v>29.93</v>
      </c>
      <c r="DD50" s="228">
        <v>30</v>
      </c>
      <c r="DE50" s="228">
        <v>-1.05</v>
      </c>
      <c r="DF50" s="228">
        <v>-7.0000000000000007E-2</v>
      </c>
      <c r="DG50" s="228">
        <v>28.92</v>
      </c>
      <c r="DH50" s="228">
        <v>28.56</v>
      </c>
      <c r="DI50" s="228">
        <v>0.36</v>
      </c>
      <c r="DJ50" s="228">
        <v>0.36</v>
      </c>
      <c r="DK50" s="228">
        <v>28.73</v>
      </c>
      <c r="DL50" s="228">
        <v>32.270000000000003</v>
      </c>
      <c r="DM50" s="228">
        <v>-3.54</v>
      </c>
      <c r="DN50" s="228">
        <v>-3.54</v>
      </c>
      <c r="DO50" s="228">
        <v>0.6</v>
      </c>
      <c r="DP50" s="228">
        <v>0.73</v>
      </c>
      <c r="DQ50" s="228">
        <v>-0.13</v>
      </c>
      <c r="DR50" s="229">
        <v>-0.17810000000000001</v>
      </c>
      <c r="DS50" s="231">
        <v>12500</v>
      </c>
      <c r="DT50" s="231">
        <v>12000</v>
      </c>
      <c r="DU50" s="228">
        <v>0.9</v>
      </c>
      <c r="DV50" s="228">
        <v>0.54</v>
      </c>
      <c r="DW50" s="228">
        <v>0.36</v>
      </c>
      <c r="DX50" s="229">
        <v>0.66669999999999996</v>
      </c>
      <c r="DY50" s="229">
        <v>0.51019999999999999</v>
      </c>
      <c r="DZ50" s="230">
        <v>697050</v>
      </c>
      <c r="EA50" s="229">
        <v>5.1999999999999998E-3</v>
      </c>
      <c r="EB50" s="229">
        <v>0.51019999999999999</v>
      </c>
      <c r="EC50" s="228">
        <v>63.08</v>
      </c>
      <c r="ED50" s="229">
        <v>5.1999999999999998E-3</v>
      </c>
      <c r="EE50" s="230">
        <v>124066</v>
      </c>
      <c r="EF50" s="230">
        <v>281249</v>
      </c>
      <c r="EG50" s="229">
        <v>-0.55889999999999995</v>
      </c>
      <c r="EH50" s="229">
        <v>0.51029999999999998</v>
      </c>
      <c r="EI50" s="231">
        <v>189092.06</v>
      </c>
      <c r="EJ50" s="231">
        <v>151680.03</v>
      </c>
      <c r="EK50" s="231">
        <v>212588.68</v>
      </c>
      <c r="EL50" s="231">
        <v>8428</v>
      </c>
      <c r="EM50" s="231">
        <v>553360.77</v>
      </c>
      <c r="EN50" s="231">
        <v>341666.46</v>
      </c>
      <c r="EO50" s="231">
        <v>211694.31</v>
      </c>
      <c r="EP50" s="229">
        <v>0.61960000000000004</v>
      </c>
      <c r="EQ50" s="231">
        <v>122294</v>
      </c>
      <c r="ER50" s="231">
        <v>68147</v>
      </c>
      <c r="ES50" s="231">
        <v>333824</v>
      </c>
      <c r="ET50" s="231">
        <v>12994504</v>
      </c>
      <c r="EU50" s="231">
        <v>524264</v>
      </c>
      <c r="EV50" s="231">
        <v>475072</v>
      </c>
      <c r="EW50" s="231">
        <v>49192</v>
      </c>
      <c r="EX50" s="229">
        <v>0.10349999999999999</v>
      </c>
      <c r="EY50" s="229">
        <v>0.33450000000000002</v>
      </c>
    </row>
    <row r="51" spans="1:155" ht="17.25" thickBot="1" x14ac:dyDescent="0.3">
      <c r="A51" s="226">
        <v>46135</v>
      </c>
      <c r="B51" s="227" t="s">
        <v>221</v>
      </c>
      <c r="C51" s="227" t="s">
        <v>306</v>
      </c>
      <c r="D51" s="228">
        <v>202.85</v>
      </c>
      <c r="E51" s="228">
        <v>203.81</v>
      </c>
      <c r="F51" s="228">
        <v>-0.96</v>
      </c>
      <c r="G51" s="229">
        <v>-4.7000000000000002E-3</v>
      </c>
      <c r="H51" s="228">
        <v>202.76</v>
      </c>
      <c r="I51" s="228">
        <v>204</v>
      </c>
      <c r="J51" s="228">
        <v>-1.24</v>
      </c>
      <c r="K51" s="229">
        <v>-6.1000000000000004E-3</v>
      </c>
      <c r="L51" s="228">
        <v>202.85</v>
      </c>
      <c r="M51" s="228">
        <v>203.81</v>
      </c>
      <c r="N51" s="228">
        <v>-0.96</v>
      </c>
      <c r="O51" s="229">
        <v>-4.7000000000000002E-3</v>
      </c>
      <c r="P51" s="228">
        <v>198.25</v>
      </c>
      <c r="Q51" s="228">
        <v>200.26</v>
      </c>
      <c r="R51" s="228">
        <v>-2.0099999999999998</v>
      </c>
      <c r="S51" s="229">
        <v>-0.01</v>
      </c>
      <c r="T51" s="228">
        <v>195.08</v>
      </c>
      <c r="U51" s="228">
        <v>197.67</v>
      </c>
      <c r="V51" s="228">
        <v>-2.59</v>
      </c>
      <c r="W51" s="229">
        <v>-1.3100000000000001E-2</v>
      </c>
      <c r="X51" s="228">
        <v>0.09</v>
      </c>
      <c r="Y51" s="228">
        <v>-0.19</v>
      </c>
      <c r="Z51" s="228">
        <v>0.28000000000000003</v>
      </c>
      <c r="AA51" s="229">
        <v>4.0000000000000002E-4</v>
      </c>
      <c r="AB51" s="228">
        <v>0.09</v>
      </c>
      <c r="AC51" s="228">
        <v>-0.19</v>
      </c>
      <c r="AD51" s="228">
        <v>0.28000000000000003</v>
      </c>
      <c r="AE51" s="229">
        <v>4.0000000000000002E-4</v>
      </c>
      <c r="AF51" s="228">
        <v>-4.51</v>
      </c>
      <c r="AG51" s="228">
        <v>-3.74</v>
      </c>
      <c r="AH51" s="228">
        <v>-0.77</v>
      </c>
      <c r="AI51" s="229">
        <v>-2.2200000000000001E-2</v>
      </c>
      <c r="AJ51" s="228">
        <v>-7.68</v>
      </c>
      <c r="AK51" s="228">
        <v>-6.33</v>
      </c>
      <c r="AL51" s="228">
        <v>-1.35</v>
      </c>
      <c r="AM51" s="229">
        <v>-3.7900000000000003E-2</v>
      </c>
      <c r="AN51" s="228">
        <v>203.22</v>
      </c>
      <c r="AO51" s="228">
        <v>198.82</v>
      </c>
      <c r="AP51" s="228">
        <v>0</v>
      </c>
      <c r="AQ51" s="230">
        <v>65004</v>
      </c>
      <c r="AR51" s="230">
        <v>25037</v>
      </c>
      <c r="AS51" s="230">
        <v>39967</v>
      </c>
      <c r="AT51" s="229">
        <v>1.5963000000000001</v>
      </c>
      <c r="AU51" s="230">
        <v>31717</v>
      </c>
      <c r="AV51" s="230">
        <v>13774</v>
      </c>
      <c r="AW51" s="230">
        <v>17943</v>
      </c>
      <c r="AX51" s="229">
        <v>1.3027</v>
      </c>
      <c r="AY51" s="230">
        <v>32329</v>
      </c>
      <c r="AZ51" s="230">
        <v>9952</v>
      </c>
      <c r="BA51" s="230">
        <v>22377</v>
      </c>
      <c r="BB51" s="229">
        <v>2.2484999999999999</v>
      </c>
      <c r="BC51" s="228">
        <v>958</v>
      </c>
      <c r="BD51" s="230">
        <v>1311</v>
      </c>
      <c r="BE51" s="228">
        <v>-353</v>
      </c>
      <c r="BF51" s="229">
        <v>-0.26929999999999998</v>
      </c>
      <c r="BG51" s="230">
        <v>43277</v>
      </c>
      <c r="BH51" s="230">
        <v>63470</v>
      </c>
      <c r="BI51" s="230">
        <v>-20193</v>
      </c>
      <c r="BJ51" s="229">
        <v>-0.31819999999999998</v>
      </c>
      <c r="BK51" s="230">
        <v>25559</v>
      </c>
      <c r="BL51" s="230">
        <v>36962</v>
      </c>
      <c r="BM51" s="230">
        <v>-11403</v>
      </c>
      <c r="BN51" s="229">
        <v>-0.3085</v>
      </c>
      <c r="BO51" s="230">
        <v>133840</v>
      </c>
      <c r="BP51" s="230">
        <v>125469</v>
      </c>
      <c r="BQ51" s="230">
        <v>8371</v>
      </c>
      <c r="BR51" s="229">
        <v>6.6699999999999995E-2</v>
      </c>
      <c r="BS51" s="230">
        <v>21388296</v>
      </c>
      <c r="BT51" s="230">
        <v>22895073</v>
      </c>
      <c r="BU51" s="230">
        <v>-1506777</v>
      </c>
      <c r="BV51" s="229">
        <v>-6.5799999999999997E-2</v>
      </c>
      <c r="BW51" s="230">
        <v>297831000</v>
      </c>
      <c r="BX51" s="230">
        <v>331419000</v>
      </c>
      <c r="BY51" s="230">
        <v>-33588000</v>
      </c>
      <c r="BZ51" s="229">
        <v>-0.1013</v>
      </c>
      <c r="CA51" s="230">
        <v>160131000</v>
      </c>
      <c r="CB51" s="230">
        <v>229017000</v>
      </c>
      <c r="CC51" s="230">
        <v>-68886000</v>
      </c>
      <c r="CD51" s="229">
        <v>-0.30080000000000001</v>
      </c>
      <c r="CE51" s="230">
        <v>124524000</v>
      </c>
      <c r="CF51" s="230">
        <v>90858000</v>
      </c>
      <c r="CG51" s="230">
        <v>33666000</v>
      </c>
      <c r="CH51" s="229">
        <v>0.3705</v>
      </c>
      <c r="CI51" s="230">
        <v>13176000</v>
      </c>
      <c r="CJ51" s="230">
        <v>11544000</v>
      </c>
      <c r="CK51" s="230">
        <v>1632000</v>
      </c>
      <c r="CL51" s="229">
        <v>0.1414</v>
      </c>
      <c r="CM51" s="230">
        <v>168456000</v>
      </c>
      <c r="CN51" s="230">
        <v>166320000</v>
      </c>
      <c r="CO51" s="230">
        <v>2136000</v>
      </c>
      <c r="CP51" s="229">
        <v>1.2800000000000001E-2</v>
      </c>
      <c r="CQ51" s="230">
        <v>86568000</v>
      </c>
      <c r="CR51" s="230">
        <v>89013000</v>
      </c>
      <c r="CS51" s="230">
        <v>-2445000</v>
      </c>
      <c r="CT51" s="229">
        <v>-2.75E-2</v>
      </c>
      <c r="CU51" s="230">
        <v>552855000</v>
      </c>
      <c r="CV51" s="230">
        <v>586752000</v>
      </c>
      <c r="CW51" s="230">
        <v>-33897000</v>
      </c>
      <c r="CX51" s="229">
        <v>-5.7799999999999997E-2</v>
      </c>
      <c r="CY51" s="228">
        <v>32.68</v>
      </c>
      <c r="CZ51" s="228">
        <v>27.74</v>
      </c>
      <c r="DA51" s="228">
        <v>4.9400000000000004</v>
      </c>
      <c r="DB51" s="228">
        <v>4.9400000000000004</v>
      </c>
      <c r="DC51" s="228">
        <v>31.26</v>
      </c>
      <c r="DD51" s="228">
        <v>31.33</v>
      </c>
      <c r="DE51" s="228">
        <v>1.42</v>
      </c>
      <c r="DF51" s="228">
        <v>-7.0000000000000007E-2</v>
      </c>
      <c r="DG51" s="228">
        <v>33.31</v>
      </c>
      <c r="DH51" s="228">
        <v>27.31</v>
      </c>
      <c r="DI51" s="228">
        <v>6</v>
      </c>
      <c r="DJ51" s="228">
        <v>6</v>
      </c>
      <c r="DK51" s="228">
        <v>31.1</v>
      </c>
      <c r="DL51" s="228">
        <v>28.5</v>
      </c>
      <c r="DM51" s="228">
        <v>2.6</v>
      </c>
      <c r="DN51" s="228">
        <v>2.6</v>
      </c>
      <c r="DO51" s="228">
        <v>0.51</v>
      </c>
      <c r="DP51" s="228">
        <v>0.54</v>
      </c>
      <c r="DQ51" s="228">
        <v>-0.03</v>
      </c>
      <c r="DR51" s="229">
        <v>-5.5599999999999997E-2</v>
      </c>
      <c r="DS51" s="228">
        <v>210</v>
      </c>
      <c r="DT51" s="228">
        <v>200</v>
      </c>
      <c r="DU51" s="228">
        <v>0.59</v>
      </c>
      <c r="DV51" s="228">
        <v>0.57999999999999996</v>
      </c>
      <c r="DW51" s="228">
        <v>0.01</v>
      </c>
      <c r="DX51" s="229">
        <v>1.72E-2</v>
      </c>
      <c r="DY51" s="229">
        <v>0.46229999999999999</v>
      </c>
      <c r="DZ51" s="230">
        <v>102402000</v>
      </c>
      <c r="EA51" s="229">
        <v>-2.2700000000000001E-2</v>
      </c>
      <c r="EB51" s="229">
        <v>0.46229999999999999</v>
      </c>
      <c r="EC51" s="228">
        <v>-4.4000000000000004</v>
      </c>
      <c r="ED51" s="229">
        <v>-2.1700000000000001E-2</v>
      </c>
      <c r="EE51" s="230">
        <v>12554182</v>
      </c>
      <c r="EF51" s="230">
        <v>11769080</v>
      </c>
      <c r="EG51" s="229">
        <v>6.6699999999999995E-2</v>
      </c>
      <c r="EH51" s="229">
        <v>0.58699999999999997</v>
      </c>
      <c r="EI51" s="231">
        <v>275134.40000000002</v>
      </c>
      <c r="EJ51" s="231">
        <v>154232.35999999999</v>
      </c>
      <c r="EK51" s="231">
        <v>391833.71</v>
      </c>
      <c r="EL51" s="231">
        <v>22072</v>
      </c>
      <c r="EM51" s="231">
        <v>821200.47</v>
      </c>
      <c r="EN51" s="231">
        <v>779388.46</v>
      </c>
      <c r="EO51" s="231">
        <v>41812.01</v>
      </c>
      <c r="EP51" s="229">
        <v>5.3600000000000002E-2</v>
      </c>
      <c r="EQ51" s="231">
        <v>360604</v>
      </c>
      <c r="ER51" s="231">
        <v>170587</v>
      </c>
      <c r="ES51" s="231">
        <v>597398</v>
      </c>
      <c r="ET51" s="231">
        <v>428710078</v>
      </c>
      <c r="EU51" s="231">
        <v>1128589</v>
      </c>
      <c r="EV51" s="231">
        <v>1203567</v>
      </c>
      <c r="EW51" s="231">
        <v>-74978</v>
      </c>
      <c r="EX51" s="229">
        <v>-6.2300000000000001E-2</v>
      </c>
      <c r="EY51" s="229">
        <v>1.2896000000000001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C183" zoomScale="86" zoomScaleNormal="86" workbookViewId="0">
      <selection activeCell="P193" sqref="P193"/>
    </sheetView>
  </sheetViews>
  <sheetFormatPr defaultRowHeight="15" x14ac:dyDescent="0.25"/>
  <cols>
    <col min="1" max="1" width="12.28515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1.285156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140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1.28515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7109375" customWidth="1"/>
    <col min="89" max="89" width="7.5703125" customWidth="1"/>
    <col min="90" max="90" width="13" customWidth="1"/>
    <col min="91" max="92" width="11.710937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57031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9.140625"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28515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46135</v>
      </c>
      <c r="B2" s="227" t="s">
        <v>175</v>
      </c>
      <c r="C2" s="227" t="s">
        <v>680</v>
      </c>
      <c r="D2" s="228">
        <v>500</v>
      </c>
      <c r="E2" s="228">
        <v>5</v>
      </c>
      <c r="F2" s="231">
        <v>1044.6500000000001</v>
      </c>
      <c r="G2" s="231">
        <v>1047.45</v>
      </c>
      <c r="H2" s="228">
        <v>-2.8</v>
      </c>
      <c r="I2" s="229">
        <v>-2.7000000000000001E-3</v>
      </c>
      <c r="J2" s="231">
        <v>1052.25</v>
      </c>
      <c r="K2" s="231">
        <v>1054.9000000000001</v>
      </c>
      <c r="L2" s="228">
        <v>-2.65</v>
      </c>
      <c r="M2" s="229">
        <v>-2.5000000000000001E-3</v>
      </c>
      <c r="N2" s="231">
        <v>1044.6500000000001</v>
      </c>
      <c r="O2" s="231">
        <v>1047.45</v>
      </c>
      <c r="P2" s="228">
        <v>-2.8</v>
      </c>
      <c r="Q2" s="229">
        <v>-2.7000000000000001E-3</v>
      </c>
      <c r="R2" s="231">
        <v>1049.0999999999999</v>
      </c>
      <c r="S2" s="231">
        <v>1051.55</v>
      </c>
      <c r="T2" s="228">
        <v>-2.4500000000000002</v>
      </c>
      <c r="U2" s="229">
        <v>-2.3E-3</v>
      </c>
      <c r="V2" s="231">
        <v>1055.75</v>
      </c>
      <c r="W2" s="231">
        <v>1055.45</v>
      </c>
      <c r="X2" s="228">
        <v>0.3</v>
      </c>
      <c r="Y2" s="229">
        <v>2.9999999999999997E-4</v>
      </c>
      <c r="Z2" s="228">
        <v>-7.6</v>
      </c>
      <c r="AA2" s="228">
        <v>-7.45</v>
      </c>
      <c r="AB2" s="228">
        <v>-0.15</v>
      </c>
      <c r="AC2" s="229">
        <v>-7.1999999999999998E-3</v>
      </c>
      <c r="AD2" s="228">
        <v>-7.6</v>
      </c>
      <c r="AE2" s="228">
        <v>-7.45</v>
      </c>
      <c r="AF2" s="228">
        <v>-0.15</v>
      </c>
      <c r="AG2" s="229">
        <v>-7.1999999999999998E-3</v>
      </c>
      <c r="AH2" s="228">
        <v>-3.15</v>
      </c>
      <c r="AI2" s="228">
        <v>-3.35</v>
      </c>
      <c r="AJ2" s="228">
        <v>0.2</v>
      </c>
      <c r="AK2" s="229">
        <v>-3.0000000000000001E-3</v>
      </c>
      <c r="AL2" s="228">
        <v>3.5</v>
      </c>
      <c r="AM2" s="228">
        <v>0.55000000000000004</v>
      </c>
      <c r="AN2" s="228">
        <v>2.95</v>
      </c>
      <c r="AO2" s="229">
        <v>3.3E-3</v>
      </c>
      <c r="AP2" s="231">
        <v>1039.94</v>
      </c>
      <c r="AQ2" s="231">
        <v>1044.31</v>
      </c>
      <c r="AR2" s="228">
        <v>0</v>
      </c>
      <c r="AS2" s="228">
        <v>348</v>
      </c>
      <c r="AT2" s="228">
        <v>585</v>
      </c>
      <c r="AU2" s="228">
        <v>-237</v>
      </c>
      <c r="AV2" s="229">
        <v>-0.40560000000000002</v>
      </c>
      <c r="AW2" s="228">
        <v>196</v>
      </c>
      <c r="AX2" s="228">
        <v>441</v>
      </c>
      <c r="AY2" s="228">
        <v>-245</v>
      </c>
      <c r="AZ2" s="229">
        <v>-0.55559999999999998</v>
      </c>
      <c r="BA2" s="228">
        <v>152</v>
      </c>
      <c r="BB2" s="228">
        <v>141</v>
      </c>
      <c r="BC2" s="228">
        <v>11</v>
      </c>
      <c r="BD2" s="229">
        <v>7.4700000000000003E-2</v>
      </c>
      <c r="BE2" s="228">
        <v>0</v>
      </c>
      <c r="BF2" s="228">
        <v>3</v>
      </c>
      <c r="BG2" s="228">
        <v>-3</v>
      </c>
      <c r="BH2" s="229">
        <v>-0.89390000000000003</v>
      </c>
      <c r="BI2" s="228">
        <v>735</v>
      </c>
      <c r="BJ2" s="230">
        <v>2608</v>
      </c>
      <c r="BK2" s="230">
        <v>-1873</v>
      </c>
      <c r="BL2" s="229">
        <v>-0.71799999999999997</v>
      </c>
      <c r="BM2" s="228">
        <v>223</v>
      </c>
      <c r="BN2" s="230">
        <v>1394</v>
      </c>
      <c r="BO2" s="230">
        <v>-1172</v>
      </c>
      <c r="BP2" s="229">
        <v>-0.84009999999999996</v>
      </c>
      <c r="BQ2" s="230">
        <v>1306</v>
      </c>
      <c r="BR2" s="230">
        <v>4588</v>
      </c>
      <c r="BS2" s="230">
        <v>-3282</v>
      </c>
      <c r="BT2" s="229">
        <v>-0.71530000000000005</v>
      </c>
      <c r="BU2" s="230">
        <v>1388061</v>
      </c>
      <c r="BV2" s="230">
        <v>8531090</v>
      </c>
      <c r="BW2" s="230">
        <v>-7143029</v>
      </c>
      <c r="BX2" s="229">
        <v>-0.83730000000000004</v>
      </c>
      <c r="BY2" s="228">
        <v>631</v>
      </c>
      <c r="BZ2" s="228">
        <v>608</v>
      </c>
      <c r="CA2" s="228">
        <v>23</v>
      </c>
      <c r="CB2" s="229">
        <v>3.85E-2</v>
      </c>
      <c r="CC2" s="228">
        <v>414</v>
      </c>
      <c r="CD2" s="228">
        <v>484</v>
      </c>
      <c r="CE2" s="228">
        <v>-70</v>
      </c>
      <c r="CF2" s="229">
        <v>-0.1444</v>
      </c>
      <c r="CG2" s="228">
        <v>214</v>
      </c>
      <c r="CH2" s="228">
        <v>121</v>
      </c>
      <c r="CI2" s="228">
        <v>93</v>
      </c>
      <c r="CJ2" s="229">
        <v>0.77200000000000002</v>
      </c>
      <c r="CK2" s="228">
        <v>3</v>
      </c>
      <c r="CL2" s="228">
        <v>3</v>
      </c>
      <c r="CM2" s="228">
        <v>0</v>
      </c>
      <c r="CN2" s="229">
        <v>3.2300000000000002E-2</v>
      </c>
      <c r="CO2" s="228">
        <v>568</v>
      </c>
      <c r="CP2" s="228">
        <v>658</v>
      </c>
      <c r="CQ2" s="228">
        <v>-90</v>
      </c>
      <c r="CR2" s="229">
        <v>-0.13689999999999999</v>
      </c>
      <c r="CS2" s="228">
        <v>238</v>
      </c>
      <c r="CT2" s="228">
        <v>283</v>
      </c>
      <c r="CU2" s="228">
        <v>-45</v>
      </c>
      <c r="CV2" s="229">
        <v>-0.15939999999999999</v>
      </c>
      <c r="CW2" s="230">
        <v>1437</v>
      </c>
      <c r="CX2" s="230">
        <v>1548</v>
      </c>
      <c r="CY2" s="228">
        <v>-112</v>
      </c>
      <c r="CZ2" s="229">
        <v>-7.22E-2</v>
      </c>
      <c r="DA2" s="228">
        <v>38.630000000000003</v>
      </c>
      <c r="DB2" s="228">
        <v>45.42</v>
      </c>
      <c r="DC2" s="228">
        <v>-6.79</v>
      </c>
      <c r="DD2" s="228">
        <v>-6.79</v>
      </c>
      <c r="DE2" s="228">
        <v>42.33</v>
      </c>
      <c r="DF2" s="228">
        <v>42.43</v>
      </c>
      <c r="DG2" s="228">
        <v>-3.7</v>
      </c>
      <c r="DH2" s="228">
        <v>-0.1</v>
      </c>
      <c r="DI2" s="228">
        <v>38.29</v>
      </c>
      <c r="DJ2" s="228">
        <v>48.13</v>
      </c>
      <c r="DK2" s="228">
        <v>-9.84</v>
      </c>
      <c r="DL2" s="228">
        <v>-9.84</v>
      </c>
      <c r="DM2" s="228">
        <v>39.6</v>
      </c>
      <c r="DN2" s="228">
        <v>40.36</v>
      </c>
      <c r="DO2" s="228">
        <v>-0.76</v>
      </c>
      <c r="DP2" s="228">
        <v>-0.76</v>
      </c>
      <c r="DQ2" s="228">
        <v>0.42</v>
      </c>
      <c r="DR2" s="228">
        <v>0.43</v>
      </c>
      <c r="DS2" s="228">
        <v>-0.01</v>
      </c>
      <c r="DT2" s="229">
        <v>-2.3300000000000001E-2</v>
      </c>
      <c r="DU2" s="231">
        <v>1120</v>
      </c>
      <c r="DV2" s="231">
        <v>1000</v>
      </c>
      <c r="DW2" s="228">
        <v>0.3</v>
      </c>
      <c r="DX2" s="228">
        <v>0.53</v>
      </c>
      <c r="DY2" s="228">
        <v>-0.23</v>
      </c>
      <c r="DZ2" s="229">
        <v>-0.434</v>
      </c>
      <c r="EA2" s="229">
        <v>0.34410000000000002</v>
      </c>
      <c r="EB2" s="230">
        <v>1186500</v>
      </c>
      <c r="EC2" s="229">
        <v>4.3E-3</v>
      </c>
      <c r="ED2" s="229">
        <v>0.34410000000000002</v>
      </c>
      <c r="EE2" s="228">
        <v>4.37</v>
      </c>
      <c r="EF2" s="229">
        <v>4.1999999999999997E-3</v>
      </c>
      <c r="EG2" s="230">
        <v>687307</v>
      </c>
      <c r="EH2" s="230">
        <v>4883722</v>
      </c>
      <c r="EI2" s="229">
        <v>-0.85929999999999995</v>
      </c>
      <c r="EJ2" s="229">
        <v>0.49519999999999997</v>
      </c>
      <c r="EK2" s="228">
        <v>789.59</v>
      </c>
      <c r="EL2" s="228">
        <v>218.6</v>
      </c>
      <c r="EM2" s="228">
        <v>347.04</v>
      </c>
      <c r="EN2" s="228">
        <v>53.06</v>
      </c>
      <c r="EO2" s="231">
        <v>1355.23</v>
      </c>
      <c r="EP2" s="231">
        <v>4850.12</v>
      </c>
      <c r="EQ2" s="231">
        <v>-3494.89</v>
      </c>
      <c r="ER2" s="229">
        <v>-0.72060000000000002</v>
      </c>
      <c r="ES2" s="228">
        <v>613.26</v>
      </c>
      <c r="ET2" s="228">
        <v>230.28</v>
      </c>
      <c r="EU2" s="228">
        <v>632.17999999999995</v>
      </c>
      <c r="EV2" s="231">
        <v>37756901</v>
      </c>
      <c r="EW2" s="231">
        <v>1475.72</v>
      </c>
      <c r="EX2" s="231">
        <v>1597.02</v>
      </c>
      <c r="EY2" s="228">
        <v>-121.3</v>
      </c>
      <c r="EZ2" s="229">
        <v>-7.5999999999999998E-2</v>
      </c>
      <c r="FA2" s="229">
        <v>0.36430000000000001</v>
      </c>
      <c r="FB2" s="227" t="s">
        <v>566</v>
      </c>
      <c r="FC2">
        <f>BY2-CC2</f>
        <v>217</v>
      </c>
    </row>
    <row r="3" spans="1:159" ht="17.25" thickBot="1" x14ac:dyDescent="0.3">
      <c r="A3" s="226">
        <v>46135</v>
      </c>
      <c r="B3" s="227" t="s">
        <v>184</v>
      </c>
      <c r="C3" s="227" t="s">
        <v>553</v>
      </c>
      <c r="D3" s="228">
        <v>125</v>
      </c>
      <c r="E3" s="228">
        <v>5</v>
      </c>
      <c r="F3" s="231">
        <v>7592</v>
      </c>
      <c r="G3" s="231">
        <v>7615</v>
      </c>
      <c r="H3" s="228">
        <v>-23</v>
      </c>
      <c r="I3" s="229">
        <v>-3.0000000000000001E-3</v>
      </c>
      <c r="J3" s="231">
        <v>7575.5</v>
      </c>
      <c r="K3" s="231">
        <v>7587</v>
      </c>
      <c r="L3" s="228">
        <v>-11.5</v>
      </c>
      <c r="M3" s="229">
        <v>-1.5E-3</v>
      </c>
      <c r="N3" s="231">
        <v>7592</v>
      </c>
      <c r="O3" s="231">
        <v>7615</v>
      </c>
      <c r="P3" s="228">
        <v>-23</v>
      </c>
      <c r="Q3" s="229">
        <v>-3.0000000000000001E-3</v>
      </c>
      <c r="R3" s="231">
        <v>7543.5</v>
      </c>
      <c r="S3" s="231">
        <v>7576</v>
      </c>
      <c r="T3" s="228">
        <v>-32.5</v>
      </c>
      <c r="U3" s="229">
        <v>-4.3E-3</v>
      </c>
      <c r="V3" s="231">
        <v>7544</v>
      </c>
      <c r="W3" s="231">
        <v>7584</v>
      </c>
      <c r="X3" s="228">
        <v>-40</v>
      </c>
      <c r="Y3" s="229">
        <v>-5.3E-3</v>
      </c>
      <c r="Z3" s="228">
        <v>16.5</v>
      </c>
      <c r="AA3" s="228">
        <v>28</v>
      </c>
      <c r="AB3" s="228">
        <v>-11.5</v>
      </c>
      <c r="AC3" s="229">
        <v>2.2000000000000001E-3</v>
      </c>
      <c r="AD3" s="228">
        <v>16.5</v>
      </c>
      <c r="AE3" s="228">
        <v>28</v>
      </c>
      <c r="AF3" s="228">
        <v>-11.5</v>
      </c>
      <c r="AG3" s="229">
        <v>2.2000000000000001E-3</v>
      </c>
      <c r="AH3" s="228">
        <v>-32</v>
      </c>
      <c r="AI3" s="228">
        <v>-11</v>
      </c>
      <c r="AJ3" s="228">
        <v>-21</v>
      </c>
      <c r="AK3" s="229">
        <v>-4.1999999999999997E-3</v>
      </c>
      <c r="AL3" s="228">
        <v>-31.5</v>
      </c>
      <c r="AM3" s="228">
        <v>-3</v>
      </c>
      <c r="AN3" s="228">
        <v>-28.5</v>
      </c>
      <c r="AO3" s="229">
        <v>-4.1999999999999997E-3</v>
      </c>
      <c r="AP3" s="231">
        <v>7601.45</v>
      </c>
      <c r="AQ3" s="231">
        <v>7560.48</v>
      </c>
      <c r="AR3" s="228">
        <v>0</v>
      </c>
      <c r="AS3" s="230">
        <v>1557</v>
      </c>
      <c r="AT3" s="230">
        <v>2347</v>
      </c>
      <c r="AU3" s="228">
        <v>-790</v>
      </c>
      <c r="AV3" s="229">
        <v>-0.33660000000000001</v>
      </c>
      <c r="AW3" s="228">
        <v>844</v>
      </c>
      <c r="AX3" s="230">
        <v>1815</v>
      </c>
      <c r="AY3" s="228">
        <v>-971</v>
      </c>
      <c r="AZ3" s="229">
        <v>-0.53500000000000003</v>
      </c>
      <c r="BA3" s="228">
        <v>707</v>
      </c>
      <c r="BB3" s="228">
        <v>511</v>
      </c>
      <c r="BC3" s="228">
        <v>197</v>
      </c>
      <c r="BD3" s="229">
        <v>0.38550000000000001</v>
      </c>
      <c r="BE3" s="228">
        <v>6</v>
      </c>
      <c r="BF3" s="228">
        <v>22</v>
      </c>
      <c r="BG3" s="228">
        <v>-16</v>
      </c>
      <c r="BH3" s="229">
        <v>-0.73570000000000002</v>
      </c>
      <c r="BI3" s="230">
        <v>3211</v>
      </c>
      <c r="BJ3" s="230">
        <v>18939</v>
      </c>
      <c r="BK3" s="230">
        <v>-15727</v>
      </c>
      <c r="BL3" s="229">
        <v>-0.83040000000000003</v>
      </c>
      <c r="BM3" s="230">
        <v>1667</v>
      </c>
      <c r="BN3" s="230">
        <v>9267</v>
      </c>
      <c r="BO3" s="230">
        <v>-7600</v>
      </c>
      <c r="BP3" s="229">
        <v>-0.82010000000000005</v>
      </c>
      <c r="BQ3" s="230">
        <v>6435</v>
      </c>
      <c r="BR3" s="230">
        <v>30553</v>
      </c>
      <c r="BS3" s="230">
        <v>-24118</v>
      </c>
      <c r="BT3" s="229">
        <v>-0.78939999999999999</v>
      </c>
      <c r="BU3" s="230">
        <v>436723</v>
      </c>
      <c r="BV3" s="230">
        <v>1799504</v>
      </c>
      <c r="BW3" s="230">
        <v>-1362781</v>
      </c>
      <c r="BX3" s="229">
        <v>-0.75729999999999997</v>
      </c>
      <c r="BY3" s="230">
        <v>1982</v>
      </c>
      <c r="BZ3" s="230">
        <v>2018</v>
      </c>
      <c r="CA3" s="228">
        <v>-36</v>
      </c>
      <c r="CB3" s="229">
        <v>-1.7999999999999999E-2</v>
      </c>
      <c r="CC3" s="230">
        <v>1205</v>
      </c>
      <c r="CD3" s="230">
        <v>1720</v>
      </c>
      <c r="CE3" s="228">
        <v>-515</v>
      </c>
      <c r="CF3" s="229">
        <v>-0.29959999999999998</v>
      </c>
      <c r="CG3" s="228">
        <v>759</v>
      </c>
      <c r="CH3" s="228">
        <v>280</v>
      </c>
      <c r="CI3" s="228">
        <v>479</v>
      </c>
      <c r="CJ3" s="229">
        <v>1.7081999999999999</v>
      </c>
      <c r="CK3" s="228">
        <v>18</v>
      </c>
      <c r="CL3" s="228">
        <v>18</v>
      </c>
      <c r="CM3" s="228">
        <v>0</v>
      </c>
      <c r="CN3" s="229">
        <v>1.06E-2</v>
      </c>
      <c r="CO3" s="230">
        <v>1517</v>
      </c>
      <c r="CP3" s="230">
        <v>1542</v>
      </c>
      <c r="CQ3" s="228">
        <v>-25</v>
      </c>
      <c r="CR3" s="229">
        <v>-1.5900000000000001E-2</v>
      </c>
      <c r="CS3" s="230">
        <v>1242</v>
      </c>
      <c r="CT3" s="230">
        <v>1323</v>
      </c>
      <c r="CU3" s="228">
        <v>-81</v>
      </c>
      <c r="CV3" s="229">
        <v>-6.1199999999999997E-2</v>
      </c>
      <c r="CW3" s="230">
        <v>4741</v>
      </c>
      <c r="CX3" s="230">
        <v>4883</v>
      </c>
      <c r="CY3" s="228">
        <v>-142</v>
      </c>
      <c r="CZ3" s="229">
        <v>-2.9000000000000001E-2</v>
      </c>
      <c r="DA3" s="228">
        <v>37.700000000000003</v>
      </c>
      <c r="DB3" s="228">
        <v>40.340000000000003</v>
      </c>
      <c r="DC3" s="228">
        <v>-2.64</v>
      </c>
      <c r="DD3" s="228">
        <v>-2.64</v>
      </c>
      <c r="DE3" s="228">
        <v>37.36</v>
      </c>
      <c r="DF3" s="228">
        <v>37.450000000000003</v>
      </c>
      <c r="DG3" s="228">
        <v>0.34</v>
      </c>
      <c r="DH3" s="228">
        <v>-0.09</v>
      </c>
      <c r="DI3" s="228">
        <v>37.85</v>
      </c>
      <c r="DJ3" s="228">
        <v>39.68</v>
      </c>
      <c r="DK3" s="228">
        <v>-1.83</v>
      </c>
      <c r="DL3" s="228">
        <v>-1.83</v>
      </c>
      <c r="DM3" s="228">
        <v>37.35</v>
      </c>
      <c r="DN3" s="228">
        <v>41.68</v>
      </c>
      <c r="DO3" s="228">
        <v>-4.33</v>
      </c>
      <c r="DP3" s="228">
        <v>-4.33</v>
      </c>
      <c r="DQ3" s="228">
        <v>0.82</v>
      </c>
      <c r="DR3" s="228">
        <v>0.86</v>
      </c>
      <c r="DS3" s="228">
        <v>-0.04</v>
      </c>
      <c r="DT3" s="229">
        <v>-4.65E-2</v>
      </c>
      <c r="DU3" s="231">
        <v>8000</v>
      </c>
      <c r="DV3" s="231">
        <v>7000</v>
      </c>
      <c r="DW3" s="228">
        <v>0.52</v>
      </c>
      <c r="DX3" s="228">
        <v>0.49</v>
      </c>
      <c r="DY3" s="228">
        <v>0.03</v>
      </c>
      <c r="DZ3" s="229">
        <v>6.1199999999999997E-2</v>
      </c>
      <c r="EA3" s="229">
        <v>0.39219999999999999</v>
      </c>
      <c r="EB3" s="230">
        <v>392875</v>
      </c>
      <c r="EC3" s="229">
        <v>-6.4000000000000003E-3</v>
      </c>
      <c r="ED3" s="229">
        <v>0.39219999999999999</v>
      </c>
      <c r="EE3" s="228">
        <v>-40.97</v>
      </c>
      <c r="EF3" s="229">
        <v>-5.4000000000000003E-3</v>
      </c>
      <c r="EG3" s="230">
        <v>201062</v>
      </c>
      <c r="EH3" s="230">
        <v>476388</v>
      </c>
      <c r="EI3" s="229">
        <v>-0.57789999999999997</v>
      </c>
      <c r="EJ3" s="229">
        <v>0.46039999999999998</v>
      </c>
      <c r="EK3" s="231">
        <v>3363.65</v>
      </c>
      <c r="EL3" s="231">
        <v>1614.3</v>
      </c>
      <c r="EM3" s="231">
        <v>1555.21</v>
      </c>
      <c r="EN3" s="228">
        <v>88.03</v>
      </c>
      <c r="EO3" s="231">
        <v>6533.16</v>
      </c>
      <c r="EP3" s="231">
        <v>31131.97</v>
      </c>
      <c r="EQ3" s="231">
        <v>-24598.81</v>
      </c>
      <c r="ER3" s="229">
        <v>-0.79010000000000002</v>
      </c>
      <c r="ES3" s="231">
        <v>1511.05</v>
      </c>
      <c r="ET3" s="231">
        <v>1115.0899999999999</v>
      </c>
      <c r="EU3" s="231">
        <v>1977.02</v>
      </c>
      <c r="EV3" s="231">
        <v>7946564</v>
      </c>
      <c r="EW3" s="231">
        <v>4603.16</v>
      </c>
      <c r="EX3" s="231">
        <v>4741.76</v>
      </c>
      <c r="EY3" s="228">
        <v>-138.6</v>
      </c>
      <c r="EZ3" s="229">
        <v>-2.92E-2</v>
      </c>
      <c r="FA3" s="229">
        <v>0.78590000000000004</v>
      </c>
      <c r="FB3" s="227" t="s">
        <v>567</v>
      </c>
      <c r="FC3">
        <f t="shared" ref="FC3:FC66" si="0">BY3-CC3</f>
        <v>777</v>
      </c>
    </row>
    <row r="4" spans="1:159" ht="17.25" thickBot="1" x14ac:dyDescent="0.3">
      <c r="A4" s="226">
        <v>46135</v>
      </c>
      <c r="B4" s="227" t="s">
        <v>175</v>
      </c>
      <c r="C4" s="227" t="s">
        <v>544</v>
      </c>
      <c r="D4" s="228">
        <v>3100</v>
      </c>
      <c r="E4" s="228">
        <v>5</v>
      </c>
      <c r="F4" s="228">
        <v>349.65</v>
      </c>
      <c r="G4" s="228">
        <v>350.85</v>
      </c>
      <c r="H4" s="228">
        <v>-1.2</v>
      </c>
      <c r="I4" s="229">
        <v>-3.3999999999999998E-3</v>
      </c>
      <c r="J4" s="228">
        <v>349.75</v>
      </c>
      <c r="K4" s="228">
        <v>350.7</v>
      </c>
      <c r="L4" s="228">
        <v>-0.95</v>
      </c>
      <c r="M4" s="229">
        <v>-2.7000000000000001E-3</v>
      </c>
      <c r="N4" s="228">
        <v>349.65</v>
      </c>
      <c r="O4" s="228">
        <v>350.85</v>
      </c>
      <c r="P4" s="228">
        <v>-1.2</v>
      </c>
      <c r="Q4" s="229">
        <v>-3.3999999999999998E-3</v>
      </c>
      <c r="R4" s="228">
        <v>351.6</v>
      </c>
      <c r="S4" s="228">
        <v>352.45</v>
      </c>
      <c r="T4" s="228">
        <v>-0.85</v>
      </c>
      <c r="U4" s="229">
        <v>-2.3999999999999998E-3</v>
      </c>
      <c r="V4" s="228">
        <v>353.7</v>
      </c>
      <c r="W4" s="228">
        <v>353.85</v>
      </c>
      <c r="X4" s="228">
        <v>-0.15</v>
      </c>
      <c r="Y4" s="229">
        <v>-4.0000000000000002E-4</v>
      </c>
      <c r="Z4" s="228">
        <v>-0.1</v>
      </c>
      <c r="AA4" s="228">
        <v>0.15</v>
      </c>
      <c r="AB4" s="228">
        <v>-0.25</v>
      </c>
      <c r="AC4" s="229">
        <v>-2.9999999999999997E-4</v>
      </c>
      <c r="AD4" s="228">
        <v>-0.1</v>
      </c>
      <c r="AE4" s="228">
        <v>0.15</v>
      </c>
      <c r="AF4" s="228">
        <v>-0.25</v>
      </c>
      <c r="AG4" s="229">
        <v>-2.9999999999999997E-4</v>
      </c>
      <c r="AH4" s="228">
        <v>1.85</v>
      </c>
      <c r="AI4" s="228">
        <v>1.75</v>
      </c>
      <c r="AJ4" s="228">
        <v>0.1</v>
      </c>
      <c r="AK4" s="229">
        <v>5.3E-3</v>
      </c>
      <c r="AL4" s="228">
        <v>3.95</v>
      </c>
      <c r="AM4" s="228">
        <v>3.15</v>
      </c>
      <c r="AN4" s="228">
        <v>0.8</v>
      </c>
      <c r="AO4" s="229">
        <v>1.1299999999999999E-2</v>
      </c>
      <c r="AP4" s="228">
        <v>350.45</v>
      </c>
      <c r="AQ4" s="228">
        <v>352.32</v>
      </c>
      <c r="AR4" s="228">
        <v>0</v>
      </c>
      <c r="AS4" s="228">
        <v>927</v>
      </c>
      <c r="AT4" s="228">
        <v>311</v>
      </c>
      <c r="AU4" s="228">
        <v>616</v>
      </c>
      <c r="AV4" s="229">
        <v>1.9815</v>
      </c>
      <c r="AW4" s="228">
        <v>476</v>
      </c>
      <c r="AX4" s="228">
        <v>230</v>
      </c>
      <c r="AY4" s="228">
        <v>246</v>
      </c>
      <c r="AZ4" s="229">
        <v>1.0727</v>
      </c>
      <c r="BA4" s="228">
        <v>450</v>
      </c>
      <c r="BB4" s="228">
        <v>79</v>
      </c>
      <c r="BC4" s="228">
        <v>371</v>
      </c>
      <c r="BD4" s="229">
        <v>4.6853999999999996</v>
      </c>
      <c r="BE4" s="228">
        <v>1</v>
      </c>
      <c r="BF4" s="228">
        <v>2</v>
      </c>
      <c r="BG4" s="228">
        <v>-2</v>
      </c>
      <c r="BH4" s="229">
        <v>-0.73680000000000001</v>
      </c>
      <c r="BI4" s="228">
        <v>683</v>
      </c>
      <c r="BJ4" s="230">
        <v>1116</v>
      </c>
      <c r="BK4" s="228">
        <v>-433</v>
      </c>
      <c r="BL4" s="229">
        <v>-0.38790000000000002</v>
      </c>
      <c r="BM4" s="228">
        <v>364</v>
      </c>
      <c r="BN4" s="228">
        <v>640</v>
      </c>
      <c r="BO4" s="228">
        <v>-277</v>
      </c>
      <c r="BP4" s="229">
        <v>-0.43209999999999998</v>
      </c>
      <c r="BQ4" s="230">
        <v>1974</v>
      </c>
      <c r="BR4" s="230">
        <v>2067</v>
      </c>
      <c r="BS4" s="228">
        <v>-94</v>
      </c>
      <c r="BT4" s="229">
        <v>-4.53E-2</v>
      </c>
      <c r="BU4" s="230">
        <v>4406245</v>
      </c>
      <c r="BV4" s="230">
        <v>4292401</v>
      </c>
      <c r="BW4" s="230">
        <v>113844</v>
      </c>
      <c r="BX4" s="229">
        <v>2.6499999999999999E-2</v>
      </c>
      <c r="BY4" s="230">
        <v>1457</v>
      </c>
      <c r="BZ4" s="230">
        <v>1446</v>
      </c>
      <c r="CA4" s="228">
        <v>10</v>
      </c>
      <c r="CB4" s="229">
        <v>7.0000000000000001E-3</v>
      </c>
      <c r="CC4" s="230">
        <v>1006</v>
      </c>
      <c r="CD4" s="230">
        <v>1363</v>
      </c>
      <c r="CE4" s="228">
        <v>-357</v>
      </c>
      <c r="CF4" s="229">
        <v>-0.26190000000000002</v>
      </c>
      <c r="CG4" s="228">
        <v>446</v>
      </c>
      <c r="CH4" s="228">
        <v>79</v>
      </c>
      <c r="CI4" s="228">
        <v>367</v>
      </c>
      <c r="CJ4" s="229">
        <v>4.6397000000000004</v>
      </c>
      <c r="CK4" s="228">
        <v>4</v>
      </c>
      <c r="CL4" s="228">
        <v>4</v>
      </c>
      <c r="CM4" s="228">
        <v>0</v>
      </c>
      <c r="CN4" s="229">
        <v>2.7E-2</v>
      </c>
      <c r="CO4" s="228">
        <v>455</v>
      </c>
      <c r="CP4" s="228">
        <v>460</v>
      </c>
      <c r="CQ4" s="228">
        <v>-5</v>
      </c>
      <c r="CR4" s="229">
        <v>-1.06E-2</v>
      </c>
      <c r="CS4" s="228">
        <v>367</v>
      </c>
      <c r="CT4" s="228">
        <v>378</v>
      </c>
      <c r="CU4" s="228">
        <v>-11</v>
      </c>
      <c r="CV4" s="229">
        <v>-3.04E-2</v>
      </c>
      <c r="CW4" s="230">
        <v>2278</v>
      </c>
      <c r="CX4" s="230">
        <v>2285</v>
      </c>
      <c r="CY4" s="228">
        <v>-6</v>
      </c>
      <c r="CZ4" s="229">
        <v>-2.7000000000000001E-3</v>
      </c>
      <c r="DA4" s="228">
        <v>36.17</v>
      </c>
      <c r="DB4" s="228">
        <v>35.15</v>
      </c>
      <c r="DC4" s="228">
        <v>1.02</v>
      </c>
      <c r="DD4" s="228">
        <v>1.02</v>
      </c>
      <c r="DE4" s="228">
        <v>41.18</v>
      </c>
      <c r="DF4" s="228">
        <v>41.28</v>
      </c>
      <c r="DG4" s="228">
        <v>-5.01</v>
      </c>
      <c r="DH4" s="228">
        <v>-0.1</v>
      </c>
      <c r="DI4" s="228">
        <v>36.14</v>
      </c>
      <c r="DJ4" s="228">
        <v>33.590000000000003</v>
      </c>
      <c r="DK4" s="228">
        <v>2.5499999999999998</v>
      </c>
      <c r="DL4" s="228">
        <v>2.5499999999999998</v>
      </c>
      <c r="DM4" s="228">
        <v>36.229999999999997</v>
      </c>
      <c r="DN4" s="228">
        <v>37.880000000000003</v>
      </c>
      <c r="DO4" s="228">
        <v>-1.65</v>
      </c>
      <c r="DP4" s="228">
        <v>-1.65</v>
      </c>
      <c r="DQ4" s="228">
        <v>0.81</v>
      </c>
      <c r="DR4" s="228">
        <v>0.82</v>
      </c>
      <c r="DS4" s="228">
        <v>-0.01</v>
      </c>
      <c r="DT4" s="229">
        <v>-1.2200000000000001E-2</v>
      </c>
      <c r="DU4" s="228">
        <v>355</v>
      </c>
      <c r="DV4" s="228">
        <v>340</v>
      </c>
      <c r="DW4" s="228">
        <v>0.53</v>
      </c>
      <c r="DX4" s="228">
        <v>0.56999999999999995</v>
      </c>
      <c r="DY4" s="228">
        <v>-0.04</v>
      </c>
      <c r="DZ4" s="229">
        <v>-7.0199999999999999E-2</v>
      </c>
      <c r="EA4" s="229">
        <v>0.30919999999999997</v>
      </c>
      <c r="EB4" s="230">
        <v>2377700</v>
      </c>
      <c r="EC4" s="229">
        <v>5.5999999999999999E-3</v>
      </c>
      <c r="ED4" s="229">
        <v>0.30919999999999997</v>
      </c>
      <c r="EE4" s="228">
        <v>1.87</v>
      </c>
      <c r="EF4" s="229">
        <v>5.3E-3</v>
      </c>
      <c r="EG4" s="230">
        <v>2681152</v>
      </c>
      <c r="EH4" s="230">
        <v>1873515</v>
      </c>
      <c r="EI4" s="229">
        <v>0.43109999999999998</v>
      </c>
      <c r="EJ4" s="229">
        <v>0.60850000000000004</v>
      </c>
      <c r="EK4" s="228">
        <v>706.99</v>
      </c>
      <c r="EL4" s="228">
        <v>356.55</v>
      </c>
      <c r="EM4" s="228">
        <v>931.4</v>
      </c>
      <c r="EN4" s="228">
        <v>22.57</v>
      </c>
      <c r="EO4" s="231">
        <v>1994.94</v>
      </c>
      <c r="EP4" s="231">
        <v>2078.4299999999998</v>
      </c>
      <c r="EQ4" s="228">
        <v>-83.49</v>
      </c>
      <c r="ER4" s="229">
        <v>-4.02E-2</v>
      </c>
      <c r="ES4" s="228">
        <v>452.36</v>
      </c>
      <c r="ET4" s="228">
        <v>338.71</v>
      </c>
      <c r="EU4" s="231">
        <v>1459.21</v>
      </c>
      <c r="EV4" s="231">
        <v>123369777</v>
      </c>
      <c r="EW4" s="231">
        <v>2250.29</v>
      </c>
      <c r="EX4" s="231">
        <v>2256.09</v>
      </c>
      <c r="EY4" s="228">
        <v>-5.8</v>
      </c>
      <c r="EZ4" s="229">
        <v>-2.5999999999999999E-3</v>
      </c>
      <c r="FA4" s="229">
        <v>0.5282</v>
      </c>
      <c r="FB4" s="227" t="s">
        <v>566</v>
      </c>
      <c r="FC4">
        <f t="shared" si="0"/>
        <v>451</v>
      </c>
    </row>
    <row r="5" spans="1:159" ht="17.25" thickBot="1" x14ac:dyDescent="0.3">
      <c r="A5" s="226">
        <v>46135</v>
      </c>
      <c r="B5" s="227" t="s">
        <v>161</v>
      </c>
      <c r="C5" s="227" t="s">
        <v>578</v>
      </c>
      <c r="D5" s="228">
        <v>675</v>
      </c>
      <c r="E5" s="228">
        <v>5</v>
      </c>
      <c r="F5" s="231">
        <v>1364.45</v>
      </c>
      <c r="G5" s="231">
        <v>1365.25</v>
      </c>
      <c r="H5" s="228">
        <v>-0.8</v>
      </c>
      <c r="I5" s="229">
        <v>-5.9999999999999995E-4</v>
      </c>
      <c r="J5" s="231">
        <v>1361.25</v>
      </c>
      <c r="K5" s="231">
        <v>1368.1</v>
      </c>
      <c r="L5" s="228">
        <v>-6.85</v>
      </c>
      <c r="M5" s="229">
        <v>-5.0000000000000001E-3</v>
      </c>
      <c r="N5" s="231">
        <v>1364.45</v>
      </c>
      <c r="O5" s="231">
        <v>1365.25</v>
      </c>
      <c r="P5" s="228">
        <v>-0.8</v>
      </c>
      <c r="Q5" s="229">
        <v>-5.9999999999999995E-4</v>
      </c>
      <c r="R5" s="231">
        <v>1370.75</v>
      </c>
      <c r="S5" s="231">
        <v>1372.3</v>
      </c>
      <c r="T5" s="228">
        <v>-1.55</v>
      </c>
      <c r="U5" s="229">
        <v>-1.1000000000000001E-3</v>
      </c>
      <c r="V5" s="231">
        <v>1379.05</v>
      </c>
      <c r="W5" s="231">
        <v>1377.1</v>
      </c>
      <c r="X5" s="228">
        <v>1.95</v>
      </c>
      <c r="Y5" s="229">
        <v>1.4E-3</v>
      </c>
      <c r="Z5" s="228">
        <v>3.2</v>
      </c>
      <c r="AA5" s="228">
        <v>-2.85</v>
      </c>
      <c r="AB5" s="228">
        <v>6.05</v>
      </c>
      <c r="AC5" s="229">
        <v>2.3999999999999998E-3</v>
      </c>
      <c r="AD5" s="228">
        <v>3.2</v>
      </c>
      <c r="AE5" s="228">
        <v>-2.85</v>
      </c>
      <c r="AF5" s="228">
        <v>6.05</v>
      </c>
      <c r="AG5" s="229">
        <v>2.3999999999999998E-3</v>
      </c>
      <c r="AH5" s="228">
        <v>9.5</v>
      </c>
      <c r="AI5" s="228">
        <v>4.2</v>
      </c>
      <c r="AJ5" s="228">
        <v>5.3</v>
      </c>
      <c r="AK5" s="229">
        <v>7.0000000000000001E-3</v>
      </c>
      <c r="AL5" s="228">
        <v>17.8</v>
      </c>
      <c r="AM5" s="228">
        <v>9</v>
      </c>
      <c r="AN5" s="228">
        <v>8.8000000000000007</v>
      </c>
      <c r="AO5" s="229">
        <v>1.3100000000000001E-2</v>
      </c>
      <c r="AP5" s="231">
        <v>1368.42</v>
      </c>
      <c r="AQ5" s="231">
        <v>1376.01</v>
      </c>
      <c r="AR5" s="228">
        <v>0</v>
      </c>
      <c r="AS5" s="230">
        <v>1588</v>
      </c>
      <c r="AT5" s="230">
        <v>1189</v>
      </c>
      <c r="AU5" s="228">
        <v>399</v>
      </c>
      <c r="AV5" s="229">
        <v>0.33600000000000002</v>
      </c>
      <c r="AW5" s="228">
        <v>833</v>
      </c>
      <c r="AX5" s="228">
        <v>839</v>
      </c>
      <c r="AY5" s="228">
        <v>-6</v>
      </c>
      <c r="AZ5" s="229">
        <v>-6.6E-3</v>
      </c>
      <c r="BA5" s="228">
        <v>750</v>
      </c>
      <c r="BB5" s="228">
        <v>346</v>
      </c>
      <c r="BC5" s="228">
        <v>403</v>
      </c>
      <c r="BD5" s="229">
        <v>1.1649</v>
      </c>
      <c r="BE5" s="228">
        <v>5</v>
      </c>
      <c r="BF5" s="228">
        <v>4</v>
      </c>
      <c r="BG5" s="228">
        <v>2</v>
      </c>
      <c r="BH5" s="229">
        <v>0.43590000000000001</v>
      </c>
      <c r="BI5" s="230">
        <v>3163</v>
      </c>
      <c r="BJ5" s="230">
        <v>4910</v>
      </c>
      <c r="BK5" s="230">
        <v>-1747</v>
      </c>
      <c r="BL5" s="229">
        <v>-0.35580000000000001</v>
      </c>
      <c r="BM5" s="230">
        <v>1082</v>
      </c>
      <c r="BN5" s="230">
        <v>1562</v>
      </c>
      <c r="BO5" s="228">
        <v>-480</v>
      </c>
      <c r="BP5" s="229">
        <v>-0.30730000000000002</v>
      </c>
      <c r="BQ5" s="230">
        <v>5833</v>
      </c>
      <c r="BR5" s="230">
        <v>7661</v>
      </c>
      <c r="BS5" s="230">
        <v>-1828</v>
      </c>
      <c r="BT5" s="229">
        <v>-0.23860000000000001</v>
      </c>
      <c r="BU5" s="230">
        <v>4348886</v>
      </c>
      <c r="BV5" s="230">
        <v>6969140</v>
      </c>
      <c r="BW5" s="230">
        <v>-2620254</v>
      </c>
      <c r="BX5" s="229">
        <v>-0.376</v>
      </c>
      <c r="BY5" s="230">
        <v>2977</v>
      </c>
      <c r="BZ5" s="230">
        <v>2991</v>
      </c>
      <c r="CA5" s="228">
        <v>-14</v>
      </c>
      <c r="CB5" s="229">
        <v>-4.5999999999999999E-3</v>
      </c>
      <c r="CC5" s="230">
        <v>1627</v>
      </c>
      <c r="CD5" s="230">
        <v>2154</v>
      </c>
      <c r="CE5" s="228">
        <v>-527</v>
      </c>
      <c r="CF5" s="229">
        <v>-0.24479999999999999</v>
      </c>
      <c r="CG5" s="230">
        <v>1343</v>
      </c>
      <c r="CH5" s="228">
        <v>831</v>
      </c>
      <c r="CI5" s="228">
        <v>512</v>
      </c>
      <c r="CJ5" s="229">
        <v>0.6159</v>
      </c>
      <c r="CK5" s="228">
        <v>7</v>
      </c>
      <c r="CL5" s="228">
        <v>6</v>
      </c>
      <c r="CM5" s="228">
        <v>2</v>
      </c>
      <c r="CN5" s="229">
        <v>0.3115</v>
      </c>
      <c r="CO5" s="230">
        <v>1040</v>
      </c>
      <c r="CP5" s="228">
        <v>781</v>
      </c>
      <c r="CQ5" s="228">
        <v>258</v>
      </c>
      <c r="CR5" s="229">
        <v>0.33019999999999999</v>
      </c>
      <c r="CS5" s="228">
        <v>672</v>
      </c>
      <c r="CT5" s="228">
        <v>553</v>
      </c>
      <c r="CU5" s="228">
        <v>118</v>
      </c>
      <c r="CV5" s="229">
        <v>0.21390000000000001</v>
      </c>
      <c r="CW5" s="230">
        <v>4688</v>
      </c>
      <c r="CX5" s="230">
        <v>4326</v>
      </c>
      <c r="CY5" s="228">
        <v>363</v>
      </c>
      <c r="CZ5" s="229">
        <v>8.3799999999999999E-2</v>
      </c>
      <c r="DA5" s="228">
        <v>57.23</v>
      </c>
      <c r="DB5" s="228">
        <v>65.819999999999993</v>
      </c>
      <c r="DC5" s="228">
        <v>-8.59</v>
      </c>
      <c r="DD5" s="228">
        <v>-8.59</v>
      </c>
      <c r="DE5" s="228">
        <v>56.2</v>
      </c>
      <c r="DF5" s="228">
        <v>56.34</v>
      </c>
      <c r="DG5" s="228">
        <v>1.03</v>
      </c>
      <c r="DH5" s="228">
        <v>-0.14000000000000001</v>
      </c>
      <c r="DI5" s="228">
        <v>57.25</v>
      </c>
      <c r="DJ5" s="228">
        <v>65.84</v>
      </c>
      <c r="DK5" s="228">
        <v>-8.59</v>
      </c>
      <c r="DL5" s="228">
        <v>-8.59</v>
      </c>
      <c r="DM5" s="228">
        <v>57.14</v>
      </c>
      <c r="DN5" s="228">
        <v>65.73</v>
      </c>
      <c r="DO5" s="228">
        <v>-8.59</v>
      </c>
      <c r="DP5" s="228">
        <v>-8.59</v>
      </c>
      <c r="DQ5" s="228">
        <v>0.65</v>
      </c>
      <c r="DR5" s="228">
        <v>0.71</v>
      </c>
      <c r="DS5" s="228">
        <v>-0.06</v>
      </c>
      <c r="DT5" s="229">
        <v>-8.4500000000000006E-2</v>
      </c>
      <c r="DU5" s="231">
        <v>1400</v>
      </c>
      <c r="DV5" s="231">
        <v>1200</v>
      </c>
      <c r="DW5" s="228">
        <v>0.34</v>
      </c>
      <c r="DX5" s="228">
        <v>0.32</v>
      </c>
      <c r="DY5" s="228">
        <v>0.02</v>
      </c>
      <c r="DZ5" s="229">
        <v>6.25E-2</v>
      </c>
      <c r="EA5" s="229">
        <v>0.45350000000000001</v>
      </c>
      <c r="EB5" s="230">
        <v>6131700</v>
      </c>
      <c r="EC5" s="229">
        <v>4.5999999999999999E-3</v>
      </c>
      <c r="ED5" s="229">
        <v>0.45350000000000001</v>
      </c>
      <c r="EE5" s="228">
        <v>7.59</v>
      </c>
      <c r="EF5" s="229">
        <v>5.4999999999999997E-3</v>
      </c>
      <c r="EG5" s="230">
        <v>1176723</v>
      </c>
      <c r="EH5" s="230">
        <v>2701473</v>
      </c>
      <c r="EI5" s="229">
        <v>-0.56440000000000001</v>
      </c>
      <c r="EJ5" s="229">
        <v>0.27060000000000001</v>
      </c>
      <c r="EK5" s="231">
        <v>3381.58</v>
      </c>
      <c r="EL5" s="231">
        <v>1043.43</v>
      </c>
      <c r="EM5" s="231">
        <v>1596.84</v>
      </c>
      <c r="EN5" s="228">
        <v>78.67</v>
      </c>
      <c r="EO5" s="231">
        <v>6021.84</v>
      </c>
      <c r="EP5" s="231">
        <v>7672.98</v>
      </c>
      <c r="EQ5" s="231">
        <v>-1651.14</v>
      </c>
      <c r="ER5" s="229">
        <v>-0.2152</v>
      </c>
      <c r="ES5" s="228">
        <v>988.28</v>
      </c>
      <c r="ET5" s="228">
        <v>585.04999999999995</v>
      </c>
      <c r="EU5" s="231">
        <v>2983.33</v>
      </c>
      <c r="EV5" s="231">
        <v>35196587</v>
      </c>
      <c r="EW5" s="231">
        <v>4556.66</v>
      </c>
      <c r="EX5" s="231">
        <v>4179.71</v>
      </c>
      <c r="EY5" s="228">
        <v>376.95</v>
      </c>
      <c r="EZ5" s="229">
        <v>9.0200000000000002E-2</v>
      </c>
      <c r="FA5" s="229">
        <v>0.97619999999999996</v>
      </c>
      <c r="FB5" s="227" t="s">
        <v>567</v>
      </c>
      <c r="FC5">
        <f t="shared" si="0"/>
        <v>1350</v>
      </c>
    </row>
    <row r="6" spans="1:159" ht="17.25" thickBot="1" x14ac:dyDescent="0.3">
      <c r="A6" s="226">
        <v>46135</v>
      </c>
      <c r="B6" s="227" t="s">
        <v>215</v>
      </c>
      <c r="C6" s="227" t="s">
        <v>159</v>
      </c>
      <c r="D6" s="228">
        <v>309</v>
      </c>
      <c r="E6" s="228">
        <v>5</v>
      </c>
      <c r="F6" s="231">
        <v>2307.1999999999998</v>
      </c>
      <c r="G6" s="231">
        <v>2269.1999999999998</v>
      </c>
      <c r="H6" s="228">
        <v>38</v>
      </c>
      <c r="I6" s="229">
        <v>1.67E-2</v>
      </c>
      <c r="J6" s="231">
        <v>2300</v>
      </c>
      <c r="K6" s="231">
        <v>2260.8000000000002</v>
      </c>
      <c r="L6" s="228">
        <v>39.200000000000003</v>
      </c>
      <c r="M6" s="229">
        <v>1.7299999999999999E-2</v>
      </c>
      <c r="N6" s="231">
        <v>2307.1999999999998</v>
      </c>
      <c r="O6" s="231">
        <v>2269.1999999999998</v>
      </c>
      <c r="P6" s="228">
        <v>38</v>
      </c>
      <c r="Q6" s="229">
        <v>1.67E-2</v>
      </c>
      <c r="R6" s="231">
        <v>2320.1999999999998</v>
      </c>
      <c r="S6" s="231">
        <v>2277.3000000000002</v>
      </c>
      <c r="T6" s="228">
        <v>42.9</v>
      </c>
      <c r="U6" s="229">
        <v>1.8800000000000001E-2</v>
      </c>
      <c r="V6" s="231">
        <v>2328.9</v>
      </c>
      <c r="W6" s="231">
        <v>2291.3000000000002</v>
      </c>
      <c r="X6" s="228">
        <v>37.6</v>
      </c>
      <c r="Y6" s="229">
        <v>1.6400000000000001E-2</v>
      </c>
      <c r="Z6" s="228">
        <v>7.2</v>
      </c>
      <c r="AA6" s="228">
        <v>8.4</v>
      </c>
      <c r="AB6" s="228">
        <v>-1.2</v>
      </c>
      <c r="AC6" s="229">
        <v>3.0999999999999999E-3</v>
      </c>
      <c r="AD6" s="228">
        <v>7.2</v>
      </c>
      <c r="AE6" s="228">
        <v>8.4</v>
      </c>
      <c r="AF6" s="228">
        <v>-1.2</v>
      </c>
      <c r="AG6" s="229">
        <v>3.0999999999999999E-3</v>
      </c>
      <c r="AH6" s="228">
        <v>20.2</v>
      </c>
      <c r="AI6" s="228">
        <v>16.5</v>
      </c>
      <c r="AJ6" s="228">
        <v>3.7</v>
      </c>
      <c r="AK6" s="229">
        <v>8.8000000000000005E-3</v>
      </c>
      <c r="AL6" s="228">
        <v>28.9</v>
      </c>
      <c r="AM6" s="228">
        <v>30.5</v>
      </c>
      <c r="AN6" s="228">
        <v>-1.6</v>
      </c>
      <c r="AO6" s="229">
        <v>1.26E-2</v>
      </c>
      <c r="AP6" s="231">
        <v>2293.85</v>
      </c>
      <c r="AQ6" s="231">
        <v>2307.83</v>
      </c>
      <c r="AR6" s="228">
        <v>0</v>
      </c>
      <c r="AS6" s="230">
        <v>2197</v>
      </c>
      <c r="AT6" s="230">
        <v>1276</v>
      </c>
      <c r="AU6" s="228">
        <v>921</v>
      </c>
      <c r="AV6" s="229">
        <v>0.72199999999999998</v>
      </c>
      <c r="AW6" s="230">
        <v>1157</v>
      </c>
      <c r="AX6" s="228">
        <v>745</v>
      </c>
      <c r="AY6" s="228">
        <v>412</v>
      </c>
      <c r="AZ6" s="229">
        <v>0.55310000000000004</v>
      </c>
      <c r="BA6" s="230">
        <v>1020</v>
      </c>
      <c r="BB6" s="228">
        <v>518</v>
      </c>
      <c r="BC6" s="228">
        <v>501</v>
      </c>
      <c r="BD6" s="229">
        <v>0.96709999999999996</v>
      </c>
      <c r="BE6" s="228">
        <v>20</v>
      </c>
      <c r="BF6" s="228">
        <v>12</v>
      </c>
      <c r="BG6" s="228">
        <v>8</v>
      </c>
      <c r="BH6" s="229">
        <v>0.61709999999999998</v>
      </c>
      <c r="BI6" s="230">
        <v>5957</v>
      </c>
      <c r="BJ6" s="230">
        <v>3356</v>
      </c>
      <c r="BK6" s="230">
        <v>2602</v>
      </c>
      <c r="BL6" s="229">
        <v>0.7752</v>
      </c>
      <c r="BM6" s="230">
        <v>2268</v>
      </c>
      <c r="BN6" s="230">
        <v>1858</v>
      </c>
      <c r="BO6" s="228">
        <v>411</v>
      </c>
      <c r="BP6" s="229">
        <v>0.221</v>
      </c>
      <c r="BQ6" s="230">
        <v>10423</v>
      </c>
      <c r="BR6" s="230">
        <v>6490</v>
      </c>
      <c r="BS6" s="230">
        <v>3933</v>
      </c>
      <c r="BT6" s="229">
        <v>0.60609999999999997</v>
      </c>
      <c r="BU6" s="230">
        <v>3211060</v>
      </c>
      <c r="BV6" s="230">
        <v>3579892</v>
      </c>
      <c r="BW6" s="230">
        <v>-368832</v>
      </c>
      <c r="BX6" s="229">
        <v>-0.10299999999999999</v>
      </c>
      <c r="BY6" s="230">
        <v>4451</v>
      </c>
      <c r="BZ6" s="230">
        <v>4329</v>
      </c>
      <c r="CA6" s="228">
        <v>122</v>
      </c>
      <c r="CB6" s="229">
        <v>2.81E-2</v>
      </c>
      <c r="CC6" s="230">
        <v>2874</v>
      </c>
      <c r="CD6" s="230">
        <v>3464</v>
      </c>
      <c r="CE6" s="228">
        <v>-590</v>
      </c>
      <c r="CF6" s="229">
        <v>-0.1704</v>
      </c>
      <c r="CG6" s="230">
        <v>1540</v>
      </c>
      <c r="CH6" s="228">
        <v>834</v>
      </c>
      <c r="CI6" s="228">
        <v>706</v>
      </c>
      <c r="CJ6" s="229">
        <v>0.84719999999999995</v>
      </c>
      <c r="CK6" s="228">
        <v>37</v>
      </c>
      <c r="CL6" s="228">
        <v>32</v>
      </c>
      <c r="CM6" s="228">
        <v>5</v>
      </c>
      <c r="CN6" s="229">
        <v>0.1726</v>
      </c>
      <c r="CO6" s="230">
        <v>1921</v>
      </c>
      <c r="CP6" s="230">
        <v>1737</v>
      </c>
      <c r="CQ6" s="228">
        <v>184</v>
      </c>
      <c r="CR6" s="229">
        <v>0.1061</v>
      </c>
      <c r="CS6" s="230">
        <v>1682</v>
      </c>
      <c r="CT6" s="230">
        <v>1659</v>
      </c>
      <c r="CU6" s="228">
        <v>24</v>
      </c>
      <c r="CV6" s="229">
        <v>1.43E-2</v>
      </c>
      <c r="CW6" s="230">
        <v>8055</v>
      </c>
      <c r="CX6" s="230">
        <v>7725</v>
      </c>
      <c r="CY6" s="228">
        <v>330</v>
      </c>
      <c r="CZ6" s="229">
        <v>4.2700000000000002E-2</v>
      </c>
      <c r="DA6" s="228">
        <v>42.48</v>
      </c>
      <c r="DB6" s="228">
        <v>37.49</v>
      </c>
      <c r="DC6" s="228">
        <v>4.99</v>
      </c>
      <c r="DD6" s="228">
        <v>4.99</v>
      </c>
      <c r="DE6" s="228">
        <v>49.24</v>
      </c>
      <c r="DF6" s="228">
        <v>49.31</v>
      </c>
      <c r="DG6" s="228">
        <v>-6.76</v>
      </c>
      <c r="DH6" s="228">
        <v>-7.0000000000000007E-2</v>
      </c>
      <c r="DI6" s="228">
        <v>42.17</v>
      </c>
      <c r="DJ6" s="228">
        <v>35.28</v>
      </c>
      <c r="DK6" s="228">
        <v>6.89</v>
      </c>
      <c r="DL6" s="228">
        <v>6.89</v>
      </c>
      <c r="DM6" s="228">
        <v>43.28</v>
      </c>
      <c r="DN6" s="228">
        <v>41.49</v>
      </c>
      <c r="DO6" s="228">
        <v>1.79</v>
      </c>
      <c r="DP6" s="228">
        <v>1.79</v>
      </c>
      <c r="DQ6" s="228">
        <v>0.88</v>
      </c>
      <c r="DR6" s="228">
        <v>0.95</v>
      </c>
      <c r="DS6" s="228">
        <v>-7.0000000000000007E-2</v>
      </c>
      <c r="DT6" s="229">
        <v>-7.3700000000000002E-2</v>
      </c>
      <c r="DU6" s="231">
        <v>2400</v>
      </c>
      <c r="DV6" s="231">
        <v>2200</v>
      </c>
      <c r="DW6" s="228">
        <v>0.38</v>
      </c>
      <c r="DX6" s="228">
        <v>0.55000000000000004</v>
      </c>
      <c r="DY6" s="228">
        <v>-0.17</v>
      </c>
      <c r="DZ6" s="229">
        <v>-0.30909999999999999</v>
      </c>
      <c r="EA6" s="229">
        <v>0.35439999999999999</v>
      </c>
      <c r="EB6" s="230">
        <v>3751569</v>
      </c>
      <c r="EC6" s="229">
        <v>5.5999999999999999E-3</v>
      </c>
      <c r="ED6" s="229">
        <v>0.35439999999999999</v>
      </c>
      <c r="EE6" s="228">
        <v>13.98</v>
      </c>
      <c r="EF6" s="229">
        <v>6.1000000000000004E-3</v>
      </c>
      <c r="EG6" s="230">
        <v>957336</v>
      </c>
      <c r="EH6" s="230">
        <v>1649148</v>
      </c>
      <c r="EI6" s="229">
        <v>-0.41949999999999998</v>
      </c>
      <c r="EJ6" s="229">
        <v>0.29809999999999998</v>
      </c>
      <c r="EK6" s="231">
        <v>6164.16</v>
      </c>
      <c r="EL6" s="231">
        <v>2189.4499999999998</v>
      </c>
      <c r="EM6" s="231">
        <v>2190.79</v>
      </c>
      <c r="EN6" s="228">
        <v>116.01</v>
      </c>
      <c r="EO6" s="231">
        <v>10544.39</v>
      </c>
      <c r="EP6" s="231">
        <v>6393.67</v>
      </c>
      <c r="EQ6" s="231">
        <v>4150.72</v>
      </c>
      <c r="ER6" s="229">
        <v>0.6492</v>
      </c>
      <c r="ES6" s="231">
        <v>1829.36</v>
      </c>
      <c r="ET6" s="231">
        <v>1502.63</v>
      </c>
      <c r="EU6" s="231">
        <v>4460.1000000000004</v>
      </c>
      <c r="EV6" s="231">
        <v>33645895</v>
      </c>
      <c r="EW6" s="231">
        <v>7792.09</v>
      </c>
      <c r="EX6" s="231">
        <v>7362.56</v>
      </c>
      <c r="EY6" s="228">
        <v>429.53</v>
      </c>
      <c r="EZ6" s="229">
        <v>5.8299999999999998E-2</v>
      </c>
      <c r="FA6" s="229">
        <v>1.0376000000000001</v>
      </c>
      <c r="FB6" s="227" t="s">
        <v>555</v>
      </c>
      <c r="FC6">
        <f t="shared" si="0"/>
        <v>1577</v>
      </c>
    </row>
    <row r="7" spans="1:159" ht="17.25" thickBot="1" x14ac:dyDescent="0.3">
      <c r="A7" s="226">
        <v>46135</v>
      </c>
      <c r="B7" s="227" t="s">
        <v>161</v>
      </c>
      <c r="C7" s="227" t="s">
        <v>605</v>
      </c>
      <c r="D7" s="228">
        <v>600</v>
      </c>
      <c r="E7" s="228">
        <v>5</v>
      </c>
      <c r="F7" s="231">
        <v>1213.2</v>
      </c>
      <c r="G7" s="231">
        <v>1198.25</v>
      </c>
      <c r="H7" s="228">
        <v>14.95</v>
      </c>
      <c r="I7" s="229">
        <v>1.2500000000000001E-2</v>
      </c>
      <c r="J7" s="231">
        <v>1214.1500000000001</v>
      </c>
      <c r="K7" s="231">
        <v>1198.95</v>
      </c>
      <c r="L7" s="228">
        <v>15.2</v>
      </c>
      <c r="M7" s="229">
        <v>1.2699999999999999E-2</v>
      </c>
      <c r="N7" s="231">
        <v>1213.2</v>
      </c>
      <c r="O7" s="231">
        <v>1198.25</v>
      </c>
      <c r="P7" s="228">
        <v>14.95</v>
      </c>
      <c r="Q7" s="229">
        <v>1.2500000000000001E-2</v>
      </c>
      <c r="R7" s="231">
        <v>1220.05</v>
      </c>
      <c r="S7" s="231">
        <v>1205.25</v>
      </c>
      <c r="T7" s="228">
        <v>14.8</v>
      </c>
      <c r="U7" s="229">
        <v>1.23E-2</v>
      </c>
      <c r="V7" s="231">
        <v>1227.95</v>
      </c>
      <c r="W7" s="231">
        <v>1211.6500000000001</v>
      </c>
      <c r="X7" s="228">
        <v>16.3</v>
      </c>
      <c r="Y7" s="229">
        <v>1.35E-2</v>
      </c>
      <c r="Z7" s="228">
        <v>-0.95</v>
      </c>
      <c r="AA7" s="228">
        <v>-0.7</v>
      </c>
      <c r="AB7" s="228">
        <v>-0.25</v>
      </c>
      <c r="AC7" s="229">
        <v>-8.0000000000000004E-4</v>
      </c>
      <c r="AD7" s="228">
        <v>-0.95</v>
      </c>
      <c r="AE7" s="228">
        <v>-0.7</v>
      </c>
      <c r="AF7" s="228">
        <v>-0.25</v>
      </c>
      <c r="AG7" s="229">
        <v>-8.0000000000000004E-4</v>
      </c>
      <c r="AH7" s="228">
        <v>5.9</v>
      </c>
      <c r="AI7" s="228">
        <v>6.3</v>
      </c>
      <c r="AJ7" s="228">
        <v>-0.4</v>
      </c>
      <c r="AK7" s="229">
        <v>4.8999999999999998E-3</v>
      </c>
      <c r="AL7" s="228">
        <v>13.8</v>
      </c>
      <c r="AM7" s="228">
        <v>12.7</v>
      </c>
      <c r="AN7" s="228">
        <v>1.1000000000000001</v>
      </c>
      <c r="AO7" s="229">
        <v>1.14E-2</v>
      </c>
      <c r="AP7" s="231">
        <v>1213.42</v>
      </c>
      <c r="AQ7" s="231">
        <v>1221.3599999999999</v>
      </c>
      <c r="AR7" s="228">
        <v>0</v>
      </c>
      <c r="AS7" s="230">
        <v>1640</v>
      </c>
      <c r="AT7" s="230">
        <v>1127</v>
      </c>
      <c r="AU7" s="228">
        <v>514</v>
      </c>
      <c r="AV7" s="229">
        <v>0.45600000000000002</v>
      </c>
      <c r="AW7" s="228">
        <v>884</v>
      </c>
      <c r="AX7" s="228">
        <v>720</v>
      </c>
      <c r="AY7" s="228">
        <v>165</v>
      </c>
      <c r="AZ7" s="229">
        <v>0.22889999999999999</v>
      </c>
      <c r="BA7" s="228">
        <v>743</v>
      </c>
      <c r="BB7" s="228">
        <v>398</v>
      </c>
      <c r="BC7" s="228">
        <v>344</v>
      </c>
      <c r="BD7" s="229">
        <v>0.8649</v>
      </c>
      <c r="BE7" s="228">
        <v>13</v>
      </c>
      <c r="BF7" s="228">
        <v>9</v>
      </c>
      <c r="BG7" s="228">
        <v>5</v>
      </c>
      <c r="BH7" s="229">
        <v>0.52070000000000005</v>
      </c>
      <c r="BI7" s="230">
        <v>5297</v>
      </c>
      <c r="BJ7" s="230">
        <v>3624</v>
      </c>
      <c r="BK7" s="230">
        <v>1673</v>
      </c>
      <c r="BL7" s="229">
        <v>0.46150000000000002</v>
      </c>
      <c r="BM7" s="230">
        <v>1629</v>
      </c>
      <c r="BN7" s="230">
        <v>1205</v>
      </c>
      <c r="BO7" s="228">
        <v>424</v>
      </c>
      <c r="BP7" s="229">
        <v>0.35189999999999999</v>
      </c>
      <c r="BQ7" s="230">
        <v>8566</v>
      </c>
      <c r="BR7" s="230">
        <v>5955</v>
      </c>
      <c r="BS7" s="230">
        <v>2610</v>
      </c>
      <c r="BT7" s="229">
        <v>0.43830000000000002</v>
      </c>
      <c r="BU7" s="230">
        <v>7240015</v>
      </c>
      <c r="BV7" s="230">
        <v>5614814</v>
      </c>
      <c r="BW7" s="230">
        <v>1625201</v>
      </c>
      <c r="BX7" s="229">
        <v>0.28939999999999999</v>
      </c>
      <c r="BY7" s="230">
        <v>2685</v>
      </c>
      <c r="BZ7" s="230">
        <v>2623</v>
      </c>
      <c r="CA7" s="228">
        <v>62</v>
      </c>
      <c r="CB7" s="229">
        <v>2.3599999999999999E-2</v>
      </c>
      <c r="CC7" s="230">
        <v>1407</v>
      </c>
      <c r="CD7" s="230">
        <v>1893</v>
      </c>
      <c r="CE7" s="228">
        <v>-486</v>
      </c>
      <c r="CF7" s="229">
        <v>-0.25700000000000001</v>
      </c>
      <c r="CG7" s="230">
        <v>1264</v>
      </c>
      <c r="CH7" s="228">
        <v>716</v>
      </c>
      <c r="CI7" s="228">
        <v>548</v>
      </c>
      <c r="CJ7" s="229">
        <v>0.7651</v>
      </c>
      <c r="CK7" s="228">
        <v>14</v>
      </c>
      <c r="CL7" s="228">
        <v>14</v>
      </c>
      <c r="CM7" s="228">
        <v>0</v>
      </c>
      <c r="CN7" s="229">
        <v>3.2300000000000002E-2</v>
      </c>
      <c r="CO7" s="230">
        <v>1488</v>
      </c>
      <c r="CP7" s="230">
        <v>1239</v>
      </c>
      <c r="CQ7" s="228">
        <v>250</v>
      </c>
      <c r="CR7" s="229">
        <v>0.2016</v>
      </c>
      <c r="CS7" s="228">
        <v>999</v>
      </c>
      <c r="CT7" s="228">
        <v>911</v>
      </c>
      <c r="CU7" s="228">
        <v>88</v>
      </c>
      <c r="CV7" s="229">
        <v>9.64E-2</v>
      </c>
      <c r="CW7" s="230">
        <v>5172</v>
      </c>
      <c r="CX7" s="230">
        <v>4772</v>
      </c>
      <c r="CY7" s="228">
        <v>400</v>
      </c>
      <c r="CZ7" s="229">
        <v>8.3699999999999997E-2</v>
      </c>
      <c r="DA7" s="228">
        <v>56.88</v>
      </c>
      <c r="DB7" s="228">
        <v>54.35</v>
      </c>
      <c r="DC7" s="228">
        <v>2.5299999999999998</v>
      </c>
      <c r="DD7" s="228">
        <v>2.5299999999999998</v>
      </c>
      <c r="DE7" s="228">
        <v>59.03</v>
      </c>
      <c r="DF7" s="228">
        <v>59.16</v>
      </c>
      <c r="DG7" s="228">
        <v>-2.15</v>
      </c>
      <c r="DH7" s="228">
        <v>-0.13</v>
      </c>
      <c r="DI7" s="228">
        <v>56.98</v>
      </c>
      <c r="DJ7" s="228">
        <v>53.7</v>
      </c>
      <c r="DK7" s="228">
        <v>3.28</v>
      </c>
      <c r="DL7" s="228">
        <v>3.28</v>
      </c>
      <c r="DM7" s="228">
        <v>56.48</v>
      </c>
      <c r="DN7" s="228">
        <v>56.31</v>
      </c>
      <c r="DO7" s="228">
        <v>0.17</v>
      </c>
      <c r="DP7" s="228">
        <v>0.17</v>
      </c>
      <c r="DQ7" s="228">
        <v>0.67</v>
      </c>
      <c r="DR7" s="228">
        <v>0.74</v>
      </c>
      <c r="DS7" s="228">
        <v>-7.0000000000000007E-2</v>
      </c>
      <c r="DT7" s="229">
        <v>-9.4600000000000004E-2</v>
      </c>
      <c r="DU7" s="231">
        <v>1200</v>
      </c>
      <c r="DV7" s="231">
        <v>1100</v>
      </c>
      <c r="DW7" s="228">
        <v>0.31</v>
      </c>
      <c r="DX7" s="228">
        <v>0.33</v>
      </c>
      <c r="DY7" s="228">
        <v>-0.02</v>
      </c>
      <c r="DZ7" s="229">
        <v>-6.0600000000000001E-2</v>
      </c>
      <c r="EA7" s="229">
        <v>0.47610000000000002</v>
      </c>
      <c r="EB7" s="230">
        <v>6015000</v>
      </c>
      <c r="EC7" s="229">
        <v>5.5999999999999999E-3</v>
      </c>
      <c r="ED7" s="229">
        <v>0.47610000000000002</v>
      </c>
      <c r="EE7" s="228">
        <v>7.94</v>
      </c>
      <c r="EF7" s="229">
        <v>6.4999999999999997E-3</v>
      </c>
      <c r="EG7" s="230">
        <v>1562115</v>
      </c>
      <c r="EH7" s="230">
        <v>1743199</v>
      </c>
      <c r="EI7" s="229">
        <v>-0.10390000000000001</v>
      </c>
      <c r="EJ7" s="229">
        <v>0.21579999999999999</v>
      </c>
      <c r="EK7" s="231">
        <v>5593.05</v>
      </c>
      <c r="EL7" s="231">
        <v>1594.96</v>
      </c>
      <c r="EM7" s="231">
        <v>1645.71</v>
      </c>
      <c r="EN7" s="228">
        <v>100.2</v>
      </c>
      <c r="EO7" s="231">
        <v>8833.7199999999993</v>
      </c>
      <c r="EP7" s="231">
        <v>5944.33</v>
      </c>
      <c r="EQ7" s="231">
        <v>2889.39</v>
      </c>
      <c r="ER7" s="229">
        <v>0.48609999999999998</v>
      </c>
      <c r="ES7" s="231">
        <v>1391.58</v>
      </c>
      <c r="ET7" s="228">
        <v>866.52</v>
      </c>
      <c r="EU7" s="231">
        <v>2692.02</v>
      </c>
      <c r="EV7" s="231">
        <v>64724093</v>
      </c>
      <c r="EW7" s="231">
        <v>4950.12</v>
      </c>
      <c r="EX7" s="231">
        <v>4490.4799999999996</v>
      </c>
      <c r="EY7" s="228">
        <v>459.64</v>
      </c>
      <c r="EZ7" s="229">
        <v>0.1024</v>
      </c>
      <c r="FA7" s="229">
        <v>0.65859999999999996</v>
      </c>
      <c r="FB7" s="227" t="s">
        <v>555</v>
      </c>
      <c r="FC7">
        <f t="shared" si="0"/>
        <v>1278</v>
      </c>
    </row>
    <row r="8" spans="1:159" ht="17.25" thickBot="1" x14ac:dyDescent="0.3">
      <c r="A8" s="226">
        <v>46135</v>
      </c>
      <c r="B8" s="227" t="s">
        <v>215</v>
      </c>
      <c r="C8" s="227" t="s">
        <v>160</v>
      </c>
      <c r="D8" s="228">
        <v>475</v>
      </c>
      <c r="E8" s="228">
        <v>5</v>
      </c>
      <c r="F8" s="231">
        <v>1599.8</v>
      </c>
      <c r="G8" s="231">
        <v>1591</v>
      </c>
      <c r="H8" s="228">
        <v>8.8000000000000007</v>
      </c>
      <c r="I8" s="229">
        <v>5.4999999999999997E-3</v>
      </c>
      <c r="J8" s="231">
        <v>1602.9</v>
      </c>
      <c r="K8" s="231">
        <v>1588.6</v>
      </c>
      <c r="L8" s="228">
        <v>14.3</v>
      </c>
      <c r="M8" s="229">
        <v>8.9999999999999993E-3</v>
      </c>
      <c r="N8" s="231">
        <v>1599.8</v>
      </c>
      <c r="O8" s="231">
        <v>1591</v>
      </c>
      <c r="P8" s="228">
        <v>8.8000000000000007</v>
      </c>
      <c r="Q8" s="229">
        <v>5.4999999999999997E-3</v>
      </c>
      <c r="R8" s="231">
        <v>1608.6</v>
      </c>
      <c r="S8" s="231">
        <v>1599.5</v>
      </c>
      <c r="T8" s="228">
        <v>9.1</v>
      </c>
      <c r="U8" s="229">
        <v>5.7000000000000002E-3</v>
      </c>
      <c r="V8" s="231">
        <v>1613.9</v>
      </c>
      <c r="W8" s="231">
        <v>1604.6</v>
      </c>
      <c r="X8" s="228">
        <v>9.3000000000000007</v>
      </c>
      <c r="Y8" s="229">
        <v>5.7999999999999996E-3</v>
      </c>
      <c r="Z8" s="228">
        <v>-3.1</v>
      </c>
      <c r="AA8" s="228">
        <v>2.4</v>
      </c>
      <c r="AB8" s="228">
        <v>-5.5</v>
      </c>
      <c r="AC8" s="229">
        <v>-1.9E-3</v>
      </c>
      <c r="AD8" s="228">
        <v>-3.1</v>
      </c>
      <c r="AE8" s="228">
        <v>2.4</v>
      </c>
      <c r="AF8" s="228">
        <v>-5.5</v>
      </c>
      <c r="AG8" s="229">
        <v>-1.9E-3</v>
      </c>
      <c r="AH8" s="228">
        <v>5.7</v>
      </c>
      <c r="AI8" s="228">
        <v>10.9</v>
      </c>
      <c r="AJ8" s="228">
        <v>-5.2</v>
      </c>
      <c r="AK8" s="229">
        <v>3.5999999999999999E-3</v>
      </c>
      <c r="AL8" s="228">
        <v>11</v>
      </c>
      <c r="AM8" s="228">
        <v>16</v>
      </c>
      <c r="AN8" s="228">
        <v>-5</v>
      </c>
      <c r="AO8" s="229">
        <v>6.8999999999999999E-3</v>
      </c>
      <c r="AP8" s="231">
        <v>1596.21</v>
      </c>
      <c r="AQ8" s="231">
        <v>1605.04</v>
      </c>
      <c r="AR8" s="228">
        <v>0</v>
      </c>
      <c r="AS8" s="230">
        <v>1724</v>
      </c>
      <c r="AT8" s="228">
        <v>530</v>
      </c>
      <c r="AU8" s="230">
        <v>1194</v>
      </c>
      <c r="AV8" s="229">
        <v>2.2505000000000002</v>
      </c>
      <c r="AW8" s="228">
        <v>887</v>
      </c>
      <c r="AX8" s="228">
        <v>320</v>
      </c>
      <c r="AY8" s="228">
        <v>568</v>
      </c>
      <c r="AZ8" s="229">
        <v>1.7766999999999999</v>
      </c>
      <c r="BA8" s="228">
        <v>824</v>
      </c>
      <c r="BB8" s="228">
        <v>193</v>
      </c>
      <c r="BC8" s="228">
        <v>631</v>
      </c>
      <c r="BD8" s="229">
        <v>3.2722000000000002</v>
      </c>
      <c r="BE8" s="228">
        <v>12</v>
      </c>
      <c r="BF8" s="228">
        <v>18</v>
      </c>
      <c r="BG8" s="228">
        <v>-6</v>
      </c>
      <c r="BH8" s="229">
        <v>-0.32050000000000001</v>
      </c>
      <c r="BI8" s="230">
        <v>2416</v>
      </c>
      <c r="BJ8" s="230">
        <v>1981</v>
      </c>
      <c r="BK8" s="228">
        <v>435</v>
      </c>
      <c r="BL8" s="229">
        <v>0.2198</v>
      </c>
      <c r="BM8" s="230">
        <v>1400</v>
      </c>
      <c r="BN8" s="230">
        <v>1190</v>
      </c>
      <c r="BO8" s="228">
        <v>209</v>
      </c>
      <c r="BP8" s="229">
        <v>0.1757</v>
      </c>
      <c r="BQ8" s="230">
        <v>5540</v>
      </c>
      <c r="BR8" s="230">
        <v>3701</v>
      </c>
      <c r="BS8" s="230">
        <v>1838</v>
      </c>
      <c r="BT8" s="229">
        <v>0.49659999999999999</v>
      </c>
      <c r="BU8" s="230">
        <v>2548131</v>
      </c>
      <c r="BV8" s="230">
        <v>2065514</v>
      </c>
      <c r="BW8" s="230">
        <v>482617</v>
      </c>
      <c r="BX8" s="229">
        <v>0.23369999999999999</v>
      </c>
      <c r="BY8" s="230">
        <v>3231</v>
      </c>
      <c r="BZ8" s="230">
        <v>3201</v>
      </c>
      <c r="CA8" s="228">
        <v>30</v>
      </c>
      <c r="CB8" s="229">
        <v>9.4000000000000004E-3</v>
      </c>
      <c r="CC8" s="230">
        <v>1947</v>
      </c>
      <c r="CD8" s="230">
        <v>2540</v>
      </c>
      <c r="CE8" s="228">
        <v>-593</v>
      </c>
      <c r="CF8" s="229">
        <v>-0.23350000000000001</v>
      </c>
      <c r="CG8" s="230">
        <v>1244</v>
      </c>
      <c r="CH8" s="228">
        <v>627</v>
      </c>
      <c r="CI8" s="228">
        <v>617</v>
      </c>
      <c r="CJ8" s="229">
        <v>0.98380000000000001</v>
      </c>
      <c r="CK8" s="228">
        <v>40</v>
      </c>
      <c r="CL8" s="228">
        <v>34</v>
      </c>
      <c r="CM8" s="228">
        <v>6</v>
      </c>
      <c r="CN8" s="229">
        <v>0.1767</v>
      </c>
      <c r="CO8" s="230">
        <v>1651</v>
      </c>
      <c r="CP8" s="230">
        <v>1668</v>
      </c>
      <c r="CQ8" s="228">
        <v>-17</v>
      </c>
      <c r="CR8" s="229">
        <v>-1.03E-2</v>
      </c>
      <c r="CS8" s="230">
        <v>1404</v>
      </c>
      <c r="CT8" s="230">
        <v>1457</v>
      </c>
      <c r="CU8" s="228">
        <v>-53</v>
      </c>
      <c r="CV8" s="229">
        <v>-3.6200000000000003E-2</v>
      </c>
      <c r="CW8" s="230">
        <v>6286</v>
      </c>
      <c r="CX8" s="230">
        <v>6326</v>
      </c>
      <c r="CY8" s="228">
        <v>-40</v>
      </c>
      <c r="CZ8" s="229">
        <v>-6.3E-3</v>
      </c>
      <c r="DA8" s="228">
        <v>35.31</v>
      </c>
      <c r="DB8" s="228">
        <v>32.08</v>
      </c>
      <c r="DC8" s="228">
        <v>3.23</v>
      </c>
      <c r="DD8" s="228">
        <v>3.23</v>
      </c>
      <c r="DE8" s="228">
        <v>39.94</v>
      </c>
      <c r="DF8" s="228">
        <v>40.03</v>
      </c>
      <c r="DG8" s="228">
        <v>-4.63</v>
      </c>
      <c r="DH8" s="228">
        <v>-0.09</v>
      </c>
      <c r="DI8" s="228">
        <v>34.35</v>
      </c>
      <c r="DJ8" s="228">
        <v>30.83</v>
      </c>
      <c r="DK8" s="228">
        <v>3.52</v>
      </c>
      <c r="DL8" s="228">
        <v>3.52</v>
      </c>
      <c r="DM8" s="228">
        <v>37.409999999999997</v>
      </c>
      <c r="DN8" s="228">
        <v>34.14</v>
      </c>
      <c r="DO8" s="228">
        <v>3.27</v>
      </c>
      <c r="DP8" s="228">
        <v>3.27</v>
      </c>
      <c r="DQ8" s="228">
        <v>0.85</v>
      </c>
      <c r="DR8" s="228">
        <v>0.87</v>
      </c>
      <c r="DS8" s="228">
        <v>-0.02</v>
      </c>
      <c r="DT8" s="229">
        <v>-2.3E-2</v>
      </c>
      <c r="DU8" s="231">
        <v>1500</v>
      </c>
      <c r="DV8" s="231">
        <v>1500</v>
      </c>
      <c r="DW8" s="228">
        <v>0.57999999999999996</v>
      </c>
      <c r="DX8" s="228">
        <v>0.6</v>
      </c>
      <c r="DY8" s="228">
        <v>-0.02</v>
      </c>
      <c r="DZ8" s="229">
        <v>-3.3300000000000003E-2</v>
      </c>
      <c r="EA8" s="229">
        <v>0.39750000000000002</v>
      </c>
      <c r="EB8" s="230">
        <v>4132975</v>
      </c>
      <c r="EC8" s="229">
        <v>5.4999999999999997E-3</v>
      </c>
      <c r="ED8" s="229">
        <v>0.39750000000000002</v>
      </c>
      <c r="EE8" s="228">
        <v>8.83</v>
      </c>
      <c r="EF8" s="229">
        <v>5.4999999999999997E-3</v>
      </c>
      <c r="EG8" s="230">
        <v>1204101</v>
      </c>
      <c r="EH8" s="230">
        <v>865597</v>
      </c>
      <c r="EI8" s="229">
        <v>0.3911</v>
      </c>
      <c r="EJ8" s="229">
        <v>0.47249999999999998</v>
      </c>
      <c r="EK8" s="231">
        <v>2492.54</v>
      </c>
      <c r="EL8" s="231">
        <v>1353.6</v>
      </c>
      <c r="EM8" s="231">
        <v>1724.63</v>
      </c>
      <c r="EN8" s="228">
        <v>79.95</v>
      </c>
      <c r="EO8" s="231">
        <v>5570.77</v>
      </c>
      <c r="EP8" s="231">
        <v>3718.89</v>
      </c>
      <c r="EQ8" s="231">
        <v>1851.88</v>
      </c>
      <c r="ER8" s="229">
        <v>0.498</v>
      </c>
      <c r="ES8" s="231">
        <v>1610.97</v>
      </c>
      <c r="ET8" s="231">
        <v>1287.6300000000001</v>
      </c>
      <c r="EU8" s="231">
        <v>3238.16</v>
      </c>
      <c r="EV8" s="231">
        <v>88142691</v>
      </c>
      <c r="EW8" s="231">
        <v>6136.76</v>
      </c>
      <c r="EX8" s="231">
        <v>6144.97</v>
      </c>
      <c r="EY8" s="228">
        <v>-8.2100000000000009</v>
      </c>
      <c r="EZ8" s="229">
        <v>-1.2999999999999999E-3</v>
      </c>
      <c r="FA8" s="229">
        <v>0.44579999999999997</v>
      </c>
      <c r="FB8" s="227" t="s">
        <v>555</v>
      </c>
      <c r="FC8">
        <f t="shared" si="0"/>
        <v>1284</v>
      </c>
    </row>
    <row r="9" spans="1:159" ht="17.25" thickBot="1" x14ac:dyDescent="0.3">
      <c r="A9" s="226">
        <v>46135</v>
      </c>
      <c r="B9" s="227" t="s">
        <v>161</v>
      </c>
      <c r="C9" s="227" t="s">
        <v>695</v>
      </c>
      <c r="D9" s="228">
        <v>3550</v>
      </c>
      <c r="E9" s="228">
        <v>5</v>
      </c>
      <c r="F9" s="228">
        <v>214.22</v>
      </c>
      <c r="G9" s="228">
        <v>215.39</v>
      </c>
      <c r="H9" s="228">
        <v>-1.17</v>
      </c>
      <c r="I9" s="229">
        <v>-5.4000000000000003E-3</v>
      </c>
      <c r="J9" s="228">
        <v>214.18</v>
      </c>
      <c r="K9" s="228">
        <v>215.65</v>
      </c>
      <c r="L9" s="228">
        <v>-1.47</v>
      </c>
      <c r="M9" s="229">
        <v>-6.7999999999999996E-3</v>
      </c>
      <c r="N9" s="228">
        <v>214.22</v>
      </c>
      <c r="O9" s="228">
        <v>215.39</v>
      </c>
      <c r="P9" s="228">
        <v>-1.17</v>
      </c>
      <c r="Q9" s="229">
        <v>-5.4000000000000003E-3</v>
      </c>
      <c r="R9" s="228">
        <v>215.39</v>
      </c>
      <c r="S9" s="228">
        <v>216.27</v>
      </c>
      <c r="T9" s="228">
        <v>-0.88</v>
      </c>
      <c r="U9" s="229">
        <v>-4.1000000000000003E-3</v>
      </c>
      <c r="V9" s="228">
        <v>216.35</v>
      </c>
      <c r="W9" s="228">
        <v>217.51</v>
      </c>
      <c r="X9" s="228">
        <v>-1.1599999999999999</v>
      </c>
      <c r="Y9" s="229">
        <v>-5.3E-3</v>
      </c>
      <c r="Z9" s="228">
        <v>0.04</v>
      </c>
      <c r="AA9" s="228">
        <v>-0.26</v>
      </c>
      <c r="AB9" s="228">
        <v>0.3</v>
      </c>
      <c r="AC9" s="229">
        <v>2.0000000000000001E-4</v>
      </c>
      <c r="AD9" s="228">
        <v>0.04</v>
      </c>
      <c r="AE9" s="228">
        <v>-0.26</v>
      </c>
      <c r="AF9" s="228">
        <v>0.3</v>
      </c>
      <c r="AG9" s="229">
        <v>2.0000000000000001E-4</v>
      </c>
      <c r="AH9" s="228">
        <v>1.21</v>
      </c>
      <c r="AI9" s="228">
        <v>0.62</v>
      </c>
      <c r="AJ9" s="228">
        <v>0.59</v>
      </c>
      <c r="AK9" s="229">
        <v>5.5999999999999999E-3</v>
      </c>
      <c r="AL9" s="228">
        <v>2.17</v>
      </c>
      <c r="AM9" s="228">
        <v>1.86</v>
      </c>
      <c r="AN9" s="228">
        <v>0.31</v>
      </c>
      <c r="AO9" s="229">
        <v>1.01E-2</v>
      </c>
      <c r="AP9" s="228">
        <v>215</v>
      </c>
      <c r="AQ9" s="228">
        <v>216.18</v>
      </c>
      <c r="AR9" s="228">
        <v>0</v>
      </c>
      <c r="AS9" s="230">
        <v>1046</v>
      </c>
      <c r="AT9" s="230">
        <v>1218</v>
      </c>
      <c r="AU9" s="228">
        <v>-172</v>
      </c>
      <c r="AV9" s="229">
        <v>-0.1414</v>
      </c>
      <c r="AW9" s="228">
        <v>548</v>
      </c>
      <c r="AX9" s="228">
        <v>836</v>
      </c>
      <c r="AY9" s="228">
        <v>-288</v>
      </c>
      <c r="AZ9" s="229">
        <v>-0.34420000000000001</v>
      </c>
      <c r="BA9" s="228">
        <v>490</v>
      </c>
      <c r="BB9" s="228">
        <v>362</v>
      </c>
      <c r="BC9" s="228">
        <v>128</v>
      </c>
      <c r="BD9" s="229">
        <v>0.35189999999999999</v>
      </c>
      <c r="BE9" s="228">
        <v>8</v>
      </c>
      <c r="BF9" s="228">
        <v>20</v>
      </c>
      <c r="BG9" s="228">
        <v>-12</v>
      </c>
      <c r="BH9" s="229">
        <v>-0.60770000000000002</v>
      </c>
      <c r="BI9" s="230">
        <v>1629</v>
      </c>
      <c r="BJ9" s="230">
        <v>4365</v>
      </c>
      <c r="BK9" s="230">
        <v>-2736</v>
      </c>
      <c r="BL9" s="229">
        <v>-0.62680000000000002</v>
      </c>
      <c r="BM9" s="228">
        <v>784</v>
      </c>
      <c r="BN9" s="230">
        <v>1428</v>
      </c>
      <c r="BO9" s="228">
        <v>-644</v>
      </c>
      <c r="BP9" s="229">
        <v>-0.45079999999999998</v>
      </c>
      <c r="BQ9" s="230">
        <v>3459</v>
      </c>
      <c r="BR9" s="230">
        <v>7011</v>
      </c>
      <c r="BS9" s="230">
        <v>-3552</v>
      </c>
      <c r="BT9" s="229">
        <v>-0.50660000000000005</v>
      </c>
      <c r="BU9" s="230">
        <v>62133838</v>
      </c>
      <c r="BV9" s="230">
        <v>124527175</v>
      </c>
      <c r="BW9" s="230">
        <v>-62393337</v>
      </c>
      <c r="BX9" s="229">
        <v>-0.501</v>
      </c>
      <c r="BY9" s="230">
        <v>1780</v>
      </c>
      <c r="BZ9" s="230">
        <v>1791</v>
      </c>
      <c r="CA9" s="228">
        <v>-11</v>
      </c>
      <c r="CB9" s="229">
        <v>-6.4000000000000003E-3</v>
      </c>
      <c r="CC9" s="230">
        <v>1210</v>
      </c>
      <c r="CD9" s="230">
        <v>1456</v>
      </c>
      <c r="CE9" s="228">
        <v>-245</v>
      </c>
      <c r="CF9" s="229">
        <v>-0.16850000000000001</v>
      </c>
      <c r="CG9" s="228">
        <v>553</v>
      </c>
      <c r="CH9" s="228">
        <v>320</v>
      </c>
      <c r="CI9" s="228">
        <v>232</v>
      </c>
      <c r="CJ9" s="229">
        <v>0.72609999999999997</v>
      </c>
      <c r="CK9" s="228">
        <v>17</v>
      </c>
      <c r="CL9" s="228">
        <v>16</v>
      </c>
      <c r="CM9" s="228">
        <v>1</v>
      </c>
      <c r="CN9" s="229">
        <v>8.6999999999999994E-2</v>
      </c>
      <c r="CO9" s="228">
        <v>858</v>
      </c>
      <c r="CP9" s="228">
        <v>796</v>
      </c>
      <c r="CQ9" s="228">
        <v>62</v>
      </c>
      <c r="CR9" s="229">
        <v>7.8299999999999995E-2</v>
      </c>
      <c r="CS9" s="228">
        <v>676</v>
      </c>
      <c r="CT9" s="228">
        <v>688</v>
      </c>
      <c r="CU9" s="228">
        <v>-12</v>
      </c>
      <c r="CV9" s="229">
        <v>-1.7299999999999999E-2</v>
      </c>
      <c r="CW9" s="230">
        <v>3314</v>
      </c>
      <c r="CX9" s="230">
        <v>3275</v>
      </c>
      <c r="CY9" s="228">
        <v>39</v>
      </c>
      <c r="CZ9" s="229">
        <v>1.1900000000000001E-2</v>
      </c>
      <c r="DA9" s="228">
        <v>65.67</v>
      </c>
      <c r="DB9" s="228">
        <v>60.6</v>
      </c>
      <c r="DC9" s="228">
        <v>5.07</v>
      </c>
      <c r="DD9" s="228">
        <v>5.07</v>
      </c>
      <c r="DE9" s="228">
        <v>52.82</v>
      </c>
      <c r="DF9" s="228">
        <v>52.95</v>
      </c>
      <c r="DG9" s="228">
        <v>12.85</v>
      </c>
      <c r="DH9" s="228">
        <v>-0.13</v>
      </c>
      <c r="DI9" s="228">
        <v>65.73</v>
      </c>
      <c r="DJ9" s="228">
        <v>60</v>
      </c>
      <c r="DK9" s="228">
        <v>5.73</v>
      </c>
      <c r="DL9" s="228">
        <v>5.73</v>
      </c>
      <c r="DM9" s="228">
        <v>65.569999999999993</v>
      </c>
      <c r="DN9" s="228">
        <v>62.42</v>
      </c>
      <c r="DO9" s="228">
        <v>3.15</v>
      </c>
      <c r="DP9" s="228">
        <v>3.15</v>
      </c>
      <c r="DQ9" s="228">
        <v>0.79</v>
      </c>
      <c r="DR9" s="228">
        <v>0.86</v>
      </c>
      <c r="DS9" s="228">
        <v>-7.0000000000000007E-2</v>
      </c>
      <c r="DT9" s="229">
        <v>-8.14E-2</v>
      </c>
      <c r="DU9" s="228">
        <v>220</v>
      </c>
      <c r="DV9" s="228">
        <v>200</v>
      </c>
      <c r="DW9" s="228">
        <v>0.48</v>
      </c>
      <c r="DX9" s="228">
        <v>0.33</v>
      </c>
      <c r="DY9" s="228">
        <v>0.15</v>
      </c>
      <c r="DZ9" s="229">
        <v>0.45450000000000002</v>
      </c>
      <c r="EA9" s="229">
        <v>0.3201</v>
      </c>
      <c r="EB9" s="230">
        <v>15680350</v>
      </c>
      <c r="EC9" s="229">
        <v>5.4999999999999997E-3</v>
      </c>
      <c r="ED9" s="229">
        <v>0.3201</v>
      </c>
      <c r="EE9" s="228">
        <v>1.18</v>
      </c>
      <c r="EF9" s="229">
        <v>5.4999999999999997E-3</v>
      </c>
      <c r="EG9" s="230">
        <v>14682363</v>
      </c>
      <c r="EH9" s="230">
        <v>32252818</v>
      </c>
      <c r="EI9" s="229">
        <v>-0.54479999999999995</v>
      </c>
      <c r="EJ9" s="229">
        <v>0.23630000000000001</v>
      </c>
      <c r="EK9" s="231">
        <v>1727.11</v>
      </c>
      <c r="EL9" s="228">
        <v>753.57</v>
      </c>
      <c r="EM9" s="231">
        <v>1052.4100000000001</v>
      </c>
      <c r="EN9" s="228">
        <v>133.94</v>
      </c>
      <c r="EO9" s="231">
        <v>3533.08</v>
      </c>
      <c r="EP9" s="231">
        <v>7097.18</v>
      </c>
      <c r="EQ9" s="231">
        <v>-3564.1</v>
      </c>
      <c r="ER9" s="229">
        <v>-0.50219999999999998</v>
      </c>
      <c r="ES9" s="228">
        <v>821.53</v>
      </c>
      <c r="ET9" s="228">
        <v>593.09</v>
      </c>
      <c r="EU9" s="231">
        <v>1783.25</v>
      </c>
      <c r="EV9" s="231">
        <v>482906787</v>
      </c>
      <c r="EW9" s="231">
        <v>3197.87</v>
      </c>
      <c r="EX9" s="231">
        <v>3151.66</v>
      </c>
      <c r="EY9" s="228">
        <v>46.21</v>
      </c>
      <c r="EZ9" s="229">
        <v>1.47E-2</v>
      </c>
      <c r="FA9" s="229">
        <v>0.32029999999999997</v>
      </c>
      <c r="FB9" s="227" t="s">
        <v>567</v>
      </c>
      <c r="FC9">
        <f t="shared" si="0"/>
        <v>570</v>
      </c>
    </row>
    <row r="10" spans="1:159" ht="17.25" thickBot="1" x14ac:dyDescent="0.3">
      <c r="A10" s="226">
        <v>46135</v>
      </c>
      <c r="B10" s="227" t="s">
        <v>170</v>
      </c>
      <c r="C10" s="227" t="s">
        <v>497</v>
      </c>
      <c r="D10" s="228">
        <v>125</v>
      </c>
      <c r="E10" s="228">
        <v>5</v>
      </c>
      <c r="F10" s="231">
        <v>5511</v>
      </c>
      <c r="G10" s="231">
        <v>5599.5</v>
      </c>
      <c r="H10" s="228">
        <v>-88.5</v>
      </c>
      <c r="I10" s="229">
        <v>-1.5800000000000002E-2</v>
      </c>
      <c r="J10" s="231">
        <v>5520.5</v>
      </c>
      <c r="K10" s="231">
        <v>5627</v>
      </c>
      <c r="L10" s="228">
        <v>-106.5</v>
      </c>
      <c r="M10" s="229">
        <v>-1.89E-2</v>
      </c>
      <c r="N10" s="231">
        <v>5511</v>
      </c>
      <c r="O10" s="231">
        <v>5599.5</v>
      </c>
      <c r="P10" s="228">
        <v>-88.5</v>
      </c>
      <c r="Q10" s="229">
        <v>-1.5800000000000002E-2</v>
      </c>
      <c r="R10" s="231">
        <v>5532.5</v>
      </c>
      <c r="S10" s="231">
        <v>5623.5</v>
      </c>
      <c r="T10" s="228">
        <v>-91</v>
      </c>
      <c r="U10" s="229">
        <v>-1.6199999999999999E-2</v>
      </c>
      <c r="V10" s="231">
        <v>5550</v>
      </c>
      <c r="W10" s="231">
        <v>5595</v>
      </c>
      <c r="X10" s="228">
        <v>-45</v>
      </c>
      <c r="Y10" s="229">
        <v>-8.0000000000000002E-3</v>
      </c>
      <c r="Z10" s="228">
        <v>-9.5</v>
      </c>
      <c r="AA10" s="228">
        <v>-27.5</v>
      </c>
      <c r="AB10" s="228">
        <v>18</v>
      </c>
      <c r="AC10" s="229">
        <v>-1.6999999999999999E-3</v>
      </c>
      <c r="AD10" s="228">
        <v>-9.5</v>
      </c>
      <c r="AE10" s="228">
        <v>-27.5</v>
      </c>
      <c r="AF10" s="228">
        <v>18</v>
      </c>
      <c r="AG10" s="229">
        <v>-1.6999999999999999E-3</v>
      </c>
      <c r="AH10" s="228">
        <v>12</v>
      </c>
      <c r="AI10" s="228">
        <v>-3.5</v>
      </c>
      <c r="AJ10" s="228">
        <v>15.5</v>
      </c>
      <c r="AK10" s="229">
        <v>2.2000000000000001E-3</v>
      </c>
      <c r="AL10" s="228">
        <v>29.5</v>
      </c>
      <c r="AM10" s="228">
        <v>-32</v>
      </c>
      <c r="AN10" s="228">
        <v>61.5</v>
      </c>
      <c r="AO10" s="229">
        <v>5.3E-3</v>
      </c>
      <c r="AP10" s="231">
        <v>5488.29</v>
      </c>
      <c r="AQ10" s="231">
        <v>5505.89</v>
      </c>
      <c r="AR10" s="228">
        <v>0</v>
      </c>
      <c r="AS10" s="228">
        <v>613</v>
      </c>
      <c r="AT10" s="228">
        <v>197</v>
      </c>
      <c r="AU10" s="228">
        <v>416</v>
      </c>
      <c r="AV10" s="229">
        <v>2.1112000000000002</v>
      </c>
      <c r="AW10" s="228">
        <v>361</v>
      </c>
      <c r="AX10" s="228">
        <v>159</v>
      </c>
      <c r="AY10" s="228">
        <v>202</v>
      </c>
      <c r="AZ10" s="229">
        <v>1.2681</v>
      </c>
      <c r="BA10" s="228">
        <v>252</v>
      </c>
      <c r="BB10" s="228">
        <v>38</v>
      </c>
      <c r="BC10" s="228">
        <v>214</v>
      </c>
      <c r="BD10" s="229">
        <v>5.6647999999999996</v>
      </c>
      <c r="BE10" s="228">
        <v>0</v>
      </c>
      <c r="BF10" s="228">
        <v>0</v>
      </c>
      <c r="BG10" s="228">
        <v>0</v>
      </c>
      <c r="BH10" s="229">
        <v>0</v>
      </c>
      <c r="BI10" s="228">
        <v>473</v>
      </c>
      <c r="BJ10" s="228">
        <v>362</v>
      </c>
      <c r="BK10" s="228">
        <v>111</v>
      </c>
      <c r="BL10" s="229">
        <v>0.30830000000000002</v>
      </c>
      <c r="BM10" s="228">
        <v>257</v>
      </c>
      <c r="BN10" s="228">
        <v>199</v>
      </c>
      <c r="BO10" s="228">
        <v>58</v>
      </c>
      <c r="BP10" s="229">
        <v>0.29249999999999998</v>
      </c>
      <c r="BQ10" s="230">
        <v>1343</v>
      </c>
      <c r="BR10" s="228">
        <v>758</v>
      </c>
      <c r="BS10" s="228">
        <v>586</v>
      </c>
      <c r="BT10" s="229">
        <v>0.77300000000000002</v>
      </c>
      <c r="BU10" s="230">
        <v>165661</v>
      </c>
      <c r="BV10" s="230">
        <v>202250</v>
      </c>
      <c r="BW10" s="230">
        <v>-36589</v>
      </c>
      <c r="BX10" s="229">
        <v>-0.18090000000000001</v>
      </c>
      <c r="BY10" s="228">
        <v>682</v>
      </c>
      <c r="BZ10" s="228">
        <v>646</v>
      </c>
      <c r="CA10" s="228">
        <v>35</v>
      </c>
      <c r="CB10" s="229">
        <v>5.4699999999999999E-2</v>
      </c>
      <c r="CC10" s="228">
        <v>449</v>
      </c>
      <c r="CD10" s="228">
        <v>620</v>
      </c>
      <c r="CE10" s="228">
        <v>-170</v>
      </c>
      <c r="CF10" s="229">
        <v>-0.27450000000000002</v>
      </c>
      <c r="CG10" s="228">
        <v>232</v>
      </c>
      <c r="CH10" s="228">
        <v>27</v>
      </c>
      <c r="CI10" s="228">
        <v>205</v>
      </c>
      <c r="CJ10" s="229">
        <v>7.7428999999999997</v>
      </c>
      <c r="CK10" s="228">
        <v>0</v>
      </c>
      <c r="CL10" s="228">
        <v>0</v>
      </c>
      <c r="CM10" s="228">
        <v>0</v>
      </c>
      <c r="CN10" s="229">
        <v>0.5</v>
      </c>
      <c r="CO10" s="228">
        <v>179</v>
      </c>
      <c r="CP10" s="228">
        <v>181</v>
      </c>
      <c r="CQ10" s="228">
        <v>-2</v>
      </c>
      <c r="CR10" s="229">
        <v>-9.9000000000000008E-3</v>
      </c>
      <c r="CS10" s="228">
        <v>124</v>
      </c>
      <c r="CT10" s="228">
        <v>136</v>
      </c>
      <c r="CU10" s="228">
        <v>-12</v>
      </c>
      <c r="CV10" s="229">
        <v>-8.9899999999999994E-2</v>
      </c>
      <c r="CW10" s="228">
        <v>985</v>
      </c>
      <c r="CX10" s="228">
        <v>963</v>
      </c>
      <c r="CY10" s="228">
        <v>21</v>
      </c>
      <c r="CZ10" s="229">
        <v>2.2100000000000002E-2</v>
      </c>
      <c r="DA10" s="228">
        <v>30.67</v>
      </c>
      <c r="DB10" s="228">
        <v>26.3</v>
      </c>
      <c r="DC10" s="228">
        <v>4.37</v>
      </c>
      <c r="DD10" s="228">
        <v>4.37</v>
      </c>
      <c r="DE10" s="228">
        <v>28.47</v>
      </c>
      <c r="DF10" s="228">
        <v>28.46</v>
      </c>
      <c r="DG10" s="228">
        <v>2.2000000000000002</v>
      </c>
      <c r="DH10" s="228">
        <v>0.01</v>
      </c>
      <c r="DI10" s="228">
        <v>29.56</v>
      </c>
      <c r="DJ10" s="228">
        <v>26.39</v>
      </c>
      <c r="DK10" s="228">
        <v>3.17</v>
      </c>
      <c r="DL10" s="228">
        <v>3.17</v>
      </c>
      <c r="DM10" s="228">
        <v>31.46</v>
      </c>
      <c r="DN10" s="228">
        <v>26.12</v>
      </c>
      <c r="DO10" s="228">
        <v>5.34</v>
      </c>
      <c r="DP10" s="228">
        <v>5.34</v>
      </c>
      <c r="DQ10" s="228">
        <v>0.69</v>
      </c>
      <c r="DR10" s="228">
        <v>0.75</v>
      </c>
      <c r="DS10" s="228">
        <v>-0.06</v>
      </c>
      <c r="DT10" s="229">
        <v>-0.08</v>
      </c>
      <c r="DU10" s="231">
        <v>5800</v>
      </c>
      <c r="DV10" s="231">
        <v>5650</v>
      </c>
      <c r="DW10" s="228">
        <v>0.54</v>
      </c>
      <c r="DX10" s="228">
        <v>0.55000000000000004</v>
      </c>
      <c r="DY10" s="228">
        <v>-0.01</v>
      </c>
      <c r="DZ10" s="229">
        <v>-1.8200000000000001E-2</v>
      </c>
      <c r="EA10" s="229">
        <v>0.34050000000000002</v>
      </c>
      <c r="EB10" s="230">
        <v>48375</v>
      </c>
      <c r="EC10" s="229">
        <v>3.8999999999999998E-3</v>
      </c>
      <c r="ED10" s="229">
        <v>0.34050000000000002</v>
      </c>
      <c r="EE10" s="228">
        <v>17.600000000000001</v>
      </c>
      <c r="EF10" s="229">
        <v>3.2000000000000002E-3</v>
      </c>
      <c r="EG10" s="230">
        <v>80289</v>
      </c>
      <c r="EH10" s="230">
        <v>111603</v>
      </c>
      <c r="EI10" s="229">
        <v>-0.28060000000000002</v>
      </c>
      <c r="EJ10" s="229">
        <v>0.48470000000000002</v>
      </c>
      <c r="EK10" s="228">
        <v>489.13</v>
      </c>
      <c r="EL10" s="228">
        <v>253.37</v>
      </c>
      <c r="EM10" s="228">
        <v>611.24</v>
      </c>
      <c r="EN10" s="228">
        <v>16.010000000000002</v>
      </c>
      <c r="EO10" s="231">
        <v>1353.74</v>
      </c>
      <c r="EP10" s="228">
        <v>785.03</v>
      </c>
      <c r="EQ10" s="228">
        <v>568.71</v>
      </c>
      <c r="ER10" s="229">
        <v>0.72440000000000004</v>
      </c>
      <c r="ES10" s="228">
        <v>183.68</v>
      </c>
      <c r="ET10" s="228">
        <v>121.28</v>
      </c>
      <c r="EU10" s="228">
        <v>682.41</v>
      </c>
      <c r="EV10" s="231">
        <v>5873365</v>
      </c>
      <c r="EW10" s="228">
        <v>987.37</v>
      </c>
      <c r="EX10" s="228">
        <v>976.07</v>
      </c>
      <c r="EY10" s="228">
        <v>11.3</v>
      </c>
      <c r="EZ10" s="229">
        <v>1.1599999999999999E-2</v>
      </c>
      <c r="FA10" s="229">
        <v>0.30420000000000003</v>
      </c>
      <c r="FB10" s="227" t="s">
        <v>566</v>
      </c>
      <c r="FC10">
        <f t="shared" si="0"/>
        <v>233</v>
      </c>
    </row>
    <row r="11" spans="1:159" ht="17.25" thickBot="1" x14ac:dyDescent="0.3">
      <c r="A11" s="226">
        <v>46135</v>
      </c>
      <c r="B11" s="227" t="s">
        <v>184</v>
      </c>
      <c r="C11" s="227" t="s">
        <v>679</v>
      </c>
      <c r="D11" s="228">
        <v>100</v>
      </c>
      <c r="E11" s="228">
        <v>5</v>
      </c>
      <c r="F11" s="231">
        <v>7817</v>
      </c>
      <c r="G11" s="231">
        <v>7807</v>
      </c>
      <c r="H11" s="228">
        <v>10</v>
      </c>
      <c r="I11" s="229">
        <v>1.2999999999999999E-3</v>
      </c>
      <c r="J11" s="231">
        <v>7795</v>
      </c>
      <c r="K11" s="231">
        <v>7803.5</v>
      </c>
      <c r="L11" s="228">
        <v>-8.5</v>
      </c>
      <c r="M11" s="229">
        <v>-1.1000000000000001E-3</v>
      </c>
      <c r="N11" s="231">
        <v>7817</v>
      </c>
      <c r="O11" s="231">
        <v>7807</v>
      </c>
      <c r="P11" s="228">
        <v>10</v>
      </c>
      <c r="Q11" s="229">
        <v>1.2999999999999999E-3</v>
      </c>
      <c r="R11" s="231">
        <v>7716.5</v>
      </c>
      <c r="S11" s="231">
        <v>7737</v>
      </c>
      <c r="T11" s="228">
        <v>-20.5</v>
      </c>
      <c r="U11" s="229">
        <v>-2.5999999999999999E-3</v>
      </c>
      <c r="V11" s="231">
        <v>7660</v>
      </c>
      <c r="W11" s="231">
        <v>7710</v>
      </c>
      <c r="X11" s="228">
        <v>-50</v>
      </c>
      <c r="Y11" s="229">
        <v>-6.4999999999999997E-3</v>
      </c>
      <c r="Z11" s="228">
        <v>22</v>
      </c>
      <c r="AA11" s="228">
        <v>3.5</v>
      </c>
      <c r="AB11" s="228">
        <v>18.5</v>
      </c>
      <c r="AC11" s="229">
        <v>2.8E-3</v>
      </c>
      <c r="AD11" s="228">
        <v>22</v>
      </c>
      <c r="AE11" s="228">
        <v>3.5</v>
      </c>
      <c r="AF11" s="228">
        <v>18.5</v>
      </c>
      <c r="AG11" s="229">
        <v>2.8E-3</v>
      </c>
      <c r="AH11" s="228">
        <v>-78.5</v>
      </c>
      <c r="AI11" s="228">
        <v>-66.5</v>
      </c>
      <c r="AJ11" s="228">
        <v>-12</v>
      </c>
      <c r="AK11" s="229">
        <v>-1.01E-2</v>
      </c>
      <c r="AL11" s="228">
        <v>-135</v>
      </c>
      <c r="AM11" s="228">
        <v>-93.5</v>
      </c>
      <c r="AN11" s="228">
        <v>-41.5</v>
      </c>
      <c r="AO11" s="229">
        <v>-1.7299999999999999E-2</v>
      </c>
      <c r="AP11" s="231">
        <v>7798</v>
      </c>
      <c r="AQ11" s="231">
        <v>7706.56</v>
      </c>
      <c r="AR11" s="228">
        <v>0</v>
      </c>
      <c r="AS11" s="228">
        <v>829</v>
      </c>
      <c r="AT11" s="228">
        <v>230</v>
      </c>
      <c r="AU11" s="228">
        <v>599</v>
      </c>
      <c r="AV11" s="229">
        <v>2.6120999999999999</v>
      </c>
      <c r="AW11" s="228">
        <v>452</v>
      </c>
      <c r="AX11" s="228">
        <v>164</v>
      </c>
      <c r="AY11" s="228">
        <v>288</v>
      </c>
      <c r="AZ11" s="229">
        <v>1.756</v>
      </c>
      <c r="BA11" s="228">
        <v>376</v>
      </c>
      <c r="BB11" s="228">
        <v>65</v>
      </c>
      <c r="BC11" s="228">
        <v>312</v>
      </c>
      <c r="BD11" s="229">
        <v>4.8209999999999997</v>
      </c>
      <c r="BE11" s="228">
        <v>1</v>
      </c>
      <c r="BF11" s="228">
        <v>1</v>
      </c>
      <c r="BG11" s="228">
        <v>0</v>
      </c>
      <c r="BH11" s="229">
        <v>-0.18179999999999999</v>
      </c>
      <c r="BI11" s="230">
        <v>1024</v>
      </c>
      <c r="BJ11" s="230">
        <v>1054</v>
      </c>
      <c r="BK11" s="228">
        <v>-30</v>
      </c>
      <c r="BL11" s="229">
        <v>-2.87E-2</v>
      </c>
      <c r="BM11" s="228">
        <v>644</v>
      </c>
      <c r="BN11" s="228">
        <v>549</v>
      </c>
      <c r="BO11" s="228">
        <v>95</v>
      </c>
      <c r="BP11" s="229">
        <v>0.1739</v>
      </c>
      <c r="BQ11" s="230">
        <v>2497</v>
      </c>
      <c r="BR11" s="230">
        <v>1832</v>
      </c>
      <c r="BS11" s="228">
        <v>665</v>
      </c>
      <c r="BT11" s="229">
        <v>0.36270000000000002</v>
      </c>
      <c r="BU11" s="230">
        <v>171657</v>
      </c>
      <c r="BV11" s="230">
        <v>223557</v>
      </c>
      <c r="BW11" s="230">
        <v>-51900</v>
      </c>
      <c r="BX11" s="229">
        <v>-0.23219999999999999</v>
      </c>
      <c r="BY11" s="230">
        <v>1019</v>
      </c>
      <c r="BZ11" s="230">
        <v>1074</v>
      </c>
      <c r="CA11" s="228">
        <v>-54</v>
      </c>
      <c r="CB11" s="229">
        <v>-5.0700000000000002E-2</v>
      </c>
      <c r="CC11" s="228">
        <v>664</v>
      </c>
      <c r="CD11" s="228">
        <v>902</v>
      </c>
      <c r="CE11" s="228">
        <v>-238</v>
      </c>
      <c r="CF11" s="229">
        <v>-0.26369999999999999</v>
      </c>
      <c r="CG11" s="228">
        <v>346</v>
      </c>
      <c r="CH11" s="228">
        <v>163</v>
      </c>
      <c r="CI11" s="228">
        <v>183</v>
      </c>
      <c r="CJ11" s="229">
        <v>1.1248</v>
      </c>
      <c r="CK11" s="228">
        <v>9</v>
      </c>
      <c r="CL11" s="228">
        <v>9</v>
      </c>
      <c r="CM11" s="228">
        <v>0</v>
      </c>
      <c r="CN11" s="229">
        <v>1.7500000000000002E-2</v>
      </c>
      <c r="CO11" s="228">
        <v>691</v>
      </c>
      <c r="CP11" s="228">
        <v>714</v>
      </c>
      <c r="CQ11" s="228">
        <v>-23</v>
      </c>
      <c r="CR11" s="229">
        <v>-3.2500000000000001E-2</v>
      </c>
      <c r="CS11" s="228">
        <v>537</v>
      </c>
      <c r="CT11" s="228">
        <v>531</v>
      </c>
      <c r="CU11" s="228">
        <v>5</v>
      </c>
      <c r="CV11" s="229">
        <v>1.0200000000000001E-2</v>
      </c>
      <c r="CW11" s="230">
        <v>2246</v>
      </c>
      <c r="CX11" s="230">
        <v>2319</v>
      </c>
      <c r="CY11" s="228">
        <v>-72</v>
      </c>
      <c r="CZ11" s="229">
        <v>-3.1199999999999999E-2</v>
      </c>
      <c r="DA11" s="228">
        <v>48.01</v>
      </c>
      <c r="DB11" s="228">
        <v>38.57</v>
      </c>
      <c r="DC11" s="228">
        <v>9.44</v>
      </c>
      <c r="DD11" s="228">
        <v>9.44</v>
      </c>
      <c r="DE11" s="228">
        <v>53.83</v>
      </c>
      <c r="DF11" s="228">
        <v>53.96</v>
      </c>
      <c r="DG11" s="228">
        <v>-5.82</v>
      </c>
      <c r="DH11" s="228">
        <v>-0.13</v>
      </c>
      <c r="DI11" s="228">
        <v>48.29</v>
      </c>
      <c r="DJ11" s="228">
        <v>38.22</v>
      </c>
      <c r="DK11" s="228">
        <v>10.07</v>
      </c>
      <c r="DL11" s="228">
        <v>10.07</v>
      </c>
      <c r="DM11" s="228">
        <v>47.65</v>
      </c>
      <c r="DN11" s="228">
        <v>39.25</v>
      </c>
      <c r="DO11" s="228">
        <v>8.4</v>
      </c>
      <c r="DP11" s="228">
        <v>8.4</v>
      </c>
      <c r="DQ11" s="228">
        <v>0.78</v>
      </c>
      <c r="DR11" s="228">
        <v>0.74</v>
      </c>
      <c r="DS11" s="228">
        <v>0.04</v>
      </c>
      <c r="DT11" s="229">
        <v>5.4100000000000002E-2</v>
      </c>
      <c r="DU11" s="231">
        <v>8000</v>
      </c>
      <c r="DV11" s="231">
        <v>7000</v>
      </c>
      <c r="DW11" s="228">
        <v>0.63</v>
      </c>
      <c r="DX11" s="228">
        <v>0.52</v>
      </c>
      <c r="DY11" s="228">
        <v>0.11</v>
      </c>
      <c r="DZ11" s="229">
        <v>0.21149999999999999</v>
      </c>
      <c r="EA11" s="229">
        <v>0.34839999999999999</v>
      </c>
      <c r="EB11" s="230">
        <v>219700</v>
      </c>
      <c r="EC11" s="229">
        <v>-1.29E-2</v>
      </c>
      <c r="ED11" s="229">
        <v>0.34839999999999999</v>
      </c>
      <c r="EE11" s="228">
        <v>-91.44</v>
      </c>
      <c r="EF11" s="229">
        <v>-1.17E-2</v>
      </c>
      <c r="EG11" s="230">
        <v>31331</v>
      </c>
      <c r="EH11" s="230">
        <v>74448</v>
      </c>
      <c r="EI11" s="229">
        <v>-0.57920000000000005</v>
      </c>
      <c r="EJ11" s="229">
        <v>0.1825</v>
      </c>
      <c r="EK11" s="231">
        <v>1062.56</v>
      </c>
      <c r="EL11" s="228">
        <v>620.19000000000005</v>
      </c>
      <c r="EM11" s="228">
        <v>822.57</v>
      </c>
      <c r="EN11" s="228">
        <v>43.75</v>
      </c>
      <c r="EO11" s="231">
        <v>2505.31</v>
      </c>
      <c r="EP11" s="231">
        <v>1862.76</v>
      </c>
      <c r="EQ11" s="228">
        <v>642.54999999999995</v>
      </c>
      <c r="ER11" s="229">
        <v>0.34489999999999998</v>
      </c>
      <c r="ES11" s="228">
        <v>690.17</v>
      </c>
      <c r="ET11" s="228">
        <v>486.65</v>
      </c>
      <c r="EU11" s="231">
        <v>1014.47</v>
      </c>
      <c r="EV11" s="231">
        <v>3260820</v>
      </c>
      <c r="EW11" s="231">
        <v>2191.29</v>
      </c>
      <c r="EX11" s="231">
        <v>2265.6</v>
      </c>
      <c r="EY11" s="228">
        <v>-74.31</v>
      </c>
      <c r="EZ11" s="229">
        <v>-3.2800000000000003E-2</v>
      </c>
      <c r="FA11" s="229">
        <v>0.88129999999999997</v>
      </c>
      <c r="FB11" s="227" t="s">
        <v>693</v>
      </c>
      <c r="FC11">
        <f t="shared" si="0"/>
        <v>355</v>
      </c>
    </row>
    <row r="12" spans="1:159" ht="17.25" thickBot="1" x14ac:dyDescent="0.3">
      <c r="A12" s="226">
        <v>46135</v>
      </c>
      <c r="B12" s="227" t="s">
        <v>157</v>
      </c>
      <c r="C12" s="227" t="s">
        <v>164</v>
      </c>
      <c r="D12" s="228">
        <v>1050</v>
      </c>
      <c r="E12" s="228">
        <v>5</v>
      </c>
      <c r="F12" s="228">
        <v>449.75</v>
      </c>
      <c r="G12" s="228">
        <v>461.45</v>
      </c>
      <c r="H12" s="228">
        <v>-11.7</v>
      </c>
      <c r="I12" s="229">
        <v>-2.5399999999999999E-2</v>
      </c>
      <c r="J12" s="228">
        <v>450.4</v>
      </c>
      <c r="K12" s="228">
        <v>460.9</v>
      </c>
      <c r="L12" s="228">
        <v>-10.5</v>
      </c>
      <c r="M12" s="229">
        <v>-2.2800000000000001E-2</v>
      </c>
      <c r="N12" s="228">
        <v>449.75</v>
      </c>
      <c r="O12" s="228">
        <v>461.45</v>
      </c>
      <c r="P12" s="228">
        <v>-11.7</v>
      </c>
      <c r="Q12" s="229">
        <v>-2.5399999999999999E-2</v>
      </c>
      <c r="R12" s="228">
        <v>452.2</v>
      </c>
      <c r="S12" s="228">
        <v>463.9</v>
      </c>
      <c r="T12" s="228">
        <v>-11.7</v>
      </c>
      <c r="U12" s="229">
        <v>-2.52E-2</v>
      </c>
      <c r="V12" s="228">
        <v>453.75</v>
      </c>
      <c r="W12" s="228">
        <v>465.75</v>
      </c>
      <c r="X12" s="228">
        <v>-12</v>
      </c>
      <c r="Y12" s="229">
        <v>-2.58E-2</v>
      </c>
      <c r="Z12" s="228">
        <v>-0.65</v>
      </c>
      <c r="AA12" s="228">
        <v>0.55000000000000004</v>
      </c>
      <c r="AB12" s="228">
        <v>-1.2</v>
      </c>
      <c r="AC12" s="229">
        <v>-1.4E-3</v>
      </c>
      <c r="AD12" s="228">
        <v>-0.65</v>
      </c>
      <c r="AE12" s="228">
        <v>0.55000000000000004</v>
      </c>
      <c r="AF12" s="228">
        <v>-1.2</v>
      </c>
      <c r="AG12" s="229">
        <v>-1.4E-3</v>
      </c>
      <c r="AH12" s="228">
        <v>1.8</v>
      </c>
      <c r="AI12" s="228">
        <v>3</v>
      </c>
      <c r="AJ12" s="228">
        <v>-1.2</v>
      </c>
      <c r="AK12" s="229">
        <v>4.0000000000000001E-3</v>
      </c>
      <c r="AL12" s="228">
        <v>3.35</v>
      </c>
      <c r="AM12" s="228">
        <v>4.8499999999999996</v>
      </c>
      <c r="AN12" s="228">
        <v>-1.5</v>
      </c>
      <c r="AO12" s="229">
        <v>7.4000000000000003E-3</v>
      </c>
      <c r="AP12" s="228">
        <v>451.53</v>
      </c>
      <c r="AQ12" s="228">
        <v>454.01</v>
      </c>
      <c r="AR12" s="228">
        <v>0</v>
      </c>
      <c r="AS12" s="230">
        <v>1204</v>
      </c>
      <c r="AT12" s="230">
        <v>1056</v>
      </c>
      <c r="AU12" s="228">
        <v>148</v>
      </c>
      <c r="AV12" s="229">
        <v>0.14019999999999999</v>
      </c>
      <c r="AW12" s="228">
        <v>624</v>
      </c>
      <c r="AX12" s="228">
        <v>572</v>
      </c>
      <c r="AY12" s="228">
        <v>51</v>
      </c>
      <c r="AZ12" s="229">
        <v>8.9399999999999993E-2</v>
      </c>
      <c r="BA12" s="228">
        <v>574</v>
      </c>
      <c r="BB12" s="228">
        <v>481</v>
      </c>
      <c r="BC12" s="228">
        <v>93</v>
      </c>
      <c r="BD12" s="229">
        <v>0.19370000000000001</v>
      </c>
      <c r="BE12" s="228">
        <v>6</v>
      </c>
      <c r="BF12" s="228">
        <v>3</v>
      </c>
      <c r="BG12" s="228">
        <v>4</v>
      </c>
      <c r="BH12" s="229">
        <v>1.3684000000000001</v>
      </c>
      <c r="BI12" s="228">
        <v>441</v>
      </c>
      <c r="BJ12" s="228">
        <v>542</v>
      </c>
      <c r="BK12" s="228">
        <v>-101</v>
      </c>
      <c r="BL12" s="229">
        <v>-0.187</v>
      </c>
      <c r="BM12" s="228">
        <v>159</v>
      </c>
      <c r="BN12" s="228">
        <v>261</v>
      </c>
      <c r="BO12" s="228">
        <v>-102</v>
      </c>
      <c r="BP12" s="229">
        <v>-0.39200000000000002</v>
      </c>
      <c r="BQ12" s="230">
        <v>1804</v>
      </c>
      <c r="BR12" s="230">
        <v>1860</v>
      </c>
      <c r="BS12" s="228">
        <v>-56</v>
      </c>
      <c r="BT12" s="229">
        <v>-0.03</v>
      </c>
      <c r="BU12" s="230">
        <v>2513457</v>
      </c>
      <c r="BV12" s="230">
        <v>1567881</v>
      </c>
      <c r="BW12" s="230">
        <v>945576</v>
      </c>
      <c r="BX12" s="229">
        <v>0.60309999999999997</v>
      </c>
      <c r="BY12" s="230">
        <v>2723</v>
      </c>
      <c r="BZ12" s="230">
        <v>2713</v>
      </c>
      <c r="CA12" s="228">
        <v>10</v>
      </c>
      <c r="CB12" s="229">
        <v>3.5000000000000001E-3</v>
      </c>
      <c r="CC12" s="230">
        <v>1301</v>
      </c>
      <c r="CD12" s="230">
        <v>1771</v>
      </c>
      <c r="CE12" s="228">
        <v>-470</v>
      </c>
      <c r="CF12" s="229">
        <v>-0.26519999999999999</v>
      </c>
      <c r="CG12" s="230">
        <v>1409</v>
      </c>
      <c r="CH12" s="228">
        <v>933</v>
      </c>
      <c r="CI12" s="228">
        <v>476</v>
      </c>
      <c r="CJ12" s="229">
        <v>0.50980000000000003</v>
      </c>
      <c r="CK12" s="228">
        <v>13</v>
      </c>
      <c r="CL12" s="228">
        <v>9</v>
      </c>
      <c r="CM12" s="228">
        <v>4</v>
      </c>
      <c r="CN12" s="229">
        <v>0.37809999999999999</v>
      </c>
      <c r="CO12" s="228">
        <v>477</v>
      </c>
      <c r="CP12" s="228">
        <v>442</v>
      </c>
      <c r="CQ12" s="228">
        <v>36</v>
      </c>
      <c r="CR12" s="229">
        <v>8.1199999999999994E-2</v>
      </c>
      <c r="CS12" s="228">
        <v>400</v>
      </c>
      <c r="CT12" s="228">
        <v>409</v>
      </c>
      <c r="CU12" s="228">
        <v>-9</v>
      </c>
      <c r="CV12" s="229">
        <v>-2.1299999999999999E-2</v>
      </c>
      <c r="CW12" s="230">
        <v>3601</v>
      </c>
      <c r="CX12" s="230">
        <v>3564</v>
      </c>
      <c r="CY12" s="228">
        <v>37</v>
      </c>
      <c r="CZ12" s="229">
        <v>1.03E-2</v>
      </c>
      <c r="DA12" s="228">
        <v>34.74</v>
      </c>
      <c r="DB12" s="228">
        <v>34.83</v>
      </c>
      <c r="DC12" s="228">
        <v>-0.09</v>
      </c>
      <c r="DD12" s="228">
        <v>-0.09</v>
      </c>
      <c r="DE12" s="228">
        <v>36.630000000000003</v>
      </c>
      <c r="DF12" s="228">
        <v>36.56</v>
      </c>
      <c r="DG12" s="228">
        <v>-1.89</v>
      </c>
      <c r="DH12" s="228">
        <v>7.0000000000000007E-2</v>
      </c>
      <c r="DI12" s="228">
        <v>35.270000000000003</v>
      </c>
      <c r="DJ12" s="228">
        <v>33.119999999999997</v>
      </c>
      <c r="DK12" s="228">
        <v>2.15</v>
      </c>
      <c r="DL12" s="228">
        <v>2.15</v>
      </c>
      <c r="DM12" s="228">
        <v>33.340000000000003</v>
      </c>
      <c r="DN12" s="228">
        <v>38.380000000000003</v>
      </c>
      <c r="DO12" s="228">
        <v>-5.04</v>
      </c>
      <c r="DP12" s="228">
        <v>-5.04</v>
      </c>
      <c r="DQ12" s="228">
        <v>0.84</v>
      </c>
      <c r="DR12" s="228">
        <v>0.93</v>
      </c>
      <c r="DS12" s="228">
        <v>-0.09</v>
      </c>
      <c r="DT12" s="229">
        <v>-9.6799999999999997E-2</v>
      </c>
      <c r="DU12" s="228">
        <v>500</v>
      </c>
      <c r="DV12" s="228">
        <v>540</v>
      </c>
      <c r="DW12" s="228">
        <v>0.36</v>
      </c>
      <c r="DX12" s="228">
        <v>0.48</v>
      </c>
      <c r="DY12" s="228">
        <v>-0.12</v>
      </c>
      <c r="DZ12" s="229">
        <v>-0.25</v>
      </c>
      <c r="EA12" s="229">
        <v>0.5222</v>
      </c>
      <c r="EB12" s="230">
        <v>20958000</v>
      </c>
      <c r="EC12" s="229">
        <v>5.4000000000000003E-3</v>
      </c>
      <c r="ED12" s="229">
        <v>0.5222</v>
      </c>
      <c r="EE12" s="228">
        <v>2.48</v>
      </c>
      <c r="EF12" s="229">
        <v>5.4999999999999997E-3</v>
      </c>
      <c r="EG12" s="230">
        <v>1095535</v>
      </c>
      <c r="EH12" s="230">
        <v>567306</v>
      </c>
      <c r="EI12" s="229">
        <v>0.93110000000000004</v>
      </c>
      <c r="EJ12" s="229">
        <v>0.43590000000000001</v>
      </c>
      <c r="EK12" s="228">
        <v>464.55</v>
      </c>
      <c r="EL12" s="228">
        <v>163.61000000000001</v>
      </c>
      <c r="EM12" s="231">
        <v>1212.2</v>
      </c>
      <c r="EN12" s="228">
        <v>83.62</v>
      </c>
      <c r="EO12" s="231">
        <v>1840.36</v>
      </c>
      <c r="EP12" s="231">
        <v>1928.73</v>
      </c>
      <c r="EQ12" s="228">
        <v>-88.37</v>
      </c>
      <c r="ER12" s="229">
        <v>-4.58E-2</v>
      </c>
      <c r="ES12" s="228">
        <v>490.05</v>
      </c>
      <c r="ET12" s="228">
        <v>411.27</v>
      </c>
      <c r="EU12" s="231">
        <v>2730.81</v>
      </c>
      <c r="EV12" s="231">
        <v>97233107</v>
      </c>
      <c r="EW12" s="231">
        <v>3632.13</v>
      </c>
      <c r="EX12" s="231">
        <v>3661.51</v>
      </c>
      <c r="EY12" s="228">
        <v>-29.38</v>
      </c>
      <c r="EZ12" s="229">
        <v>-8.0000000000000002E-3</v>
      </c>
      <c r="FA12" s="229">
        <v>0.82340000000000002</v>
      </c>
      <c r="FB12" s="227" t="s">
        <v>566</v>
      </c>
      <c r="FC12">
        <f t="shared" si="0"/>
        <v>1422</v>
      </c>
    </row>
    <row r="13" spans="1:159" ht="17.25" thickBot="1" x14ac:dyDescent="0.3">
      <c r="A13" s="226">
        <v>46135</v>
      </c>
      <c r="B13" s="227" t="s">
        <v>175</v>
      </c>
      <c r="C13" s="227" t="s">
        <v>608</v>
      </c>
      <c r="D13" s="228">
        <v>2500</v>
      </c>
      <c r="E13" s="228">
        <v>5</v>
      </c>
      <c r="F13" s="228">
        <v>321.87</v>
      </c>
      <c r="G13" s="228">
        <v>329.19</v>
      </c>
      <c r="H13" s="228">
        <v>-7.32</v>
      </c>
      <c r="I13" s="229">
        <v>-2.2200000000000001E-2</v>
      </c>
      <c r="J13" s="228">
        <v>321.20999999999998</v>
      </c>
      <c r="K13" s="228">
        <v>328.59</v>
      </c>
      <c r="L13" s="228">
        <v>-7.38</v>
      </c>
      <c r="M13" s="229">
        <v>-2.2499999999999999E-2</v>
      </c>
      <c r="N13" s="228">
        <v>321.87</v>
      </c>
      <c r="O13" s="228">
        <v>329.19</v>
      </c>
      <c r="P13" s="228">
        <v>-7.32</v>
      </c>
      <c r="Q13" s="229">
        <v>-2.2200000000000001E-2</v>
      </c>
      <c r="R13" s="228">
        <v>320.83</v>
      </c>
      <c r="S13" s="228">
        <v>324.58</v>
      </c>
      <c r="T13" s="228">
        <v>-3.75</v>
      </c>
      <c r="U13" s="229">
        <v>-1.1599999999999999E-2</v>
      </c>
      <c r="V13" s="228">
        <v>319.32</v>
      </c>
      <c r="W13" s="228">
        <v>322.08999999999997</v>
      </c>
      <c r="X13" s="228">
        <v>-2.77</v>
      </c>
      <c r="Y13" s="229">
        <v>-8.6E-3</v>
      </c>
      <c r="Z13" s="228">
        <v>0.66</v>
      </c>
      <c r="AA13" s="228">
        <v>0.6</v>
      </c>
      <c r="AB13" s="228">
        <v>0.06</v>
      </c>
      <c r="AC13" s="229">
        <v>2.0999999999999999E-3</v>
      </c>
      <c r="AD13" s="228">
        <v>0.66</v>
      </c>
      <c r="AE13" s="228">
        <v>0.6</v>
      </c>
      <c r="AF13" s="228">
        <v>0.06</v>
      </c>
      <c r="AG13" s="229">
        <v>2.0999999999999999E-3</v>
      </c>
      <c r="AH13" s="228">
        <v>-0.38</v>
      </c>
      <c r="AI13" s="228">
        <v>-4.01</v>
      </c>
      <c r="AJ13" s="228">
        <v>3.63</v>
      </c>
      <c r="AK13" s="229">
        <v>-1.1999999999999999E-3</v>
      </c>
      <c r="AL13" s="228">
        <v>-1.89</v>
      </c>
      <c r="AM13" s="228">
        <v>-6.5</v>
      </c>
      <c r="AN13" s="228">
        <v>4.6100000000000003</v>
      </c>
      <c r="AO13" s="229">
        <v>-5.8999999999999999E-3</v>
      </c>
      <c r="AP13" s="228">
        <v>324.55</v>
      </c>
      <c r="AQ13" s="228">
        <v>322.61</v>
      </c>
      <c r="AR13" s="228">
        <v>0</v>
      </c>
      <c r="AS13" s="228">
        <v>831</v>
      </c>
      <c r="AT13" s="228">
        <v>304</v>
      </c>
      <c r="AU13" s="228">
        <v>527</v>
      </c>
      <c r="AV13" s="229">
        <v>1.7305999999999999</v>
      </c>
      <c r="AW13" s="228">
        <v>464</v>
      </c>
      <c r="AX13" s="228">
        <v>215</v>
      </c>
      <c r="AY13" s="228">
        <v>250</v>
      </c>
      <c r="AZ13" s="229">
        <v>1.1638999999999999</v>
      </c>
      <c r="BA13" s="228">
        <v>361</v>
      </c>
      <c r="BB13" s="228">
        <v>82</v>
      </c>
      <c r="BC13" s="228">
        <v>279</v>
      </c>
      <c r="BD13" s="229">
        <v>3.4230999999999998</v>
      </c>
      <c r="BE13" s="228">
        <v>6</v>
      </c>
      <c r="BF13" s="228">
        <v>8</v>
      </c>
      <c r="BG13" s="228">
        <v>-2</v>
      </c>
      <c r="BH13" s="229">
        <v>-0.29699999999999999</v>
      </c>
      <c r="BI13" s="230">
        <v>1113</v>
      </c>
      <c r="BJ13" s="230">
        <v>1698</v>
      </c>
      <c r="BK13" s="228">
        <v>-586</v>
      </c>
      <c r="BL13" s="229">
        <v>-0.3448</v>
      </c>
      <c r="BM13" s="230">
        <v>1078</v>
      </c>
      <c r="BN13" s="230">
        <v>1163</v>
      </c>
      <c r="BO13" s="228">
        <v>-85</v>
      </c>
      <c r="BP13" s="229">
        <v>-7.3400000000000007E-2</v>
      </c>
      <c r="BQ13" s="230">
        <v>3022</v>
      </c>
      <c r="BR13" s="230">
        <v>3166</v>
      </c>
      <c r="BS13" s="228">
        <v>-144</v>
      </c>
      <c r="BT13" s="229">
        <v>-4.5600000000000002E-2</v>
      </c>
      <c r="BU13" s="230">
        <v>6840920</v>
      </c>
      <c r="BV13" s="230">
        <v>11882954</v>
      </c>
      <c r="BW13" s="230">
        <v>-5042034</v>
      </c>
      <c r="BX13" s="229">
        <v>-0.42430000000000001</v>
      </c>
      <c r="BY13" s="228">
        <v>880</v>
      </c>
      <c r="BZ13" s="228">
        <v>929</v>
      </c>
      <c r="CA13" s="228">
        <v>-49</v>
      </c>
      <c r="CB13" s="229">
        <v>-5.2200000000000003E-2</v>
      </c>
      <c r="CC13" s="228">
        <v>521</v>
      </c>
      <c r="CD13" s="228">
        <v>732</v>
      </c>
      <c r="CE13" s="228">
        <v>-211</v>
      </c>
      <c r="CF13" s="229">
        <v>-0.28889999999999999</v>
      </c>
      <c r="CG13" s="228">
        <v>345</v>
      </c>
      <c r="CH13" s="228">
        <v>181</v>
      </c>
      <c r="CI13" s="228">
        <v>164</v>
      </c>
      <c r="CJ13" s="229">
        <v>0.90239999999999998</v>
      </c>
      <c r="CK13" s="228">
        <v>14</v>
      </c>
      <c r="CL13" s="228">
        <v>15</v>
      </c>
      <c r="CM13" s="228">
        <v>-1</v>
      </c>
      <c r="CN13" s="229">
        <v>-5.3199999999999997E-2</v>
      </c>
      <c r="CO13" s="228">
        <v>964</v>
      </c>
      <c r="CP13" s="228">
        <v>996</v>
      </c>
      <c r="CQ13" s="228">
        <v>-33</v>
      </c>
      <c r="CR13" s="229">
        <v>-3.27E-2</v>
      </c>
      <c r="CS13" s="228">
        <v>985</v>
      </c>
      <c r="CT13" s="230">
        <v>1124</v>
      </c>
      <c r="CU13" s="228">
        <v>-138</v>
      </c>
      <c r="CV13" s="229">
        <v>-0.1232</v>
      </c>
      <c r="CW13" s="230">
        <v>2829</v>
      </c>
      <c r="CX13" s="230">
        <v>3049</v>
      </c>
      <c r="CY13" s="228">
        <v>-220</v>
      </c>
      <c r="CZ13" s="229">
        <v>-7.1999999999999995E-2</v>
      </c>
      <c r="DA13" s="228">
        <v>43.9</v>
      </c>
      <c r="DB13" s="228">
        <v>39.92</v>
      </c>
      <c r="DC13" s="228">
        <v>3.98</v>
      </c>
      <c r="DD13" s="228">
        <v>3.98</v>
      </c>
      <c r="DE13" s="228">
        <v>57.09</v>
      </c>
      <c r="DF13" s="228">
        <v>57.16</v>
      </c>
      <c r="DG13" s="228">
        <v>-13.19</v>
      </c>
      <c r="DH13" s="228">
        <v>-7.0000000000000007E-2</v>
      </c>
      <c r="DI13" s="228">
        <v>43.44</v>
      </c>
      <c r="DJ13" s="228">
        <v>37</v>
      </c>
      <c r="DK13" s="228">
        <v>6.44</v>
      </c>
      <c r="DL13" s="228">
        <v>6.44</v>
      </c>
      <c r="DM13" s="228">
        <v>44.82</v>
      </c>
      <c r="DN13" s="228">
        <v>44.18</v>
      </c>
      <c r="DO13" s="228">
        <v>0.64</v>
      </c>
      <c r="DP13" s="228">
        <v>0.64</v>
      </c>
      <c r="DQ13" s="228">
        <v>1.02</v>
      </c>
      <c r="DR13" s="228">
        <v>1.1299999999999999</v>
      </c>
      <c r="DS13" s="228">
        <v>-0.11</v>
      </c>
      <c r="DT13" s="229">
        <v>-9.7299999999999998E-2</v>
      </c>
      <c r="DU13" s="228">
        <v>320</v>
      </c>
      <c r="DV13" s="228">
        <v>300</v>
      </c>
      <c r="DW13" s="228">
        <v>0.97</v>
      </c>
      <c r="DX13" s="228">
        <v>0.69</v>
      </c>
      <c r="DY13" s="228">
        <v>0.28000000000000003</v>
      </c>
      <c r="DZ13" s="229">
        <v>0.40579999999999999</v>
      </c>
      <c r="EA13" s="229">
        <v>0.40849999999999997</v>
      </c>
      <c r="EB13" s="230">
        <v>6107500</v>
      </c>
      <c r="EC13" s="229">
        <v>-3.2000000000000002E-3</v>
      </c>
      <c r="ED13" s="229">
        <v>0.40849999999999997</v>
      </c>
      <c r="EE13" s="228">
        <v>-1.94</v>
      </c>
      <c r="EF13" s="229">
        <v>-6.0000000000000001E-3</v>
      </c>
      <c r="EG13" s="230">
        <v>2201229</v>
      </c>
      <c r="EH13" s="230">
        <v>3965164</v>
      </c>
      <c r="EI13" s="229">
        <v>-0.44490000000000002</v>
      </c>
      <c r="EJ13" s="229">
        <v>0.32179999999999997</v>
      </c>
      <c r="EK13" s="231">
        <v>1163.1199999999999</v>
      </c>
      <c r="EL13" s="231">
        <v>1051.0999999999999</v>
      </c>
      <c r="EM13" s="228">
        <v>835.65</v>
      </c>
      <c r="EN13" s="228">
        <v>100.3</v>
      </c>
      <c r="EO13" s="231">
        <v>3049.87</v>
      </c>
      <c r="EP13" s="231">
        <v>3221.51</v>
      </c>
      <c r="EQ13" s="228">
        <v>-171.64</v>
      </c>
      <c r="ER13" s="229">
        <v>-5.33E-2</v>
      </c>
      <c r="ES13" s="228">
        <v>936.46</v>
      </c>
      <c r="ET13" s="228">
        <v>882.34</v>
      </c>
      <c r="EU13" s="228">
        <v>878.92</v>
      </c>
      <c r="EV13" s="231">
        <v>96940911</v>
      </c>
      <c r="EW13" s="231">
        <v>2697.73</v>
      </c>
      <c r="EX13" s="231">
        <v>2927.35</v>
      </c>
      <c r="EY13" s="228">
        <v>-229.62</v>
      </c>
      <c r="EZ13" s="229">
        <v>-7.8399999999999997E-2</v>
      </c>
      <c r="FA13" s="229">
        <v>0.90680000000000005</v>
      </c>
      <c r="FB13" s="227" t="s">
        <v>567</v>
      </c>
      <c r="FC13">
        <f t="shared" si="0"/>
        <v>359</v>
      </c>
    </row>
    <row r="14" spans="1:159" ht="17.25" thickBot="1" x14ac:dyDescent="0.3">
      <c r="A14" s="226">
        <v>46135</v>
      </c>
      <c r="B14" s="227" t="s">
        <v>227</v>
      </c>
      <c r="C14" s="227" t="s">
        <v>597</v>
      </c>
      <c r="D14" s="228">
        <v>350</v>
      </c>
      <c r="E14" s="228">
        <v>5</v>
      </c>
      <c r="F14" s="231">
        <v>2025.7</v>
      </c>
      <c r="G14" s="231">
        <v>2118.4</v>
      </c>
      <c r="H14" s="228">
        <v>-92.7</v>
      </c>
      <c r="I14" s="229">
        <v>-4.3799999999999999E-2</v>
      </c>
      <c r="J14" s="231">
        <v>2022.9</v>
      </c>
      <c r="K14" s="231">
        <v>2121.9</v>
      </c>
      <c r="L14" s="228">
        <v>-99</v>
      </c>
      <c r="M14" s="229">
        <v>-4.6699999999999998E-2</v>
      </c>
      <c r="N14" s="231">
        <v>2025.7</v>
      </c>
      <c r="O14" s="231">
        <v>2118.4</v>
      </c>
      <c r="P14" s="228">
        <v>-92.7</v>
      </c>
      <c r="Q14" s="229">
        <v>-4.3799999999999999E-2</v>
      </c>
      <c r="R14" s="231">
        <v>2036.8</v>
      </c>
      <c r="S14" s="231">
        <v>2130.1999999999998</v>
      </c>
      <c r="T14" s="228">
        <v>-93.4</v>
      </c>
      <c r="U14" s="229">
        <v>-4.3799999999999999E-2</v>
      </c>
      <c r="V14" s="231">
        <v>2046.9</v>
      </c>
      <c r="W14" s="231">
        <v>2129.4</v>
      </c>
      <c r="X14" s="228">
        <v>-82.5</v>
      </c>
      <c r="Y14" s="229">
        <v>-3.8699999999999998E-2</v>
      </c>
      <c r="Z14" s="228">
        <v>2.8</v>
      </c>
      <c r="AA14" s="228">
        <v>-3.5</v>
      </c>
      <c r="AB14" s="228">
        <v>6.3</v>
      </c>
      <c r="AC14" s="229">
        <v>1.4E-3</v>
      </c>
      <c r="AD14" s="228">
        <v>2.8</v>
      </c>
      <c r="AE14" s="228">
        <v>-3.5</v>
      </c>
      <c r="AF14" s="228">
        <v>6.3</v>
      </c>
      <c r="AG14" s="229">
        <v>1.4E-3</v>
      </c>
      <c r="AH14" s="228">
        <v>13.9</v>
      </c>
      <c r="AI14" s="228">
        <v>8.3000000000000007</v>
      </c>
      <c r="AJ14" s="228">
        <v>5.6</v>
      </c>
      <c r="AK14" s="229">
        <v>6.8999999999999999E-3</v>
      </c>
      <c r="AL14" s="228">
        <v>24</v>
      </c>
      <c r="AM14" s="228">
        <v>7.5</v>
      </c>
      <c r="AN14" s="228">
        <v>16.5</v>
      </c>
      <c r="AO14" s="229">
        <v>1.1900000000000001E-2</v>
      </c>
      <c r="AP14" s="231">
        <v>2051.59</v>
      </c>
      <c r="AQ14" s="231">
        <v>2061.81</v>
      </c>
      <c r="AR14" s="228">
        <v>0</v>
      </c>
      <c r="AS14" s="228">
        <v>788</v>
      </c>
      <c r="AT14" s="228">
        <v>107</v>
      </c>
      <c r="AU14" s="228">
        <v>681</v>
      </c>
      <c r="AV14" s="229">
        <v>6.3624999999999998</v>
      </c>
      <c r="AW14" s="228">
        <v>402</v>
      </c>
      <c r="AX14" s="228">
        <v>72</v>
      </c>
      <c r="AY14" s="228">
        <v>330</v>
      </c>
      <c r="AZ14" s="229">
        <v>4.5762</v>
      </c>
      <c r="BA14" s="228">
        <v>383</v>
      </c>
      <c r="BB14" s="228">
        <v>35</v>
      </c>
      <c r="BC14" s="228">
        <v>349</v>
      </c>
      <c r="BD14" s="229">
        <v>9.9939</v>
      </c>
      <c r="BE14" s="228">
        <v>2</v>
      </c>
      <c r="BF14" s="228">
        <v>0</v>
      </c>
      <c r="BG14" s="228">
        <v>2</v>
      </c>
      <c r="BH14" s="229">
        <v>0</v>
      </c>
      <c r="BI14" s="228">
        <v>524</v>
      </c>
      <c r="BJ14" s="228">
        <v>222</v>
      </c>
      <c r="BK14" s="228">
        <v>303</v>
      </c>
      <c r="BL14" s="229">
        <v>1.3652</v>
      </c>
      <c r="BM14" s="228">
        <v>638</v>
      </c>
      <c r="BN14" s="228">
        <v>65</v>
      </c>
      <c r="BO14" s="228">
        <v>572</v>
      </c>
      <c r="BP14" s="229">
        <v>8.7548999999999992</v>
      </c>
      <c r="BQ14" s="230">
        <v>1950</v>
      </c>
      <c r="BR14" s="228">
        <v>394</v>
      </c>
      <c r="BS14" s="230">
        <v>1556</v>
      </c>
      <c r="BT14" s="229">
        <v>3.9478</v>
      </c>
      <c r="BU14" s="230">
        <v>586783</v>
      </c>
      <c r="BV14" s="230">
        <v>275061</v>
      </c>
      <c r="BW14" s="230">
        <v>311722</v>
      </c>
      <c r="BX14" s="229">
        <v>1.1333</v>
      </c>
      <c r="BY14" s="228">
        <v>975</v>
      </c>
      <c r="BZ14" s="228">
        <v>970</v>
      </c>
      <c r="CA14" s="228">
        <v>5</v>
      </c>
      <c r="CB14" s="229">
        <v>5.3E-3</v>
      </c>
      <c r="CC14" s="228">
        <v>469</v>
      </c>
      <c r="CD14" s="228">
        <v>812</v>
      </c>
      <c r="CE14" s="228">
        <v>-343</v>
      </c>
      <c r="CF14" s="229">
        <v>-0.42199999999999999</v>
      </c>
      <c r="CG14" s="228">
        <v>405</v>
      </c>
      <c r="CH14" s="228">
        <v>59</v>
      </c>
      <c r="CI14" s="228">
        <v>346</v>
      </c>
      <c r="CJ14" s="229">
        <v>5.8796999999999997</v>
      </c>
      <c r="CK14" s="228">
        <v>101</v>
      </c>
      <c r="CL14" s="228">
        <v>99</v>
      </c>
      <c r="CM14" s="228">
        <v>1</v>
      </c>
      <c r="CN14" s="229">
        <v>1.3599999999999999E-2</v>
      </c>
      <c r="CO14" s="228">
        <v>283</v>
      </c>
      <c r="CP14" s="228">
        <v>262</v>
      </c>
      <c r="CQ14" s="228">
        <v>21</v>
      </c>
      <c r="CR14" s="229">
        <v>7.9000000000000001E-2</v>
      </c>
      <c r="CS14" s="228">
        <v>213</v>
      </c>
      <c r="CT14" s="228">
        <v>175</v>
      </c>
      <c r="CU14" s="228">
        <v>38</v>
      </c>
      <c r="CV14" s="229">
        <v>0.21659999999999999</v>
      </c>
      <c r="CW14" s="230">
        <v>1471</v>
      </c>
      <c r="CX14" s="230">
        <v>1407</v>
      </c>
      <c r="CY14" s="228">
        <v>64</v>
      </c>
      <c r="CZ14" s="229">
        <v>4.53E-2</v>
      </c>
      <c r="DA14" s="228">
        <v>32.159999999999997</v>
      </c>
      <c r="DB14" s="228">
        <v>27.94</v>
      </c>
      <c r="DC14" s="228">
        <v>4.22</v>
      </c>
      <c r="DD14" s="228">
        <v>4.22</v>
      </c>
      <c r="DE14" s="228">
        <v>36.44</v>
      </c>
      <c r="DF14" s="228">
        <v>35.950000000000003</v>
      </c>
      <c r="DG14" s="228">
        <v>-4.28</v>
      </c>
      <c r="DH14" s="228">
        <v>0.49</v>
      </c>
      <c r="DI14" s="228">
        <v>33.06</v>
      </c>
      <c r="DJ14" s="228">
        <v>27.13</v>
      </c>
      <c r="DK14" s="228">
        <v>5.93</v>
      </c>
      <c r="DL14" s="228">
        <v>5.93</v>
      </c>
      <c r="DM14" s="228">
        <v>30.8</v>
      </c>
      <c r="DN14" s="228">
        <v>30.68</v>
      </c>
      <c r="DO14" s="228">
        <v>0.12</v>
      </c>
      <c r="DP14" s="228">
        <v>0.12</v>
      </c>
      <c r="DQ14" s="228">
        <v>0.75</v>
      </c>
      <c r="DR14" s="228">
        <v>0.67</v>
      </c>
      <c r="DS14" s="228">
        <v>0.08</v>
      </c>
      <c r="DT14" s="229">
        <v>0.11940000000000001</v>
      </c>
      <c r="DU14" s="231">
        <v>2100</v>
      </c>
      <c r="DV14" s="231">
        <v>1980</v>
      </c>
      <c r="DW14" s="228">
        <v>1.22</v>
      </c>
      <c r="DX14" s="228">
        <v>0.28999999999999998</v>
      </c>
      <c r="DY14" s="228">
        <v>0.93</v>
      </c>
      <c r="DZ14" s="229">
        <v>3.2069000000000001</v>
      </c>
      <c r="EA14" s="229">
        <v>0.51890000000000003</v>
      </c>
      <c r="EB14" s="230">
        <v>781550</v>
      </c>
      <c r="EC14" s="229">
        <v>5.4999999999999997E-3</v>
      </c>
      <c r="ED14" s="229">
        <v>0.51890000000000003</v>
      </c>
      <c r="EE14" s="228">
        <v>10.220000000000001</v>
      </c>
      <c r="EF14" s="229">
        <v>5.0000000000000001E-3</v>
      </c>
      <c r="EG14" s="230">
        <v>336179</v>
      </c>
      <c r="EH14" s="230">
        <v>131603</v>
      </c>
      <c r="EI14" s="229">
        <v>1.5545</v>
      </c>
      <c r="EJ14" s="229">
        <v>0.57289999999999996</v>
      </c>
      <c r="EK14" s="228">
        <v>559.54999999999995</v>
      </c>
      <c r="EL14" s="228">
        <v>615.33000000000004</v>
      </c>
      <c r="EM14" s="228">
        <v>799.72</v>
      </c>
      <c r="EN14" s="228">
        <v>24.33</v>
      </c>
      <c r="EO14" s="231">
        <v>1974.6</v>
      </c>
      <c r="EP14" s="228">
        <v>417.37</v>
      </c>
      <c r="EQ14" s="231">
        <v>1557.22</v>
      </c>
      <c r="ER14" s="229">
        <v>3.7309999999999999</v>
      </c>
      <c r="ES14" s="228">
        <v>295.33999999999997</v>
      </c>
      <c r="ET14" s="228">
        <v>205.68</v>
      </c>
      <c r="EU14" s="228">
        <v>978.5</v>
      </c>
      <c r="EV14" s="231">
        <v>29871221</v>
      </c>
      <c r="EW14" s="231">
        <v>1479.52</v>
      </c>
      <c r="EX14" s="231">
        <v>1462.85</v>
      </c>
      <c r="EY14" s="228">
        <v>16.670000000000002</v>
      </c>
      <c r="EZ14" s="229">
        <v>1.14E-2</v>
      </c>
      <c r="FA14" s="229">
        <v>0.24310000000000001</v>
      </c>
      <c r="FB14" s="227" t="s">
        <v>566</v>
      </c>
      <c r="FC14">
        <f t="shared" si="0"/>
        <v>506</v>
      </c>
    </row>
    <row r="15" spans="1:159" ht="17.25" thickBot="1" x14ac:dyDescent="0.3">
      <c r="A15" s="226">
        <v>46135</v>
      </c>
      <c r="B15" s="227" t="s">
        <v>170</v>
      </c>
      <c r="C15" s="227" t="s">
        <v>165</v>
      </c>
      <c r="D15" s="228">
        <v>125</v>
      </c>
      <c r="E15" s="228">
        <v>5</v>
      </c>
      <c r="F15" s="231">
        <v>7766.5</v>
      </c>
      <c r="G15" s="231">
        <v>7646</v>
      </c>
      <c r="H15" s="228">
        <v>120.5</v>
      </c>
      <c r="I15" s="229">
        <v>1.5800000000000002E-2</v>
      </c>
      <c r="J15" s="231">
        <v>7781</v>
      </c>
      <c r="K15" s="231">
        <v>7662</v>
      </c>
      <c r="L15" s="228">
        <v>119</v>
      </c>
      <c r="M15" s="229">
        <v>1.55E-2</v>
      </c>
      <c r="N15" s="231">
        <v>7766.5</v>
      </c>
      <c r="O15" s="231">
        <v>7646</v>
      </c>
      <c r="P15" s="228">
        <v>120.5</v>
      </c>
      <c r="Q15" s="229">
        <v>1.5800000000000002E-2</v>
      </c>
      <c r="R15" s="231">
        <v>7810</v>
      </c>
      <c r="S15" s="231">
        <v>7694.5</v>
      </c>
      <c r="T15" s="228">
        <v>115.5</v>
      </c>
      <c r="U15" s="229">
        <v>1.4999999999999999E-2</v>
      </c>
      <c r="V15" s="231">
        <v>7864</v>
      </c>
      <c r="W15" s="231">
        <v>7744</v>
      </c>
      <c r="X15" s="228">
        <v>120</v>
      </c>
      <c r="Y15" s="229">
        <v>1.55E-2</v>
      </c>
      <c r="Z15" s="228">
        <v>-14.5</v>
      </c>
      <c r="AA15" s="228">
        <v>-16</v>
      </c>
      <c r="AB15" s="228">
        <v>1.5</v>
      </c>
      <c r="AC15" s="229">
        <v>-1.9E-3</v>
      </c>
      <c r="AD15" s="228">
        <v>-14.5</v>
      </c>
      <c r="AE15" s="228">
        <v>-16</v>
      </c>
      <c r="AF15" s="228">
        <v>1.5</v>
      </c>
      <c r="AG15" s="229">
        <v>-1.9E-3</v>
      </c>
      <c r="AH15" s="228">
        <v>29</v>
      </c>
      <c r="AI15" s="228">
        <v>32.5</v>
      </c>
      <c r="AJ15" s="228">
        <v>-3.5</v>
      </c>
      <c r="AK15" s="229">
        <v>3.7000000000000002E-3</v>
      </c>
      <c r="AL15" s="228">
        <v>83</v>
      </c>
      <c r="AM15" s="228">
        <v>82</v>
      </c>
      <c r="AN15" s="228">
        <v>1</v>
      </c>
      <c r="AO15" s="229">
        <v>1.0699999999999999E-2</v>
      </c>
      <c r="AP15" s="231">
        <v>7717.12</v>
      </c>
      <c r="AQ15" s="231">
        <v>7758.44</v>
      </c>
      <c r="AR15" s="228">
        <v>0</v>
      </c>
      <c r="AS15" s="228">
        <v>958</v>
      </c>
      <c r="AT15" s="228">
        <v>738</v>
      </c>
      <c r="AU15" s="228">
        <v>220</v>
      </c>
      <c r="AV15" s="229">
        <v>0.29730000000000001</v>
      </c>
      <c r="AW15" s="228">
        <v>529</v>
      </c>
      <c r="AX15" s="228">
        <v>574</v>
      </c>
      <c r="AY15" s="228">
        <v>-45</v>
      </c>
      <c r="AZ15" s="229">
        <v>-7.8E-2</v>
      </c>
      <c r="BA15" s="228">
        <v>418</v>
      </c>
      <c r="BB15" s="228">
        <v>108</v>
      </c>
      <c r="BC15" s="228">
        <v>310</v>
      </c>
      <c r="BD15" s="229">
        <v>2.8784000000000001</v>
      </c>
      <c r="BE15" s="228">
        <v>11</v>
      </c>
      <c r="BF15" s="228">
        <v>57</v>
      </c>
      <c r="BG15" s="228">
        <v>-46</v>
      </c>
      <c r="BH15" s="229">
        <v>-0.81269999999999998</v>
      </c>
      <c r="BI15" s="230">
        <v>2379</v>
      </c>
      <c r="BJ15" s="230">
        <v>2360</v>
      </c>
      <c r="BK15" s="228">
        <v>20</v>
      </c>
      <c r="BL15" s="229">
        <v>8.3000000000000001E-3</v>
      </c>
      <c r="BM15" s="230">
        <v>1318</v>
      </c>
      <c r="BN15" s="230">
        <v>2571</v>
      </c>
      <c r="BO15" s="230">
        <v>-1254</v>
      </c>
      <c r="BP15" s="229">
        <v>-0.48749999999999999</v>
      </c>
      <c r="BQ15" s="230">
        <v>4655</v>
      </c>
      <c r="BR15" s="230">
        <v>5669</v>
      </c>
      <c r="BS15" s="230">
        <v>-1014</v>
      </c>
      <c r="BT15" s="229">
        <v>-0.1789</v>
      </c>
      <c r="BU15" s="230">
        <v>312242</v>
      </c>
      <c r="BV15" s="230">
        <v>619194</v>
      </c>
      <c r="BW15" s="230">
        <v>-306952</v>
      </c>
      <c r="BX15" s="229">
        <v>-0.49569999999999997</v>
      </c>
      <c r="BY15" s="230">
        <v>1644</v>
      </c>
      <c r="BZ15" s="230">
        <v>1672</v>
      </c>
      <c r="CA15" s="228">
        <v>-29</v>
      </c>
      <c r="CB15" s="229">
        <v>-1.7100000000000001E-2</v>
      </c>
      <c r="CC15" s="230">
        <v>1053</v>
      </c>
      <c r="CD15" s="230">
        <v>1412</v>
      </c>
      <c r="CE15" s="228">
        <v>-359</v>
      </c>
      <c r="CF15" s="229">
        <v>-0.25430000000000003</v>
      </c>
      <c r="CG15" s="228">
        <v>513</v>
      </c>
      <c r="CH15" s="228">
        <v>185</v>
      </c>
      <c r="CI15" s="228">
        <v>328</v>
      </c>
      <c r="CJ15" s="229">
        <v>1.7763</v>
      </c>
      <c r="CK15" s="228">
        <v>78</v>
      </c>
      <c r="CL15" s="228">
        <v>75</v>
      </c>
      <c r="CM15" s="228">
        <v>2</v>
      </c>
      <c r="CN15" s="229">
        <v>2.9600000000000001E-2</v>
      </c>
      <c r="CO15" s="228">
        <v>652</v>
      </c>
      <c r="CP15" s="228">
        <v>715</v>
      </c>
      <c r="CQ15" s="228">
        <v>-63</v>
      </c>
      <c r="CR15" s="229">
        <v>-8.7800000000000003E-2</v>
      </c>
      <c r="CS15" s="228">
        <v>739</v>
      </c>
      <c r="CT15" s="228">
        <v>673</v>
      </c>
      <c r="CU15" s="228">
        <v>65</v>
      </c>
      <c r="CV15" s="229">
        <v>9.69E-2</v>
      </c>
      <c r="CW15" s="230">
        <v>3035</v>
      </c>
      <c r="CX15" s="230">
        <v>3061</v>
      </c>
      <c r="CY15" s="228">
        <v>-26</v>
      </c>
      <c r="CZ15" s="229">
        <v>-8.5000000000000006E-3</v>
      </c>
      <c r="DA15" s="228">
        <v>26.13</v>
      </c>
      <c r="DB15" s="228">
        <v>23.54</v>
      </c>
      <c r="DC15" s="228">
        <v>2.59</v>
      </c>
      <c r="DD15" s="228">
        <v>2.59</v>
      </c>
      <c r="DE15" s="228">
        <v>25.16</v>
      </c>
      <c r="DF15" s="228">
        <v>25.14</v>
      </c>
      <c r="DG15" s="228">
        <v>0.97</v>
      </c>
      <c r="DH15" s="228">
        <v>0.02</v>
      </c>
      <c r="DI15" s="228">
        <v>25.99</v>
      </c>
      <c r="DJ15" s="228">
        <v>22.93</v>
      </c>
      <c r="DK15" s="228">
        <v>3.06</v>
      </c>
      <c r="DL15" s="228">
        <v>3.06</v>
      </c>
      <c r="DM15" s="228">
        <v>26.46</v>
      </c>
      <c r="DN15" s="228">
        <v>24.09</v>
      </c>
      <c r="DO15" s="228">
        <v>2.37</v>
      </c>
      <c r="DP15" s="228">
        <v>2.37</v>
      </c>
      <c r="DQ15" s="228">
        <v>1.1299999999999999</v>
      </c>
      <c r="DR15" s="228">
        <v>0.94</v>
      </c>
      <c r="DS15" s="228">
        <v>0.19</v>
      </c>
      <c r="DT15" s="229">
        <v>0.2021</v>
      </c>
      <c r="DU15" s="231">
        <v>8000</v>
      </c>
      <c r="DV15" s="231">
        <v>7700</v>
      </c>
      <c r="DW15" s="228">
        <v>0.55000000000000004</v>
      </c>
      <c r="DX15" s="228">
        <v>1.0900000000000001</v>
      </c>
      <c r="DY15" s="228">
        <v>-0.54</v>
      </c>
      <c r="DZ15" s="229">
        <v>-0.49540000000000001</v>
      </c>
      <c r="EA15" s="229">
        <v>0.35949999999999999</v>
      </c>
      <c r="EB15" s="230">
        <v>335125</v>
      </c>
      <c r="EC15" s="229">
        <v>5.5999999999999999E-3</v>
      </c>
      <c r="ED15" s="229">
        <v>0.35949999999999999</v>
      </c>
      <c r="EE15" s="228">
        <v>41.32</v>
      </c>
      <c r="EF15" s="229">
        <v>5.4000000000000003E-3</v>
      </c>
      <c r="EG15" s="230">
        <v>159074</v>
      </c>
      <c r="EH15" s="230">
        <v>371109</v>
      </c>
      <c r="EI15" s="229">
        <v>-0.57140000000000002</v>
      </c>
      <c r="EJ15" s="229">
        <v>0.50949999999999995</v>
      </c>
      <c r="EK15" s="231">
        <v>2420.1799999999998</v>
      </c>
      <c r="EL15" s="231">
        <v>1293.4100000000001</v>
      </c>
      <c r="EM15" s="228">
        <v>954.05</v>
      </c>
      <c r="EN15" s="228">
        <v>36.93</v>
      </c>
      <c r="EO15" s="231">
        <v>4667.6499999999996</v>
      </c>
      <c r="EP15" s="231">
        <v>5644.22</v>
      </c>
      <c r="EQ15" s="228">
        <v>-976.57</v>
      </c>
      <c r="ER15" s="229">
        <v>-0.17299999999999999</v>
      </c>
      <c r="ES15" s="228">
        <v>653.54999999999995</v>
      </c>
      <c r="ET15" s="228">
        <v>692.59</v>
      </c>
      <c r="EU15" s="231">
        <v>1647.53</v>
      </c>
      <c r="EV15" s="231">
        <v>15524629</v>
      </c>
      <c r="EW15" s="231">
        <v>2993.68</v>
      </c>
      <c r="EX15" s="231">
        <v>2990.63</v>
      </c>
      <c r="EY15" s="228">
        <v>3.05</v>
      </c>
      <c r="EZ15" s="229">
        <v>1E-3</v>
      </c>
      <c r="FA15" s="229">
        <v>0.25169999999999998</v>
      </c>
      <c r="FB15" s="227" t="s">
        <v>693</v>
      </c>
      <c r="FC15">
        <f t="shared" si="0"/>
        <v>591</v>
      </c>
    </row>
    <row r="16" spans="1:159" ht="17.25" thickBot="1" x14ac:dyDescent="0.3">
      <c r="A16" s="226">
        <v>46135</v>
      </c>
      <c r="B16" s="227" t="s">
        <v>162</v>
      </c>
      <c r="C16" s="227" t="s">
        <v>167</v>
      </c>
      <c r="D16" s="228">
        <v>5000</v>
      </c>
      <c r="E16" s="228">
        <v>5</v>
      </c>
      <c r="F16" s="228">
        <v>170.92</v>
      </c>
      <c r="G16" s="228">
        <v>178.94</v>
      </c>
      <c r="H16" s="228">
        <v>-8.02</v>
      </c>
      <c r="I16" s="229">
        <v>-4.48E-2</v>
      </c>
      <c r="J16" s="228">
        <v>170.63</v>
      </c>
      <c r="K16" s="228">
        <v>178.97</v>
      </c>
      <c r="L16" s="228">
        <v>-8.34</v>
      </c>
      <c r="M16" s="229">
        <v>-4.6600000000000003E-2</v>
      </c>
      <c r="N16" s="228">
        <v>170.92</v>
      </c>
      <c r="O16" s="228">
        <v>178.94</v>
      </c>
      <c r="P16" s="228">
        <v>-8.02</v>
      </c>
      <c r="Q16" s="229">
        <v>-4.48E-2</v>
      </c>
      <c r="R16" s="228">
        <v>168.7</v>
      </c>
      <c r="S16" s="228">
        <v>178.04</v>
      </c>
      <c r="T16" s="228">
        <v>-9.34</v>
      </c>
      <c r="U16" s="229">
        <v>-5.2499999999999998E-2</v>
      </c>
      <c r="V16" s="228">
        <v>168.48</v>
      </c>
      <c r="W16" s="228">
        <v>177.37</v>
      </c>
      <c r="X16" s="228">
        <v>-8.89</v>
      </c>
      <c r="Y16" s="229">
        <v>-5.0099999999999999E-2</v>
      </c>
      <c r="Z16" s="228">
        <v>0.28999999999999998</v>
      </c>
      <c r="AA16" s="228">
        <v>-0.03</v>
      </c>
      <c r="AB16" s="228">
        <v>0.32</v>
      </c>
      <c r="AC16" s="229">
        <v>1.6999999999999999E-3</v>
      </c>
      <c r="AD16" s="228">
        <v>0.28999999999999998</v>
      </c>
      <c r="AE16" s="228">
        <v>-0.03</v>
      </c>
      <c r="AF16" s="228">
        <v>0.32</v>
      </c>
      <c r="AG16" s="229">
        <v>1.6999999999999999E-3</v>
      </c>
      <c r="AH16" s="228">
        <v>-1.93</v>
      </c>
      <c r="AI16" s="228">
        <v>-0.93</v>
      </c>
      <c r="AJ16" s="228">
        <v>-1</v>
      </c>
      <c r="AK16" s="229">
        <v>-1.1299999999999999E-2</v>
      </c>
      <c r="AL16" s="228">
        <v>-2.15</v>
      </c>
      <c r="AM16" s="228">
        <v>-1.6</v>
      </c>
      <c r="AN16" s="228">
        <v>-0.55000000000000004</v>
      </c>
      <c r="AO16" s="229">
        <v>-1.26E-2</v>
      </c>
      <c r="AP16" s="228">
        <v>172.18</v>
      </c>
      <c r="AQ16" s="228">
        <v>170.56</v>
      </c>
      <c r="AR16" s="228">
        <v>0</v>
      </c>
      <c r="AS16" s="230">
        <v>1950</v>
      </c>
      <c r="AT16" s="228">
        <v>919</v>
      </c>
      <c r="AU16" s="230">
        <v>1031</v>
      </c>
      <c r="AV16" s="229">
        <v>1.1214999999999999</v>
      </c>
      <c r="AW16" s="228">
        <v>935</v>
      </c>
      <c r="AX16" s="228">
        <v>532</v>
      </c>
      <c r="AY16" s="228">
        <v>404</v>
      </c>
      <c r="AZ16" s="229">
        <v>0.75919999999999999</v>
      </c>
      <c r="BA16" s="228">
        <v>983</v>
      </c>
      <c r="BB16" s="228">
        <v>367</v>
      </c>
      <c r="BC16" s="228">
        <v>616</v>
      </c>
      <c r="BD16" s="229">
        <v>1.6794</v>
      </c>
      <c r="BE16" s="228">
        <v>32</v>
      </c>
      <c r="BF16" s="228">
        <v>21</v>
      </c>
      <c r="BG16" s="228">
        <v>11</v>
      </c>
      <c r="BH16" s="229">
        <v>0.53749999999999998</v>
      </c>
      <c r="BI16" s="230">
        <v>2866</v>
      </c>
      <c r="BJ16" s="230">
        <v>3325</v>
      </c>
      <c r="BK16" s="228">
        <v>-458</v>
      </c>
      <c r="BL16" s="229">
        <v>-0.13780000000000001</v>
      </c>
      <c r="BM16" s="230">
        <v>1708</v>
      </c>
      <c r="BN16" s="230">
        <v>1454</v>
      </c>
      <c r="BO16" s="228">
        <v>254</v>
      </c>
      <c r="BP16" s="229">
        <v>0.17469999999999999</v>
      </c>
      <c r="BQ16" s="230">
        <v>6524</v>
      </c>
      <c r="BR16" s="230">
        <v>5698</v>
      </c>
      <c r="BS16" s="228">
        <v>827</v>
      </c>
      <c r="BT16" s="229">
        <v>0.14510000000000001</v>
      </c>
      <c r="BU16" s="230">
        <v>34819701</v>
      </c>
      <c r="BV16" s="230">
        <v>21148409</v>
      </c>
      <c r="BW16" s="230">
        <v>13671292</v>
      </c>
      <c r="BX16" s="229">
        <v>0.64639999999999997</v>
      </c>
      <c r="BY16" s="230">
        <v>2499</v>
      </c>
      <c r="BZ16" s="230">
        <v>2472</v>
      </c>
      <c r="CA16" s="228">
        <v>27</v>
      </c>
      <c r="CB16" s="229">
        <v>1.09E-2</v>
      </c>
      <c r="CC16" s="230">
        <v>1527</v>
      </c>
      <c r="CD16" s="230">
        <v>2026</v>
      </c>
      <c r="CE16" s="228">
        <v>-498</v>
      </c>
      <c r="CF16" s="229">
        <v>-0.24610000000000001</v>
      </c>
      <c r="CG16" s="228">
        <v>907</v>
      </c>
      <c r="CH16" s="228">
        <v>402</v>
      </c>
      <c r="CI16" s="228">
        <v>505</v>
      </c>
      <c r="CJ16" s="229">
        <v>1.2555000000000001</v>
      </c>
      <c r="CK16" s="228">
        <v>65</v>
      </c>
      <c r="CL16" s="228">
        <v>45</v>
      </c>
      <c r="CM16" s="228">
        <v>21</v>
      </c>
      <c r="CN16" s="229">
        <v>0.46260000000000001</v>
      </c>
      <c r="CO16" s="230">
        <v>1912</v>
      </c>
      <c r="CP16" s="230">
        <v>1700</v>
      </c>
      <c r="CQ16" s="228">
        <v>212</v>
      </c>
      <c r="CR16" s="229">
        <v>0.1249</v>
      </c>
      <c r="CS16" s="230">
        <v>1206</v>
      </c>
      <c r="CT16" s="230">
        <v>1176</v>
      </c>
      <c r="CU16" s="228">
        <v>30</v>
      </c>
      <c r="CV16" s="229">
        <v>2.52E-2</v>
      </c>
      <c r="CW16" s="230">
        <v>5617</v>
      </c>
      <c r="CX16" s="230">
        <v>5349</v>
      </c>
      <c r="CY16" s="228">
        <v>269</v>
      </c>
      <c r="CZ16" s="229">
        <v>5.0299999999999997E-2</v>
      </c>
      <c r="DA16" s="228">
        <v>45.35</v>
      </c>
      <c r="DB16" s="228">
        <v>39.6</v>
      </c>
      <c r="DC16" s="228">
        <v>5.75</v>
      </c>
      <c r="DD16" s="228">
        <v>5.75</v>
      </c>
      <c r="DE16" s="228">
        <v>42.71</v>
      </c>
      <c r="DF16" s="228">
        <v>42.33</v>
      </c>
      <c r="DG16" s="228">
        <v>2.64</v>
      </c>
      <c r="DH16" s="228">
        <v>0.38</v>
      </c>
      <c r="DI16" s="228">
        <v>45.93</v>
      </c>
      <c r="DJ16" s="228">
        <v>38.229999999999997</v>
      </c>
      <c r="DK16" s="228">
        <v>7.7</v>
      </c>
      <c r="DL16" s="228">
        <v>7.7</v>
      </c>
      <c r="DM16" s="228">
        <v>44.15</v>
      </c>
      <c r="DN16" s="228">
        <v>42.73</v>
      </c>
      <c r="DO16" s="228">
        <v>1.42</v>
      </c>
      <c r="DP16" s="228">
        <v>1.42</v>
      </c>
      <c r="DQ16" s="228">
        <v>0.63</v>
      </c>
      <c r="DR16" s="228">
        <v>0.69</v>
      </c>
      <c r="DS16" s="228">
        <v>-0.06</v>
      </c>
      <c r="DT16" s="229">
        <v>-8.6999999999999994E-2</v>
      </c>
      <c r="DU16" s="228">
        <v>180</v>
      </c>
      <c r="DV16" s="228">
        <v>160</v>
      </c>
      <c r="DW16" s="228">
        <v>0.6</v>
      </c>
      <c r="DX16" s="228">
        <v>0.44</v>
      </c>
      <c r="DY16" s="228">
        <v>0.16</v>
      </c>
      <c r="DZ16" s="229">
        <v>0.36359999999999998</v>
      </c>
      <c r="EA16" s="229">
        <v>0.38890000000000002</v>
      </c>
      <c r="EB16" s="230">
        <v>26125000</v>
      </c>
      <c r="EC16" s="229">
        <v>-1.2999999999999999E-2</v>
      </c>
      <c r="ED16" s="229">
        <v>0.38890000000000002</v>
      </c>
      <c r="EE16" s="228">
        <v>-1.62</v>
      </c>
      <c r="EF16" s="229">
        <v>-9.4000000000000004E-3</v>
      </c>
      <c r="EG16" s="230">
        <v>15954307</v>
      </c>
      <c r="EH16" s="230">
        <v>9736540</v>
      </c>
      <c r="EI16" s="229">
        <v>0.63859999999999995</v>
      </c>
      <c r="EJ16" s="229">
        <v>0.4582</v>
      </c>
      <c r="EK16" s="231">
        <v>3092.45</v>
      </c>
      <c r="EL16" s="231">
        <v>1696.51</v>
      </c>
      <c r="EM16" s="231">
        <v>1954.46</v>
      </c>
      <c r="EN16" s="228">
        <v>63.08</v>
      </c>
      <c r="EO16" s="231">
        <v>6743.42</v>
      </c>
      <c r="EP16" s="231">
        <v>6067.24</v>
      </c>
      <c r="EQ16" s="228">
        <v>676.18</v>
      </c>
      <c r="ER16" s="229">
        <v>0.1114</v>
      </c>
      <c r="ES16" s="231">
        <v>2039.79</v>
      </c>
      <c r="ET16" s="231">
        <v>1188.5</v>
      </c>
      <c r="EU16" s="231">
        <v>2486.4899999999998</v>
      </c>
      <c r="EV16" s="231">
        <v>423779104</v>
      </c>
      <c r="EW16" s="231">
        <v>5714.78</v>
      </c>
      <c r="EX16" s="231">
        <v>5566.43</v>
      </c>
      <c r="EY16" s="228">
        <v>148.35</v>
      </c>
      <c r="EZ16" s="229">
        <v>2.6700000000000002E-2</v>
      </c>
      <c r="FA16" s="229">
        <v>0.77549999999999997</v>
      </c>
      <c r="FB16" s="227" t="s">
        <v>566</v>
      </c>
      <c r="FC16">
        <f t="shared" si="0"/>
        <v>972</v>
      </c>
    </row>
    <row r="17" spans="1:159" ht="17.25" thickBot="1" x14ac:dyDescent="0.3">
      <c r="A17" s="226">
        <v>46135</v>
      </c>
      <c r="B17" s="227" t="s">
        <v>168</v>
      </c>
      <c r="C17" s="227" t="s">
        <v>169</v>
      </c>
      <c r="D17" s="228">
        <v>250</v>
      </c>
      <c r="E17" s="228">
        <v>5</v>
      </c>
      <c r="F17" s="231">
        <v>2516.8000000000002</v>
      </c>
      <c r="G17" s="231">
        <v>2559.9</v>
      </c>
      <c r="H17" s="228">
        <v>-43.1</v>
      </c>
      <c r="I17" s="229">
        <v>-1.6799999999999999E-2</v>
      </c>
      <c r="J17" s="231">
        <v>2521.4</v>
      </c>
      <c r="K17" s="231">
        <v>2562.9</v>
      </c>
      <c r="L17" s="228">
        <v>-41.5</v>
      </c>
      <c r="M17" s="229">
        <v>-1.6199999999999999E-2</v>
      </c>
      <c r="N17" s="231">
        <v>2516.8000000000002</v>
      </c>
      <c r="O17" s="231">
        <v>2559.9</v>
      </c>
      <c r="P17" s="228">
        <v>-43.1</v>
      </c>
      <c r="Q17" s="229">
        <v>-1.6799999999999999E-2</v>
      </c>
      <c r="R17" s="231">
        <v>2532.1</v>
      </c>
      <c r="S17" s="231">
        <v>2573.9</v>
      </c>
      <c r="T17" s="228">
        <v>-41.8</v>
      </c>
      <c r="U17" s="229">
        <v>-1.6199999999999999E-2</v>
      </c>
      <c r="V17" s="231">
        <v>2524.6</v>
      </c>
      <c r="W17" s="231">
        <v>2566.1999999999998</v>
      </c>
      <c r="X17" s="228">
        <v>-41.6</v>
      </c>
      <c r="Y17" s="229">
        <v>-1.6199999999999999E-2</v>
      </c>
      <c r="Z17" s="228">
        <v>-4.5999999999999996</v>
      </c>
      <c r="AA17" s="228">
        <v>-3</v>
      </c>
      <c r="AB17" s="228">
        <v>-1.6</v>
      </c>
      <c r="AC17" s="229">
        <v>-1.8E-3</v>
      </c>
      <c r="AD17" s="228">
        <v>-4.5999999999999996</v>
      </c>
      <c r="AE17" s="228">
        <v>-3</v>
      </c>
      <c r="AF17" s="228">
        <v>-1.6</v>
      </c>
      <c r="AG17" s="229">
        <v>-1.8E-3</v>
      </c>
      <c r="AH17" s="228">
        <v>10.7</v>
      </c>
      <c r="AI17" s="228">
        <v>11</v>
      </c>
      <c r="AJ17" s="228">
        <v>-0.3</v>
      </c>
      <c r="AK17" s="229">
        <v>4.1999999999999997E-3</v>
      </c>
      <c r="AL17" s="228">
        <v>3.2</v>
      </c>
      <c r="AM17" s="228">
        <v>3.3</v>
      </c>
      <c r="AN17" s="228">
        <v>-0.1</v>
      </c>
      <c r="AO17" s="229">
        <v>1.2999999999999999E-3</v>
      </c>
      <c r="AP17" s="231">
        <v>2523.35</v>
      </c>
      <c r="AQ17" s="231">
        <v>2537.02</v>
      </c>
      <c r="AR17" s="228">
        <v>0</v>
      </c>
      <c r="AS17" s="230">
        <v>2076</v>
      </c>
      <c r="AT17" s="228">
        <v>457</v>
      </c>
      <c r="AU17" s="230">
        <v>1620</v>
      </c>
      <c r="AV17" s="229">
        <v>3.548</v>
      </c>
      <c r="AW17" s="230">
        <v>1073</v>
      </c>
      <c r="AX17" s="228">
        <v>293</v>
      </c>
      <c r="AY17" s="228">
        <v>780</v>
      </c>
      <c r="AZ17" s="229">
        <v>2.6646000000000001</v>
      </c>
      <c r="BA17" s="228">
        <v>988</v>
      </c>
      <c r="BB17" s="228">
        <v>155</v>
      </c>
      <c r="BC17" s="228">
        <v>833</v>
      </c>
      <c r="BD17" s="229">
        <v>5.3819999999999997</v>
      </c>
      <c r="BE17" s="228">
        <v>15</v>
      </c>
      <c r="BF17" s="228">
        <v>9</v>
      </c>
      <c r="BG17" s="228">
        <v>6</v>
      </c>
      <c r="BH17" s="229">
        <v>0.69499999999999995</v>
      </c>
      <c r="BI17" s="230">
        <v>1439</v>
      </c>
      <c r="BJ17" s="230">
        <v>1953</v>
      </c>
      <c r="BK17" s="228">
        <v>-514</v>
      </c>
      <c r="BL17" s="229">
        <v>-0.26340000000000002</v>
      </c>
      <c r="BM17" s="230">
        <v>1644</v>
      </c>
      <c r="BN17" s="230">
        <v>1613</v>
      </c>
      <c r="BO17" s="228">
        <v>32</v>
      </c>
      <c r="BP17" s="229">
        <v>1.9599999999999999E-2</v>
      </c>
      <c r="BQ17" s="230">
        <v>5159</v>
      </c>
      <c r="BR17" s="230">
        <v>4022</v>
      </c>
      <c r="BS17" s="230">
        <v>1137</v>
      </c>
      <c r="BT17" s="229">
        <v>0.28270000000000001</v>
      </c>
      <c r="BU17" s="230">
        <v>1410061</v>
      </c>
      <c r="BV17" s="230">
        <v>1159795</v>
      </c>
      <c r="BW17" s="230">
        <v>250266</v>
      </c>
      <c r="BX17" s="229">
        <v>0.21579999999999999</v>
      </c>
      <c r="BY17" s="230">
        <v>3610</v>
      </c>
      <c r="BZ17" s="230">
        <v>3635</v>
      </c>
      <c r="CA17" s="228">
        <v>-25</v>
      </c>
      <c r="CB17" s="229">
        <v>-7.0000000000000001E-3</v>
      </c>
      <c r="CC17" s="230">
        <v>2173</v>
      </c>
      <c r="CD17" s="230">
        <v>2930</v>
      </c>
      <c r="CE17" s="228">
        <v>-757</v>
      </c>
      <c r="CF17" s="229">
        <v>-0.25850000000000001</v>
      </c>
      <c r="CG17" s="230">
        <v>1227</v>
      </c>
      <c r="CH17" s="228">
        <v>502</v>
      </c>
      <c r="CI17" s="228">
        <v>725</v>
      </c>
      <c r="CJ17" s="229">
        <v>1.4435</v>
      </c>
      <c r="CK17" s="228">
        <v>211</v>
      </c>
      <c r="CL17" s="228">
        <v>203</v>
      </c>
      <c r="CM17" s="228">
        <v>7</v>
      </c>
      <c r="CN17" s="229">
        <v>3.6200000000000003E-2</v>
      </c>
      <c r="CO17" s="230">
        <v>1282</v>
      </c>
      <c r="CP17" s="230">
        <v>1276</v>
      </c>
      <c r="CQ17" s="228">
        <v>6</v>
      </c>
      <c r="CR17" s="229">
        <v>4.7000000000000002E-3</v>
      </c>
      <c r="CS17" s="230">
        <v>1457</v>
      </c>
      <c r="CT17" s="230">
        <v>1592</v>
      </c>
      <c r="CU17" s="228">
        <v>-135</v>
      </c>
      <c r="CV17" s="229">
        <v>-8.48E-2</v>
      </c>
      <c r="CW17" s="230">
        <v>6349</v>
      </c>
      <c r="CX17" s="230">
        <v>6504</v>
      </c>
      <c r="CY17" s="228">
        <v>-154</v>
      </c>
      <c r="CZ17" s="229">
        <v>-2.3699999999999999E-2</v>
      </c>
      <c r="DA17" s="228">
        <v>30.85</v>
      </c>
      <c r="DB17" s="228">
        <v>27.9</v>
      </c>
      <c r="DC17" s="228">
        <v>2.95</v>
      </c>
      <c r="DD17" s="228">
        <v>2.95</v>
      </c>
      <c r="DE17" s="228">
        <v>29.19</v>
      </c>
      <c r="DF17" s="228">
        <v>29.17</v>
      </c>
      <c r="DG17" s="228">
        <v>1.66</v>
      </c>
      <c r="DH17" s="228">
        <v>0.02</v>
      </c>
      <c r="DI17" s="228">
        <v>30.1</v>
      </c>
      <c r="DJ17" s="228">
        <v>26.28</v>
      </c>
      <c r="DK17" s="228">
        <v>3.82</v>
      </c>
      <c r="DL17" s="228">
        <v>3.82</v>
      </c>
      <c r="DM17" s="228">
        <v>31.6</v>
      </c>
      <c r="DN17" s="228">
        <v>29.86</v>
      </c>
      <c r="DO17" s="228">
        <v>1.74</v>
      </c>
      <c r="DP17" s="228">
        <v>1.74</v>
      </c>
      <c r="DQ17" s="228">
        <v>1.1399999999999999</v>
      </c>
      <c r="DR17" s="228">
        <v>1.25</v>
      </c>
      <c r="DS17" s="228">
        <v>-0.11</v>
      </c>
      <c r="DT17" s="229">
        <v>-8.7999999999999995E-2</v>
      </c>
      <c r="DU17" s="231">
        <v>2600</v>
      </c>
      <c r="DV17" s="231">
        <v>2400</v>
      </c>
      <c r="DW17" s="228">
        <v>1.1399999999999999</v>
      </c>
      <c r="DX17" s="228">
        <v>0.83</v>
      </c>
      <c r="DY17" s="228">
        <v>0.31</v>
      </c>
      <c r="DZ17" s="229">
        <v>0.3735</v>
      </c>
      <c r="EA17" s="229">
        <v>0.39810000000000001</v>
      </c>
      <c r="EB17" s="230">
        <v>2802250</v>
      </c>
      <c r="EC17" s="229">
        <v>6.1000000000000004E-3</v>
      </c>
      <c r="ED17" s="229">
        <v>0.39810000000000001</v>
      </c>
      <c r="EE17" s="228">
        <v>13.67</v>
      </c>
      <c r="EF17" s="229">
        <v>5.4000000000000003E-3</v>
      </c>
      <c r="EG17" s="230">
        <v>798941</v>
      </c>
      <c r="EH17" s="230">
        <v>515460</v>
      </c>
      <c r="EI17" s="229">
        <v>0.55000000000000004</v>
      </c>
      <c r="EJ17" s="229">
        <v>0.56659999999999999</v>
      </c>
      <c r="EK17" s="231">
        <v>1482.26</v>
      </c>
      <c r="EL17" s="231">
        <v>1617.82</v>
      </c>
      <c r="EM17" s="231">
        <v>2087.17</v>
      </c>
      <c r="EN17" s="228">
        <v>85.02</v>
      </c>
      <c r="EO17" s="231">
        <v>5187.25</v>
      </c>
      <c r="EP17" s="231">
        <v>4081.51</v>
      </c>
      <c r="EQ17" s="231">
        <v>1105.74</v>
      </c>
      <c r="ER17" s="229">
        <v>0.27089999999999997</v>
      </c>
      <c r="ES17" s="231">
        <v>1264.3</v>
      </c>
      <c r="ET17" s="231">
        <v>1323.17</v>
      </c>
      <c r="EU17" s="231">
        <v>3618.08</v>
      </c>
      <c r="EV17" s="231">
        <v>62818628</v>
      </c>
      <c r="EW17" s="231">
        <v>6205.55</v>
      </c>
      <c r="EX17" s="231">
        <v>6408.28</v>
      </c>
      <c r="EY17" s="228">
        <v>-202.73</v>
      </c>
      <c r="EZ17" s="229">
        <v>-3.1600000000000003E-2</v>
      </c>
      <c r="FA17" s="229">
        <v>0.40160000000000001</v>
      </c>
      <c r="FB17" s="227" t="s">
        <v>567</v>
      </c>
      <c r="FC17">
        <f t="shared" si="0"/>
        <v>1437</v>
      </c>
    </row>
    <row r="18" spans="1:159" ht="17.25" thickBot="1" x14ac:dyDescent="0.3">
      <c r="A18" s="226">
        <v>46135</v>
      </c>
      <c r="B18" s="227" t="s">
        <v>184</v>
      </c>
      <c r="C18" s="227" t="s">
        <v>503</v>
      </c>
      <c r="D18" s="228">
        <v>425</v>
      </c>
      <c r="E18" s="228">
        <v>5</v>
      </c>
      <c r="F18" s="231">
        <v>1575.3</v>
      </c>
      <c r="G18" s="231">
        <v>1581.4</v>
      </c>
      <c r="H18" s="228">
        <v>-6.1</v>
      </c>
      <c r="I18" s="229">
        <v>-3.8999999999999998E-3</v>
      </c>
      <c r="J18" s="231">
        <v>1574.9</v>
      </c>
      <c r="K18" s="231">
        <v>1589.6</v>
      </c>
      <c r="L18" s="228">
        <v>-14.7</v>
      </c>
      <c r="M18" s="229">
        <v>-9.1999999999999998E-3</v>
      </c>
      <c r="N18" s="231">
        <v>1575.3</v>
      </c>
      <c r="O18" s="231">
        <v>1581.4</v>
      </c>
      <c r="P18" s="228">
        <v>-6.1</v>
      </c>
      <c r="Q18" s="229">
        <v>-3.8999999999999998E-3</v>
      </c>
      <c r="R18" s="231">
        <v>1527.3</v>
      </c>
      <c r="S18" s="231">
        <v>1534.8</v>
      </c>
      <c r="T18" s="228">
        <v>-7.5</v>
      </c>
      <c r="U18" s="229">
        <v>-4.8999999999999998E-3</v>
      </c>
      <c r="V18" s="231">
        <v>1492.5</v>
      </c>
      <c r="W18" s="231">
        <v>1506</v>
      </c>
      <c r="X18" s="228">
        <v>-13.5</v>
      </c>
      <c r="Y18" s="229">
        <v>-8.9999999999999993E-3</v>
      </c>
      <c r="Z18" s="228">
        <v>0.4</v>
      </c>
      <c r="AA18" s="228">
        <v>-8.1999999999999993</v>
      </c>
      <c r="AB18" s="228">
        <v>8.6</v>
      </c>
      <c r="AC18" s="229">
        <v>2.9999999999999997E-4</v>
      </c>
      <c r="AD18" s="228">
        <v>0.4</v>
      </c>
      <c r="AE18" s="228">
        <v>-8.1999999999999993</v>
      </c>
      <c r="AF18" s="228">
        <v>8.6</v>
      </c>
      <c r="AG18" s="229">
        <v>2.9999999999999997E-4</v>
      </c>
      <c r="AH18" s="228">
        <v>-47.6</v>
      </c>
      <c r="AI18" s="228">
        <v>-54.8</v>
      </c>
      <c r="AJ18" s="228">
        <v>7.2</v>
      </c>
      <c r="AK18" s="229">
        <v>-3.0200000000000001E-2</v>
      </c>
      <c r="AL18" s="228">
        <v>-82.4</v>
      </c>
      <c r="AM18" s="228">
        <v>-83.6</v>
      </c>
      <c r="AN18" s="228">
        <v>1.2</v>
      </c>
      <c r="AO18" s="229">
        <v>-5.2299999999999999E-2</v>
      </c>
      <c r="AP18" s="231">
        <v>1565.37</v>
      </c>
      <c r="AQ18" s="231">
        <v>1509.81</v>
      </c>
      <c r="AR18" s="228">
        <v>0</v>
      </c>
      <c r="AS18" s="230">
        <v>1600</v>
      </c>
      <c r="AT18" s="228">
        <v>318</v>
      </c>
      <c r="AU18" s="230">
        <v>1282</v>
      </c>
      <c r="AV18" s="229">
        <v>4.0326000000000004</v>
      </c>
      <c r="AW18" s="228">
        <v>788</v>
      </c>
      <c r="AX18" s="228">
        <v>190</v>
      </c>
      <c r="AY18" s="228">
        <v>597</v>
      </c>
      <c r="AZ18" s="229">
        <v>3.14</v>
      </c>
      <c r="BA18" s="228">
        <v>797</v>
      </c>
      <c r="BB18" s="228">
        <v>124</v>
      </c>
      <c r="BC18" s="228">
        <v>673</v>
      </c>
      <c r="BD18" s="229">
        <v>5.4321999999999999</v>
      </c>
      <c r="BE18" s="228">
        <v>15</v>
      </c>
      <c r="BF18" s="228">
        <v>4</v>
      </c>
      <c r="BG18" s="228">
        <v>12</v>
      </c>
      <c r="BH18" s="229">
        <v>3.0714000000000001</v>
      </c>
      <c r="BI18" s="228">
        <v>629</v>
      </c>
      <c r="BJ18" s="228">
        <v>518</v>
      </c>
      <c r="BK18" s="228">
        <v>111</v>
      </c>
      <c r="BL18" s="229">
        <v>0.21429999999999999</v>
      </c>
      <c r="BM18" s="228">
        <v>267</v>
      </c>
      <c r="BN18" s="228">
        <v>266</v>
      </c>
      <c r="BO18" s="228">
        <v>1</v>
      </c>
      <c r="BP18" s="229">
        <v>3.5000000000000001E-3</v>
      </c>
      <c r="BQ18" s="230">
        <v>2497</v>
      </c>
      <c r="BR18" s="230">
        <v>1102</v>
      </c>
      <c r="BS18" s="230">
        <v>1394</v>
      </c>
      <c r="BT18" s="229">
        <v>1.2645999999999999</v>
      </c>
      <c r="BU18" s="230">
        <v>429692</v>
      </c>
      <c r="BV18" s="230">
        <v>578821</v>
      </c>
      <c r="BW18" s="230">
        <v>-149129</v>
      </c>
      <c r="BX18" s="229">
        <v>-0.2576</v>
      </c>
      <c r="BY18" s="230">
        <v>2055</v>
      </c>
      <c r="BZ18" s="230">
        <v>2351</v>
      </c>
      <c r="CA18" s="228">
        <v>-296</v>
      </c>
      <c r="CB18" s="229">
        <v>-0.1258</v>
      </c>
      <c r="CC18" s="230">
        <v>1068</v>
      </c>
      <c r="CD18" s="230">
        <v>1655</v>
      </c>
      <c r="CE18" s="228">
        <v>-587</v>
      </c>
      <c r="CF18" s="229">
        <v>-0.35460000000000003</v>
      </c>
      <c r="CG18" s="228">
        <v>961</v>
      </c>
      <c r="CH18" s="228">
        <v>675</v>
      </c>
      <c r="CI18" s="228">
        <v>287</v>
      </c>
      <c r="CJ18" s="229">
        <v>0.42480000000000001</v>
      </c>
      <c r="CK18" s="228">
        <v>26</v>
      </c>
      <c r="CL18" s="228">
        <v>21</v>
      </c>
      <c r="CM18" s="228">
        <v>4</v>
      </c>
      <c r="CN18" s="229">
        <v>0.2107</v>
      </c>
      <c r="CO18" s="228">
        <v>482</v>
      </c>
      <c r="CP18" s="228">
        <v>554</v>
      </c>
      <c r="CQ18" s="228">
        <v>-73</v>
      </c>
      <c r="CR18" s="229">
        <v>-0.13100000000000001</v>
      </c>
      <c r="CS18" s="228">
        <v>334</v>
      </c>
      <c r="CT18" s="228">
        <v>345</v>
      </c>
      <c r="CU18" s="228">
        <v>-11</v>
      </c>
      <c r="CV18" s="229">
        <v>-3.2099999999999997E-2</v>
      </c>
      <c r="CW18" s="230">
        <v>2870</v>
      </c>
      <c r="CX18" s="230">
        <v>3249</v>
      </c>
      <c r="CY18" s="228">
        <v>-379</v>
      </c>
      <c r="CZ18" s="229">
        <v>-0.1167</v>
      </c>
      <c r="DA18" s="228">
        <v>34.58</v>
      </c>
      <c r="DB18" s="228">
        <v>33.56</v>
      </c>
      <c r="DC18" s="228">
        <v>1.02</v>
      </c>
      <c r="DD18" s="228">
        <v>1.02</v>
      </c>
      <c r="DE18" s="228">
        <v>35.700000000000003</v>
      </c>
      <c r="DF18" s="228">
        <v>35.76</v>
      </c>
      <c r="DG18" s="228">
        <v>-1.1200000000000001</v>
      </c>
      <c r="DH18" s="228">
        <v>-0.06</v>
      </c>
      <c r="DI18" s="228">
        <v>34.68</v>
      </c>
      <c r="DJ18" s="228">
        <v>32.83</v>
      </c>
      <c r="DK18" s="228">
        <v>1.85</v>
      </c>
      <c r="DL18" s="228">
        <v>1.85</v>
      </c>
      <c r="DM18" s="228">
        <v>34.369999999999997</v>
      </c>
      <c r="DN18" s="228">
        <v>34.96</v>
      </c>
      <c r="DO18" s="228">
        <v>-0.59</v>
      </c>
      <c r="DP18" s="228">
        <v>-0.59</v>
      </c>
      <c r="DQ18" s="228">
        <v>0.69</v>
      </c>
      <c r="DR18" s="228">
        <v>0.62</v>
      </c>
      <c r="DS18" s="228">
        <v>7.0000000000000007E-2</v>
      </c>
      <c r="DT18" s="229">
        <v>0.1129</v>
      </c>
      <c r="DU18" s="231">
        <v>1640</v>
      </c>
      <c r="DV18" s="231">
        <v>1540</v>
      </c>
      <c r="DW18" s="228">
        <v>0.43</v>
      </c>
      <c r="DX18" s="228">
        <v>0.51</v>
      </c>
      <c r="DY18" s="228">
        <v>-0.08</v>
      </c>
      <c r="DZ18" s="229">
        <v>-0.15690000000000001</v>
      </c>
      <c r="EA18" s="229">
        <v>0.48039999999999999</v>
      </c>
      <c r="EB18" s="230">
        <v>4418300</v>
      </c>
      <c r="EC18" s="229">
        <v>-3.0499999999999999E-2</v>
      </c>
      <c r="ED18" s="229">
        <v>0.48039999999999999</v>
      </c>
      <c r="EE18" s="228">
        <v>-55.56</v>
      </c>
      <c r="EF18" s="229">
        <v>-3.5499999999999997E-2</v>
      </c>
      <c r="EG18" s="230">
        <v>155486</v>
      </c>
      <c r="EH18" s="230">
        <v>252276</v>
      </c>
      <c r="EI18" s="229">
        <v>-0.38369999999999999</v>
      </c>
      <c r="EJ18" s="229">
        <v>0.3619</v>
      </c>
      <c r="EK18" s="228">
        <v>651.85</v>
      </c>
      <c r="EL18" s="228">
        <v>265.54000000000002</v>
      </c>
      <c r="EM18" s="231">
        <v>1561.07</v>
      </c>
      <c r="EN18" s="228">
        <v>76.48</v>
      </c>
      <c r="EO18" s="231">
        <v>2478.4699999999998</v>
      </c>
      <c r="EP18" s="231">
        <v>1113.23</v>
      </c>
      <c r="EQ18" s="231">
        <v>1365.24</v>
      </c>
      <c r="ER18" s="229">
        <v>1.2263999999999999</v>
      </c>
      <c r="ES18" s="228">
        <v>499.32</v>
      </c>
      <c r="ET18" s="228">
        <v>322.77</v>
      </c>
      <c r="EU18" s="231">
        <v>2024.32</v>
      </c>
      <c r="EV18" s="231">
        <v>17577908</v>
      </c>
      <c r="EW18" s="231">
        <v>2846.42</v>
      </c>
      <c r="EX18" s="231">
        <v>3248.73</v>
      </c>
      <c r="EY18" s="228">
        <v>-402.31</v>
      </c>
      <c r="EZ18" s="229">
        <v>-0.12379999999999999</v>
      </c>
      <c r="FA18" s="229">
        <v>1.0365</v>
      </c>
      <c r="FB18" s="227" t="s">
        <v>567</v>
      </c>
      <c r="FC18">
        <f t="shared" si="0"/>
        <v>987</v>
      </c>
    </row>
    <row r="19" spans="1:159" ht="17.25" thickBot="1" x14ac:dyDescent="0.3">
      <c r="A19" s="226">
        <v>46135</v>
      </c>
      <c r="B19" s="227" t="s">
        <v>172</v>
      </c>
      <c r="C19" s="227" t="s">
        <v>495</v>
      </c>
      <c r="D19" s="228">
        <v>1000</v>
      </c>
      <c r="E19" s="228">
        <v>5</v>
      </c>
      <c r="F19" s="231">
        <v>1057.5999999999999</v>
      </c>
      <c r="G19" s="231">
        <v>1042.45</v>
      </c>
      <c r="H19" s="228">
        <v>15.15</v>
      </c>
      <c r="I19" s="229">
        <v>1.4500000000000001E-2</v>
      </c>
      <c r="J19" s="231">
        <v>1056.25</v>
      </c>
      <c r="K19" s="231">
        <v>1043.2</v>
      </c>
      <c r="L19" s="228">
        <v>13.05</v>
      </c>
      <c r="M19" s="229">
        <v>1.2500000000000001E-2</v>
      </c>
      <c r="N19" s="231">
        <v>1057.5999999999999</v>
      </c>
      <c r="O19" s="231">
        <v>1042.45</v>
      </c>
      <c r="P19" s="228">
        <v>15.15</v>
      </c>
      <c r="Q19" s="229">
        <v>1.4500000000000001E-2</v>
      </c>
      <c r="R19" s="231">
        <v>1063.3499999999999</v>
      </c>
      <c r="S19" s="231">
        <v>1049</v>
      </c>
      <c r="T19" s="228">
        <v>14.35</v>
      </c>
      <c r="U19" s="229">
        <v>1.37E-2</v>
      </c>
      <c r="V19" s="231">
        <v>1069.6500000000001</v>
      </c>
      <c r="W19" s="231">
        <v>1056.0999999999999</v>
      </c>
      <c r="X19" s="228">
        <v>13.55</v>
      </c>
      <c r="Y19" s="229">
        <v>1.2800000000000001E-2</v>
      </c>
      <c r="Z19" s="228">
        <v>1.35</v>
      </c>
      <c r="AA19" s="228">
        <v>-0.75</v>
      </c>
      <c r="AB19" s="228">
        <v>2.1</v>
      </c>
      <c r="AC19" s="229">
        <v>1.2999999999999999E-3</v>
      </c>
      <c r="AD19" s="228">
        <v>1.35</v>
      </c>
      <c r="AE19" s="228">
        <v>-0.75</v>
      </c>
      <c r="AF19" s="228">
        <v>2.1</v>
      </c>
      <c r="AG19" s="229">
        <v>1.2999999999999999E-3</v>
      </c>
      <c r="AH19" s="228">
        <v>7.1</v>
      </c>
      <c r="AI19" s="228">
        <v>5.8</v>
      </c>
      <c r="AJ19" s="228">
        <v>1.3</v>
      </c>
      <c r="AK19" s="229">
        <v>6.7000000000000002E-3</v>
      </c>
      <c r="AL19" s="228">
        <v>13.4</v>
      </c>
      <c r="AM19" s="228">
        <v>12.9</v>
      </c>
      <c r="AN19" s="228">
        <v>0.5</v>
      </c>
      <c r="AO19" s="229">
        <v>1.2699999999999999E-2</v>
      </c>
      <c r="AP19" s="231">
        <v>1052.82</v>
      </c>
      <c r="AQ19" s="231">
        <v>1058.6300000000001</v>
      </c>
      <c r="AR19" s="228">
        <v>0</v>
      </c>
      <c r="AS19" s="230">
        <v>1890</v>
      </c>
      <c r="AT19" s="228">
        <v>589</v>
      </c>
      <c r="AU19" s="230">
        <v>1301</v>
      </c>
      <c r="AV19" s="229">
        <v>2.2071000000000001</v>
      </c>
      <c r="AW19" s="228">
        <v>983</v>
      </c>
      <c r="AX19" s="228">
        <v>397</v>
      </c>
      <c r="AY19" s="228">
        <v>586</v>
      </c>
      <c r="AZ19" s="229">
        <v>1.4737</v>
      </c>
      <c r="BA19" s="228">
        <v>894</v>
      </c>
      <c r="BB19" s="228">
        <v>178</v>
      </c>
      <c r="BC19" s="228">
        <v>716</v>
      </c>
      <c r="BD19" s="229">
        <v>4.0286</v>
      </c>
      <c r="BE19" s="228">
        <v>13</v>
      </c>
      <c r="BF19" s="228">
        <v>14</v>
      </c>
      <c r="BG19" s="228">
        <v>-1</v>
      </c>
      <c r="BH19" s="229">
        <v>-9.0200000000000002E-2</v>
      </c>
      <c r="BI19" s="230">
        <v>1741</v>
      </c>
      <c r="BJ19" s="230">
        <v>2037</v>
      </c>
      <c r="BK19" s="228">
        <v>-297</v>
      </c>
      <c r="BL19" s="229">
        <v>-0.14549999999999999</v>
      </c>
      <c r="BM19" s="228">
        <v>939</v>
      </c>
      <c r="BN19" s="230">
        <v>1127</v>
      </c>
      <c r="BO19" s="228">
        <v>-188</v>
      </c>
      <c r="BP19" s="229">
        <v>-0.16650000000000001</v>
      </c>
      <c r="BQ19" s="230">
        <v>4570</v>
      </c>
      <c r="BR19" s="230">
        <v>3754</v>
      </c>
      <c r="BS19" s="228">
        <v>816</v>
      </c>
      <c r="BT19" s="229">
        <v>0.2175</v>
      </c>
      <c r="BU19" s="230">
        <v>5844330</v>
      </c>
      <c r="BV19" s="230">
        <v>2202234</v>
      </c>
      <c r="BW19" s="230">
        <v>3642096</v>
      </c>
      <c r="BX19" s="229">
        <v>1.6537999999999999</v>
      </c>
      <c r="BY19" s="230">
        <v>2779</v>
      </c>
      <c r="BZ19" s="230">
        <v>2700</v>
      </c>
      <c r="CA19" s="228">
        <v>80</v>
      </c>
      <c r="CB19" s="229">
        <v>2.9499999999999998E-2</v>
      </c>
      <c r="CC19" s="230">
        <v>1773</v>
      </c>
      <c r="CD19" s="230">
        <v>2385</v>
      </c>
      <c r="CE19" s="228">
        <v>-612</v>
      </c>
      <c r="CF19" s="229">
        <v>-0.25669999999999998</v>
      </c>
      <c r="CG19" s="228">
        <v>979</v>
      </c>
      <c r="CH19" s="228">
        <v>294</v>
      </c>
      <c r="CI19" s="228">
        <v>685</v>
      </c>
      <c r="CJ19" s="229">
        <v>2.3281999999999998</v>
      </c>
      <c r="CK19" s="228">
        <v>27</v>
      </c>
      <c r="CL19" s="228">
        <v>20</v>
      </c>
      <c r="CM19" s="228">
        <v>7</v>
      </c>
      <c r="CN19" s="229">
        <v>0.33329999999999999</v>
      </c>
      <c r="CO19" s="230">
        <v>1058</v>
      </c>
      <c r="CP19" s="228">
        <v>928</v>
      </c>
      <c r="CQ19" s="228">
        <v>130</v>
      </c>
      <c r="CR19" s="229">
        <v>0.1399</v>
      </c>
      <c r="CS19" s="228">
        <v>875</v>
      </c>
      <c r="CT19" s="228">
        <v>823</v>
      </c>
      <c r="CU19" s="228">
        <v>52</v>
      </c>
      <c r="CV19" s="229">
        <v>6.2700000000000006E-2</v>
      </c>
      <c r="CW19" s="230">
        <v>4712</v>
      </c>
      <c r="CX19" s="230">
        <v>4451</v>
      </c>
      <c r="CY19" s="228">
        <v>261</v>
      </c>
      <c r="CZ19" s="229">
        <v>5.8599999999999999E-2</v>
      </c>
      <c r="DA19" s="228">
        <v>38.44</v>
      </c>
      <c r="DB19" s="228">
        <v>40.85</v>
      </c>
      <c r="DC19" s="228">
        <v>-2.41</v>
      </c>
      <c r="DD19" s="228">
        <v>-2.41</v>
      </c>
      <c r="DE19" s="228">
        <v>38.35</v>
      </c>
      <c r="DF19" s="228">
        <v>38.409999999999997</v>
      </c>
      <c r="DG19" s="228">
        <v>0.09</v>
      </c>
      <c r="DH19" s="228">
        <v>-0.06</v>
      </c>
      <c r="DI19" s="228">
        <v>38.26</v>
      </c>
      <c r="DJ19" s="228">
        <v>39.659999999999997</v>
      </c>
      <c r="DK19" s="228">
        <v>-1.4</v>
      </c>
      <c r="DL19" s="228">
        <v>-1.4</v>
      </c>
      <c r="DM19" s="228">
        <v>39.01</v>
      </c>
      <c r="DN19" s="228">
        <v>43.01</v>
      </c>
      <c r="DO19" s="228">
        <v>-4</v>
      </c>
      <c r="DP19" s="228">
        <v>-4</v>
      </c>
      <c r="DQ19" s="228">
        <v>0.83</v>
      </c>
      <c r="DR19" s="228">
        <v>0.89</v>
      </c>
      <c r="DS19" s="228">
        <v>-0.06</v>
      </c>
      <c r="DT19" s="229">
        <v>-6.7400000000000002E-2</v>
      </c>
      <c r="DU19" s="231">
        <v>1100</v>
      </c>
      <c r="DV19" s="231">
        <v>1000</v>
      </c>
      <c r="DW19" s="228">
        <v>0.54</v>
      </c>
      <c r="DX19" s="228">
        <v>0.55000000000000004</v>
      </c>
      <c r="DY19" s="228">
        <v>-0.01</v>
      </c>
      <c r="DZ19" s="229">
        <v>-1.8200000000000001E-2</v>
      </c>
      <c r="EA19" s="229">
        <v>0.36209999999999998</v>
      </c>
      <c r="EB19" s="230">
        <v>2974000</v>
      </c>
      <c r="EC19" s="229">
        <v>5.4000000000000003E-3</v>
      </c>
      <c r="ED19" s="229">
        <v>0.36209999999999998</v>
      </c>
      <c r="EE19" s="228">
        <v>5.81</v>
      </c>
      <c r="EF19" s="229">
        <v>5.4999999999999997E-3</v>
      </c>
      <c r="EG19" s="230">
        <v>3853756</v>
      </c>
      <c r="EH19" s="230">
        <v>962804</v>
      </c>
      <c r="EI19" s="229">
        <v>3.0026000000000002</v>
      </c>
      <c r="EJ19" s="229">
        <v>0.65939999999999999</v>
      </c>
      <c r="EK19" s="231">
        <v>1796.14</v>
      </c>
      <c r="EL19" s="228">
        <v>909.96</v>
      </c>
      <c r="EM19" s="231">
        <v>1886.45</v>
      </c>
      <c r="EN19" s="228">
        <v>48.49</v>
      </c>
      <c r="EO19" s="231">
        <v>4592.54</v>
      </c>
      <c r="EP19" s="231">
        <v>3753.58</v>
      </c>
      <c r="EQ19" s="228">
        <v>838.96</v>
      </c>
      <c r="ER19" s="229">
        <v>0.2235</v>
      </c>
      <c r="ES19" s="231">
        <v>1019.3</v>
      </c>
      <c r="ET19" s="228">
        <v>792.57</v>
      </c>
      <c r="EU19" s="231">
        <v>2784.79</v>
      </c>
      <c r="EV19" s="231">
        <v>86532345</v>
      </c>
      <c r="EW19" s="231">
        <v>4596.66</v>
      </c>
      <c r="EX19" s="231">
        <v>4285.33</v>
      </c>
      <c r="EY19" s="228">
        <v>311.33</v>
      </c>
      <c r="EZ19" s="229">
        <v>7.2700000000000001E-2</v>
      </c>
      <c r="FA19" s="229">
        <v>0.51490000000000002</v>
      </c>
      <c r="FB19" s="227" t="s">
        <v>555</v>
      </c>
      <c r="FC19">
        <f t="shared" si="0"/>
        <v>1006</v>
      </c>
    </row>
    <row r="20" spans="1:159" ht="17.25" thickBot="1" x14ac:dyDescent="0.3">
      <c r="A20" s="226">
        <v>46135</v>
      </c>
      <c r="B20" s="227" t="s">
        <v>170</v>
      </c>
      <c r="C20" s="227" t="s">
        <v>171</v>
      </c>
      <c r="D20" s="228">
        <v>550</v>
      </c>
      <c r="E20" s="228">
        <v>5</v>
      </c>
      <c r="F20" s="231">
        <v>1437.7</v>
      </c>
      <c r="G20" s="231">
        <v>1417.3</v>
      </c>
      <c r="H20" s="228">
        <v>20.399999999999999</v>
      </c>
      <c r="I20" s="229">
        <v>1.44E-2</v>
      </c>
      <c r="J20" s="231">
        <v>1435.4</v>
      </c>
      <c r="K20" s="231">
        <v>1421.2</v>
      </c>
      <c r="L20" s="228">
        <v>14.2</v>
      </c>
      <c r="M20" s="229">
        <v>0.01</v>
      </c>
      <c r="N20" s="231">
        <v>1437.7</v>
      </c>
      <c r="O20" s="231">
        <v>1417.3</v>
      </c>
      <c r="P20" s="228">
        <v>20.399999999999999</v>
      </c>
      <c r="Q20" s="229">
        <v>1.44E-2</v>
      </c>
      <c r="R20" s="231">
        <v>1446.4</v>
      </c>
      <c r="S20" s="231">
        <v>1425.7</v>
      </c>
      <c r="T20" s="228">
        <v>20.7</v>
      </c>
      <c r="U20" s="229">
        <v>1.4500000000000001E-2</v>
      </c>
      <c r="V20" s="231">
        <v>1450.8</v>
      </c>
      <c r="W20" s="231">
        <v>1432.3</v>
      </c>
      <c r="X20" s="228">
        <v>18.5</v>
      </c>
      <c r="Y20" s="229">
        <v>1.29E-2</v>
      </c>
      <c r="Z20" s="228">
        <v>2.2999999999999998</v>
      </c>
      <c r="AA20" s="228">
        <v>-3.9</v>
      </c>
      <c r="AB20" s="228">
        <v>6.2</v>
      </c>
      <c r="AC20" s="229">
        <v>1.6000000000000001E-3</v>
      </c>
      <c r="AD20" s="228">
        <v>2.2999999999999998</v>
      </c>
      <c r="AE20" s="228">
        <v>-3.9</v>
      </c>
      <c r="AF20" s="228">
        <v>6.2</v>
      </c>
      <c r="AG20" s="229">
        <v>1.6000000000000001E-3</v>
      </c>
      <c r="AH20" s="228">
        <v>11</v>
      </c>
      <c r="AI20" s="228">
        <v>4.5</v>
      </c>
      <c r="AJ20" s="228">
        <v>6.5</v>
      </c>
      <c r="AK20" s="229">
        <v>7.7000000000000002E-3</v>
      </c>
      <c r="AL20" s="228">
        <v>15.4</v>
      </c>
      <c r="AM20" s="228">
        <v>11.1</v>
      </c>
      <c r="AN20" s="228">
        <v>4.3</v>
      </c>
      <c r="AO20" s="229">
        <v>1.0699999999999999E-2</v>
      </c>
      <c r="AP20" s="231">
        <v>1437.86</v>
      </c>
      <c r="AQ20" s="231">
        <v>1445.74</v>
      </c>
      <c r="AR20" s="228">
        <v>0</v>
      </c>
      <c r="AS20" s="230">
        <v>1237</v>
      </c>
      <c r="AT20" s="228">
        <v>686</v>
      </c>
      <c r="AU20" s="228">
        <v>551</v>
      </c>
      <c r="AV20" s="229">
        <v>0.80259999999999998</v>
      </c>
      <c r="AW20" s="228">
        <v>615</v>
      </c>
      <c r="AX20" s="228">
        <v>412</v>
      </c>
      <c r="AY20" s="228">
        <v>203</v>
      </c>
      <c r="AZ20" s="229">
        <v>0.4929</v>
      </c>
      <c r="BA20" s="228">
        <v>620</v>
      </c>
      <c r="BB20" s="228">
        <v>270</v>
      </c>
      <c r="BC20" s="228">
        <v>350</v>
      </c>
      <c r="BD20" s="229">
        <v>1.2945</v>
      </c>
      <c r="BE20" s="228">
        <v>2</v>
      </c>
      <c r="BF20" s="228">
        <v>4</v>
      </c>
      <c r="BG20" s="228">
        <v>-2</v>
      </c>
      <c r="BH20" s="229">
        <v>-0.49059999999999998</v>
      </c>
      <c r="BI20" s="230">
        <v>1553</v>
      </c>
      <c r="BJ20" s="228">
        <v>828</v>
      </c>
      <c r="BK20" s="228">
        <v>725</v>
      </c>
      <c r="BL20" s="229">
        <v>0.87560000000000004</v>
      </c>
      <c r="BM20" s="228">
        <v>636</v>
      </c>
      <c r="BN20" s="228">
        <v>459</v>
      </c>
      <c r="BO20" s="228">
        <v>177</v>
      </c>
      <c r="BP20" s="229">
        <v>0.38550000000000001</v>
      </c>
      <c r="BQ20" s="230">
        <v>3426</v>
      </c>
      <c r="BR20" s="230">
        <v>1973</v>
      </c>
      <c r="BS20" s="230">
        <v>1453</v>
      </c>
      <c r="BT20" s="229">
        <v>0.73619999999999997</v>
      </c>
      <c r="BU20" s="230">
        <v>2293386</v>
      </c>
      <c r="BV20" s="230">
        <v>1765390</v>
      </c>
      <c r="BW20" s="230">
        <v>527996</v>
      </c>
      <c r="BX20" s="229">
        <v>0.29909999999999998</v>
      </c>
      <c r="BY20" s="230">
        <v>3232</v>
      </c>
      <c r="BZ20" s="230">
        <v>3161</v>
      </c>
      <c r="CA20" s="228">
        <v>71</v>
      </c>
      <c r="CB20" s="229">
        <v>2.2599999999999999E-2</v>
      </c>
      <c r="CC20" s="228">
        <v>981</v>
      </c>
      <c r="CD20" s="230">
        <v>1388</v>
      </c>
      <c r="CE20" s="228">
        <v>-407</v>
      </c>
      <c r="CF20" s="229">
        <v>-0.29349999999999998</v>
      </c>
      <c r="CG20" s="230">
        <v>2248</v>
      </c>
      <c r="CH20" s="230">
        <v>1769</v>
      </c>
      <c r="CI20" s="228">
        <v>479</v>
      </c>
      <c r="CJ20" s="229">
        <v>0.2707</v>
      </c>
      <c r="CK20" s="228">
        <v>3</v>
      </c>
      <c r="CL20" s="228">
        <v>3</v>
      </c>
      <c r="CM20" s="228">
        <v>0</v>
      </c>
      <c r="CN20" s="229">
        <v>-2.3800000000000002E-2</v>
      </c>
      <c r="CO20" s="228">
        <v>643</v>
      </c>
      <c r="CP20" s="228">
        <v>640</v>
      </c>
      <c r="CQ20" s="228">
        <v>2</v>
      </c>
      <c r="CR20" s="229">
        <v>3.8E-3</v>
      </c>
      <c r="CS20" s="228">
        <v>485</v>
      </c>
      <c r="CT20" s="228">
        <v>428</v>
      </c>
      <c r="CU20" s="228">
        <v>57</v>
      </c>
      <c r="CV20" s="229">
        <v>0.13250000000000001</v>
      </c>
      <c r="CW20" s="230">
        <v>4360</v>
      </c>
      <c r="CX20" s="230">
        <v>4230</v>
      </c>
      <c r="CY20" s="228">
        <v>131</v>
      </c>
      <c r="CZ20" s="229">
        <v>3.09E-2</v>
      </c>
      <c r="DA20" s="228">
        <v>31.47</v>
      </c>
      <c r="DB20" s="228">
        <v>28.54</v>
      </c>
      <c r="DC20" s="228">
        <v>2.93</v>
      </c>
      <c r="DD20" s="228">
        <v>2.93</v>
      </c>
      <c r="DE20" s="228">
        <v>33.270000000000003</v>
      </c>
      <c r="DF20" s="228">
        <v>33.33</v>
      </c>
      <c r="DG20" s="228">
        <v>-1.8</v>
      </c>
      <c r="DH20" s="228">
        <v>-0.06</v>
      </c>
      <c r="DI20" s="228">
        <v>31.22</v>
      </c>
      <c r="DJ20" s="228">
        <v>25.32</v>
      </c>
      <c r="DK20" s="228">
        <v>5.9</v>
      </c>
      <c r="DL20" s="228">
        <v>5.9</v>
      </c>
      <c r="DM20" s="228">
        <v>31.9</v>
      </c>
      <c r="DN20" s="228">
        <v>34.35</v>
      </c>
      <c r="DO20" s="228">
        <v>-2.4500000000000002</v>
      </c>
      <c r="DP20" s="228">
        <v>-2.4500000000000002</v>
      </c>
      <c r="DQ20" s="228">
        <v>0.76</v>
      </c>
      <c r="DR20" s="228">
        <v>0.67</v>
      </c>
      <c r="DS20" s="228">
        <v>0.09</v>
      </c>
      <c r="DT20" s="229">
        <v>0.1343</v>
      </c>
      <c r="DU20" s="231">
        <v>1500</v>
      </c>
      <c r="DV20" s="231">
        <v>1300</v>
      </c>
      <c r="DW20" s="228">
        <v>0.41</v>
      </c>
      <c r="DX20" s="228">
        <v>0.55000000000000004</v>
      </c>
      <c r="DY20" s="228">
        <v>-0.14000000000000001</v>
      </c>
      <c r="DZ20" s="229">
        <v>-0.2545</v>
      </c>
      <c r="EA20" s="229">
        <v>0.69650000000000001</v>
      </c>
      <c r="EB20" s="230">
        <v>12328800</v>
      </c>
      <c r="EC20" s="229">
        <v>6.1000000000000004E-3</v>
      </c>
      <c r="ED20" s="229">
        <v>0.69650000000000001</v>
      </c>
      <c r="EE20" s="228">
        <v>7.88</v>
      </c>
      <c r="EF20" s="229">
        <v>5.4999999999999997E-3</v>
      </c>
      <c r="EG20" s="230">
        <v>1112779</v>
      </c>
      <c r="EH20" s="230">
        <v>904666</v>
      </c>
      <c r="EI20" s="229">
        <v>0.23</v>
      </c>
      <c r="EJ20" s="229">
        <v>0.48520000000000002</v>
      </c>
      <c r="EK20" s="231">
        <v>1594.68</v>
      </c>
      <c r="EL20" s="228">
        <v>619.54999999999995</v>
      </c>
      <c r="EM20" s="231">
        <v>1240.82</v>
      </c>
      <c r="EN20" s="228">
        <v>114.65</v>
      </c>
      <c r="EO20" s="231">
        <v>3455.05</v>
      </c>
      <c r="EP20" s="231">
        <v>1931.7</v>
      </c>
      <c r="EQ20" s="231">
        <v>1523.35</v>
      </c>
      <c r="ER20" s="229">
        <v>0.78859999999999997</v>
      </c>
      <c r="ES20" s="228">
        <v>627.47</v>
      </c>
      <c r="ET20" s="228">
        <v>447.42</v>
      </c>
      <c r="EU20" s="231">
        <v>3245.92</v>
      </c>
      <c r="EV20" s="231">
        <v>41977935</v>
      </c>
      <c r="EW20" s="231">
        <v>4320.8100000000004</v>
      </c>
      <c r="EX20" s="231">
        <v>4138.6899999999996</v>
      </c>
      <c r="EY20" s="228">
        <v>182.12</v>
      </c>
      <c r="EZ20" s="229">
        <v>4.3999999999999997E-2</v>
      </c>
      <c r="FA20" s="229">
        <v>0.72250000000000003</v>
      </c>
      <c r="FB20" s="227" t="s">
        <v>555</v>
      </c>
      <c r="FC20">
        <f t="shared" si="0"/>
        <v>2251</v>
      </c>
    </row>
    <row r="21" spans="1:159" ht="17.25" thickBot="1" x14ac:dyDescent="0.3">
      <c r="A21" s="226">
        <v>46135</v>
      </c>
      <c r="B21" s="227" t="s">
        <v>172</v>
      </c>
      <c r="C21" s="227" t="s">
        <v>173</v>
      </c>
      <c r="D21" s="228">
        <v>625</v>
      </c>
      <c r="E21" s="228">
        <v>5</v>
      </c>
      <c r="F21" s="231">
        <v>1367.3</v>
      </c>
      <c r="G21" s="231">
        <v>1377.7</v>
      </c>
      <c r="H21" s="228">
        <v>-10.4</v>
      </c>
      <c r="I21" s="229">
        <v>-7.4999999999999997E-3</v>
      </c>
      <c r="J21" s="231">
        <v>1369.6</v>
      </c>
      <c r="K21" s="231">
        <v>1379.6</v>
      </c>
      <c r="L21" s="228">
        <v>-10</v>
      </c>
      <c r="M21" s="229">
        <v>-7.1999999999999998E-3</v>
      </c>
      <c r="N21" s="231">
        <v>1367.3</v>
      </c>
      <c r="O21" s="231">
        <v>1377.7</v>
      </c>
      <c r="P21" s="228">
        <v>-10.4</v>
      </c>
      <c r="Q21" s="229">
        <v>-7.4999999999999997E-3</v>
      </c>
      <c r="R21" s="231">
        <v>1375.2</v>
      </c>
      <c r="S21" s="231">
        <v>1385.5</v>
      </c>
      <c r="T21" s="228">
        <v>-10.3</v>
      </c>
      <c r="U21" s="229">
        <v>-7.4000000000000003E-3</v>
      </c>
      <c r="V21" s="231">
        <v>1385.2</v>
      </c>
      <c r="W21" s="231">
        <v>1394</v>
      </c>
      <c r="X21" s="228">
        <v>-8.8000000000000007</v>
      </c>
      <c r="Y21" s="229">
        <v>-6.3E-3</v>
      </c>
      <c r="Z21" s="228">
        <v>-2.2999999999999998</v>
      </c>
      <c r="AA21" s="228">
        <v>-1.9</v>
      </c>
      <c r="AB21" s="228">
        <v>-0.4</v>
      </c>
      <c r="AC21" s="229">
        <v>-1.6999999999999999E-3</v>
      </c>
      <c r="AD21" s="228">
        <v>-2.2999999999999998</v>
      </c>
      <c r="AE21" s="228">
        <v>-1.9</v>
      </c>
      <c r="AF21" s="228">
        <v>-0.4</v>
      </c>
      <c r="AG21" s="229">
        <v>-1.6999999999999999E-3</v>
      </c>
      <c r="AH21" s="228">
        <v>5.6</v>
      </c>
      <c r="AI21" s="228">
        <v>5.9</v>
      </c>
      <c r="AJ21" s="228">
        <v>-0.3</v>
      </c>
      <c r="AK21" s="229">
        <v>4.1000000000000003E-3</v>
      </c>
      <c r="AL21" s="228">
        <v>15.6</v>
      </c>
      <c r="AM21" s="228">
        <v>14.4</v>
      </c>
      <c r="AN21" s="228">
        <v>1.2</v>
      </c>
      <c r="AO21" s="229">
        <v>1.14E-2</v>
      </c>
      <c r="AP21" s="231">
        <v>1371.76</v>
      </c>
      <c r="AQ21" s="231">
        <v>1379.6</v>
      </c>
      <c r="AR21" s="228">
        <v>0</v>
      </c>
      <c r="AS21" s="230">
        <v>4565</v>
      </c>
      <c r="AT21" s="230">
        <v>1868</v>
      </c>
      <c r="AU21" s="230">
        <v>2696</v>
      </c>
      <c r="AV21" s="229">
        <v>1.4431</v>
      </c>
      <c r="AW21" s="230">
        <v>2285</v>
      </c>
      <c r="AX21" s="230">
        <v>1134</v>
      </c>
      <c r="AY21" s="230">
        <v>1151</v>
      </c>
      <c r="AZ21" s="229">
        <v>1.0143</v>
      </c>
      <c r="BA21" s="230">
        <v>2193</v>
      </c>
      <c r="BB21" s="228">
        <v>374</v>
      </c>
      <c r="BC21" s="230">
        <v>1819</v>
      </c>
      <c r="BD21" s="229">
        <v>4.8596000000000004</v>
      </c>
      <c r="BE21" s="228">
        <v>87</v>
      </c>
      <c r="BF21" s="228">
        <v>360</v>
      </c>
      <c r="BG21" s="228">
        <v>-273</v>
      </c>
      <c r="BH21" s="229">
        <v>-0.75870000000000004</v>
      </c>
      <c r="BI21" s="230">
        <v>2800</v>
      </c>
      <c r="BJ21" s="230">
        <v>2742</v>
      </c>
      <c r="BK21" s="228">
        <v>58</v>
      </c>
      <c r="BL21" s="229">
        <v>2.1299999999999999E-2</v>
      </c>
      <c r="BM21" s="230">
        <v>2215</v>
      </c>
      <c r="BN21" s="230">
        <v>1854</v>
      </c>
      <c r="BO21" s="228">
        <v>361</v>
      </c>
      <c r="BP21" s="229">
        <v>0.19489999999999999</v>
      </c>
      <c r="BQ21" s="230">
        <v>9580</v>
      </c>
      <c r="BR21" s="230">
        <v>6464</v>
      </c>
      <c r="BS21" s="230">
        <v>3116</v>
      </c>
      <c r="BT21" s="229">
        <v>0.48199999999999998</v>
      </c>
      <c r="BU21" s="230">
        <v>6541926</v>
      </c>
      <c r="BV21" s="230">
        <v>4215858</v>
      </c>
      <c r="BW21" s="230">
        <v>2326068</v>
      </c>
      <c r="BX21" s="229">
        <v>0.55169999999999997</v>
      </c>
      <c r="BY21" s="230">
        <v>9059</v>
      </c>
      <c r="BZ21" s="230">
        <v>8797</v>
      </c>
      <c r="CA21" s="228">
        <v>262</v>
      </c>
      <c r="CB21" s="229">
        <v>2.98E-2</v>
      </c>
      <c r="CC21" s="230">
        <v>3792</v>
      </c>
      <c r="CD21" s="230">
        <v>5589</v>
      </c>
      <c r="CE21" s="230">
        <v>-1797</v>
      </c>
      <c r="CF21" s="229">
        <v>-0.3216</v>
      </c>
      <c r="CG21" s="230">
        <v>4595</v>
      </c>
      <c r="CH21" s="230">
        <v>2611</v>
      </c>
      <c r="CI21" s="230">
        <v>1984</v>
      </c>
      <c r="CJ21" s="229">
        <v>0.75990000000000002</v>
      </c>
      <c r="CK21" s="228">
        <v>672</v>
      </c>
      <c r="CL21" s="228">
        <v>597</v>
      </c>
      <c r="CM21" s="228">
        <v>76</v>
      </c>
      <c r="CN21" s="229">
        <v>0.12659999999999999</v>
      </c>
      <c r="CO21" s="230">
        <v>2564</v>
      </c>
      <c r="CP21" s="230">
        <v>2357</v>
      </c>
      <c r="CQ21" s="228">
        <v>207</v>
      </c>
      <c r="CR21" s="229">
        <v>8.77E-2</v>
      </c>
      <c r="CS21" s="230">
        <v>1956</v>
      </c>
      <c r="CT21" s="230">
        <v>1962</v>
      </c>
      <c r="CU21" s="228">
        <v>-5</v>
      </c>
      <c r="CV21" s="229">
        <v>-2.8E-3</v>
      </c>
      <c r="CW21" s="230">
        <v>13579</v>
      </c>
      <c r="CX21" s="230">
        <v>13116</v>
      </c>
      <c r="CY21" s="228">
        <v>464</v>
      </c>
      <c r="CZ21" s="229">
        <v>3.5299999999999998E-2</v>
      </c>
      <c r="DA21" s="228">
        <v>28.95</v>
      </c>
      <c r="DB21" s="228">
        <v>36.56</v>
      </c>
      <c r="DC21" s="228">
        <v>-7.61</v>
      </c>
      <c r="DD21" s="228">
        <v>-7.61</v>
      </c>
      <c r="DE21" s="228">
        <v>29.87</v>
      </c>
      <c r="DF21" s="228">
        <v>29.92</v>
      </c>
      <c r="DG21" s="228">
        <v>-0.92</v>
      </c>
      <c r="DH21" s="228">
        <v>-0.05</v>
      </c>
      <c r="DI21" s="228">
        <v>28.41</v>
      </c>
      <c r="DJ21" s="228">
        <v>35.74</v>
      </c>
      <c r="DK21" s="228">
        <v>-7.33</v>
      </c>
      <c r="DL21" s="228">
        <v>-7.33</v>
      </c>
      <c r="DM21" s="228">
        <v>29.55</v>
      </c>
      <c r="DN21" s="228">
        <v>37.79</v>
      </c>
      <c r="DO21" s="228">
        <v>-8.24</v>
      </c>
      <c r="DP21" s="228">
        <v>-8.24</v>
      </c>
      <c r="DQ21" s="228">
        <v>0.76</v>
      </c>
      <c r="DR21" s="228">
        <v>0.83</v>
      </c>
      <c r="DS21" s="228">
        <v>-7.0000000000000007E-2</v>
      </c>
      <c r="DT21" s="229">
        <v>-8.43E-2</v>
      </c>
      <c r="DU21" s="231">
        <v>1400</v>
      </c>
      <c r="DV21" s="231">
        <v>1300</v>
      </c>
      <c r="DW21" s="228">
        <v>0.79</v>
      </c>
      <c r="DX21" s="228">
        <v>0.68</v>
      </c>
      <c r="DY21" s="228">
        <v>0.11</v>
      </c>
      <c r="DZ21" s="229">
        <v>0.1618</v>
      </c>
      <c r="EA21" s="229">
        <v>0.58140000000000003</v>
      </c>
      <c r="EB21" s="230">
        <v>23460000</v>
      </c>
      <c r="EC21" s="229">
        <v>5.7999999999999996E-3</v>
      </c>
      <c r="ED21" s="229">
        <v>0.58140000000000003</v>
      </c>
      <c r="EE21" s="228">
        <v>7.84</v>
      </c>
      <c r="EF21" s="229">
        <v>5.7000000000000002E-3</v>
      </c>
      <c r="EG21" s="230">
        <v>3374544</v>
      </c>
      <c r="EH21" s="230">
        <v>2474286</v>
      </c>
      <c r="EI21" s="229">
        <v>0.36380000000000001</v>
      </c>
      <c r="EJ21" s="229">
        <v>0.51580000000000004</v>
      </c>
      <c r="EK21" s="231">
        <v>2895.88</v>
      </c>
      <c r="EL21" s="231">
        <v>2153.0300000000002</v>
      </c>
      <c r="EM21" s="231">
        <v>4593.07</v>
      </c>
      <c r="EN21" s="228">
        <v>136.97</v>
      </c>
      <c r="EO21" s="231">
        <v>9641.9699999999993</v>
      </c>
      <c r="EP21" s="231">
        <v>6575.07</v>
      </c>
      <c r="EQ21" s="231">
        <v>3066.9</v>
      </c>
      <c r="ER21" s="229">
        <v>0.46639999999999998</v>
      </c>
      <c r="ES21" s="231">
        <v>2530.23</v>
      </c>
      <c r="ET21" s="231">
        <v>1803.39</v>
      </c>
      <c r="EU21" s="231">
        <v>9094.57</v>
      </c>
      <c r="EV21" s="231">
        <v>331596880</v>
      </c>
      <c r="EW21" s="231">
        <v>13428.18</v>
      </c>
      <c r="EX21" s="231">
        <v>13012.54</v>
      </c>
      <c r="EY21" s="228">
        <v>415.64</v>
      </c>
      <c r="EZ21" s="229">
        <v>3.1899999999999998E-2</v>
      </c>
      <c r="FA21" s="229">
        <v>0.29949999999999999</v>
      </c>
      <c r="FB21" s="227" t="s">
        <v>566</v>
      </c>
      <c r="FC21">
        <f t="shared" si="0"/>
        <v>5267</v>
      </c>
    </row>
    <row r="22" spans="1:159" ht="17.25" thickBot="1" x14ac:dyDescent="0.3">
      <c r="A22" s="226">
        <v>46135</v>
      </c>
      <c r="B22" s="227" t="s">
        <v>162</v>
      </c>
      <c r="C22" s="227" t="s">
        <v>174</v>
      </c>
      <c r="D22" s="228">
        <v>75</v>
      </c>
      <c r="E22" s="228">
        <v>5</v>
      </c>
      <c r="F22" s="231">
        <v>9574</v>
      </c>
      <c r="G22" s="231">
        <v>9635</v>
      </c>
      <c r="H22" s="228">
        <v>-61</v>
      </c>
      <c r="I22" s="229">
        <v>-6.3E-3</v>
      </c>
      <c r="J22" s="231">
        <v>9550.5</v>
      </c>
      <c r="K22" s="231">
        <v>9602</v>
      </c>
      <c r="L22" s="228">
        <v>-51.5</v>
      </c>
      <c r="M22" s="229">
        <v>-5.4000000000000003E-3</v>
      </c>
      <c r="N22" s="231">
        <v>9574</v>
      </c>
      <c r="O22" s="231">
        <v>9635</v>
      </c>
      <c r="P22" s="228">
        <v>-61</v>
      </c>
      <c r="Q22" s="229">
        <v>-6.3E-3</v>
      </c>
      <c r="R22" s="231">
        <v>9564.5</v>
      </c>
      <c r="S22" s="231">
        <v>9635</v>
      </c>
      <c r="T22" s="228">
        <v>-70.5</v>
      </c>
      <c r="U22" s="229">
        <v>-7.3000000000000001E-3</v>
      </c>
      <c r="V22" s="231">
        <v>9573</v>
      </c>
      <c r="W22" s="231">
        <v>9636</v>
      </c>
      <c r="X22" s="228">
        <v>-63</v>
      </c>
      <c r="Y22" s="229">
        <v>-6.4999999999999997E-3</v>
      </c>
      <c r="Z22" s="228">
        <v>23.5</v>
      </c>
      <c r="AA22" s="228">
        <v>33</v>
      </c>
      <c r="AB22" s="228">
        <v>-9.5</v>
      </c>
      <c r="AC22" s="229">
        <v>2.5000000000000001E-3</v>
      </c>
      <c r="AD22" s="228">
        <v>23.5</v>
      </c>
      <c r="AE22" s="228">
        <v>33</v>
      </c>
      <c r="AF22" s="228">
        <v>-9.5</v>
      </c>
      <c r="AG22" s="229">
        <v>2.5000000000000001E-3</v>
      </c>
      <c r="AH22" s="228">
        <v>14</v>
      </c>
      <c r="AI22" s="228">
        <v>33</v>
      </c>
      <c r="AJ22" s="228">
        <v>-19</v>
      </c>
      <c r="AK22" s="229">
        <v>1.5E-3</v>
      </c>
      <c r="AL22" s="228">
        <v>22.5</v>
      </c>
      <c r="AM22" s="228">
        <v>34</v>
      </c>
      <c r="AN22" s="228">
        <v>-11.5</v>
      </c>
      <c r="AO22" s="229">
        <v>2.3999999999999998E-3</v>
      </c>
      <c r="AP22" s="231">
        <v>9564.44</v>
      </c>
      <c r="AQ22" s="231">
        <v>9547.92</v>
      </c>
      <c r="AR22" s="228">
        <v>0</v>
      </c>
      <c r="AS22" s="230">
        <v>2079</v>
      </c>
      <c r="AT22" s="228">
        <v>576</v>
      </c>
      <c r="AU22" s="230">
        <v>1503</v>
      </c>
      <c r="AV22" s="229">
        <v>2.6095999999999999</v>
      </c>
      <c r="AW22" s="230">
        <v>1052</v>
      </c>
      <c r="AX22" s="228">
        <v>385</v>
      </c>
      <c r="AY22" s="228">
        <v>667</v>
      </c>
      <c r="AZ22" s="229">
        <v>1.7322</v>
      </c>
      <c r="BA22" s="230">
        <v>1015</v>
      </c>
      <c r="BB22" s="228">
        <v>184</v>
      </c>
      <c r="BC22" s="228">
        <v>831</v>
      </c>
      <c r="BD22" s="229">
        <v>4.5110999999999999</v>
      </c>
      <c r="BE22" s="228">
        <v>12</v>
      </c>
      <c r="BF22" s="228">
        <v>7</v>
      </c>
      <c r="BG22" s="228">
        <v>5</v>
      </c>
      <c r="BH22" s="229">
        <v>0.75270000000000004</v>
      </c>
      <c r="BI22" s="230">
        <v>1864</v>
      </c>
      <c r="BJ22" s="230">
        <v>1658</v>
      </c>
      <c r="BK22" s="228">
        <v>207</v>
      </c>
      <c r="BL22" s="229">
        <v>0.12479999999999999</v>
      </c>
      <c r="BM22" s="230">
        <v>1381</v>
      </c>
      <c r="BN22" s="230">
        <v>1034</v>
      </c>
      <c r="BO22" s="228">
        <v>347</v>
      </c>
      <c r="BP22" s="229">
        <v>0.33550000000000002</v>
      </c>
      <c r="BQ22" s="230">
        <v>5324</v>
      </c>
      <c r="BR22" s="230">
        <v>3268</v>
      </c>
      <c r="BS22" s="230">
        <v>2057</v>
      </c>
      <c r="BT22" s="229">
        <v>0.62939999999999996</v>
      </c>
      <c r="BU22" s="230">
        <v>470269</v>
      </c>
      <c r="BV22" s="230">
        <v>314512</v>
      </c>
      <c r="BW22" s="230">
        <v>155757</v>
      </c>
      <c r="BX22" s="229">
        <v>0.49519999999999997</v>
      </c>
      <c r="BY22" s="230">
        <v>2713</v>
      </c>
      <c r="BZ22" s="230">
        <v>2942</v>
      </c>
      <c r="CA22" s="228">
        <v>-229</v>
      </c>
      <c r="CB22" s="229">
        <v>-7.7700000000000005E-2</v>
      </c>
      <c r="CC22" s="230">
        <v>1673</v>
      </c>
      <c r="CD22" s="230">
        <v>2499</v>
      </c>
      <c r="CE22" s="228">
        <v>-826</v>
      </c>
      <c r="CF22" s="229">
        <v>-0.33040000000000003</v>
      </c>
      <c r="CG22" s="230">
        <v>1009</v>
      </c>
      <c r="CH22" s="228">
        <v>420</v>
      </c>
      <c r="CI22" s="228">
        <v>589</v>
      </c>
      <c r="CJ22" s="229">
        <v>1.4049</v>
      </c>
      <c r="CK22" s="228">
        <v>31</v>
      </c>
      <c r="CL22" s="228">
        <v>23</v>
      </c>
      <c r="CM22" s="228">
        <v>8</v>
      </c>
      <c r="CN22" s="229">
        <v>0.33960000000000001</v>
      </c>
      <c r="CO22" s="230">
        <v>1251</v>
      </c>
      <c r="CP22" s="230">
        <v>1261</v>
      </c>
      <c r="CQ22" s="228">
        <v>-10</v>
      </c>
      <c r="CR22" s="229">
        <v>-8.2000000000000007E-3</v>
      </c>
      <c r="CS22" s="230">
        <v>1160</v>
      </c>
      <c r="CT22" s="230">
        <v>1086</v>
      </c>
      <c r="CU22" s="228">
        <v>74</v>
      </c>
      <c r="CV22" s="229">
        <v>6.8400000000000002E-2</v>
      </c>
      <c r="CW22" s="230">
        <v>5124</v>
      </c>
      <c r="CX22" s="230">
        <v>5289</v>
      </c>
      <c r="CY22" s="228">
        <v>-165</v>
      </c>
      <c r="CZ22" s="229">
        <v>-3.1099999999999999E-2</v>
      </c>
      <c r="DA22" s="228">
        <v>30.01</v>
      </c>
      <c r="DB22" s="228">
        <v>28.38</v>
      </c>
      <c r="DC22" s="228">
        <v>1.63</v>
      </c>
      <c r="DD22" s="228">
        <v>1.63</v>
      </c>
      <c r="DE22" s="228">
        <v>29.52</v>
      </c>
      <c r="DF22" s="228">
        <v>29.58</v>
      </c>
      <c r="DG22" s="228">
        <v>0.49</v>
      </c>
      <c r="DH22" s="228">
        <v>-0.06</v>
      </c>
      <c r="DI22" s="228">
        <v>30.37</v>
      </c>
      <c r="DJ22" s="228">
        <v>26.44</v>
      </c>
      <c r="DK22" s="228">
        <v>3.93</v>
      </c>
      <c r="DL22" s="228">
        <v>3.93</v>
      </c>
      <c r="DM22" s="228">
        <v>29.67</v>
      </c>
      <c r="DN22" s="228">
        <v>31.47</v>
      </c>
      <c r="DO22" s="228">
        <v>-1.8</v>
      </c>
      <c r="DP22" s="228">
        <v>-1.8</v>
      </c>
      <c r="DQ22" s="228">
        <v>0.93</v>
      </c>
      <c r="DR22" s="228">
        <v>0.86</v>
      </c>
      <c r="DS22" s="228">
        <v>7.0000000000000007E-2</v>
      </c>
      <c r="DT22" s="229">
        <v>8.14E-2</v>
      </c>
      <c r="DU22" s="231">
        <v>9800</v>
      </c>
      <c r="DV22" s="231">
        <v>8000</v>
      </c>
      <c r="DW22" s="228">
        <v>0.74</v>
      </c>
      <c r="DX22" s="228">
        <v>0.62</v>
      </c>
      <c r="DY22" s="228">
        <v>0.12</v>
      </c>
      <c r="DZ22" s="229">
        <v>0.19350000000000001</v>
      </c>
      <c r="EA22" s="229">
        <v>0.38319999999999999</v>
      </c>
      <c r="EB22" s="230">
        <v>462075</v>
      </c>
      <c r="EC22" s="229">
        <v>-1E-3</v>
      </c>
      <c r="ED22" s="229">
        <v>0.38319999999999999</v>
      </c>
      <c r="EE22" s="228">
        <v>-16.52</v>
      </c>
      <c r="EF22" s="229">
        <v>-1.6999999999999999E-3</v>
      </c>
      <c r="EG22" s="230">
        <v>289912</v>
      </c>
      <c r="EH22" s="230">
        <v>191744</v>
      </c>
      <c r="EI22" s="229">
        <v>0.51200000000000001</v>
      </c>
      <c r="EJ22" s="229">
        <v>0.61650000000000005</v>
      </c>
      <c r="EK22" s="231">
        <v>1925.13</v>
      </c>
      <c r="EL22" s="231">
        <v>1352.71</v>
      </c>
      <c r="EM22" s="231">
        <v>2074.83</v>
      </c>
      <c r="EN22" s="228">
        <v>54.5</v>
      </c>
      <c r="EO22" s="231">
        <v>5352.68</v>
      </c>
      <c r="EP22" s="231">
        <v>3343.07</v>
      </c>
      <c r="EQ22" s="231">
        <v>2009.61</v>
      </c>
      <c r="ER22" s="229">
        <v>0.60109999999999997</v>
      </c>
      <c r="ES22" s="231">
        <v>1279.53</v>
      </c>
      <c r="ET22" s="231">
        <v>1096.3699999999999</v>
      </c>
      <c r="EU22" s="231">
        <v>2712.08</v>
      </c>
      <c r="EV22" s="231">
        <v>12553818</v>
      </c>
      <c r="EW22" s="231">
        <v>5087.97</v>
      </c>
      <c r="EX22" s="231">
        <v>5282.92</v>
      </c>
      <c r="EY22" s="228">
        <v>-194.95</v>
      </c>
      <c r="EZ22" s="229">
        <v>-3.6900000000000002E-2</v>
      </c>
      <c r="FA22" s="229">
        <v>0.42630000000000001</v>
      </c>
      <c r="FB22" s="227" t="s">
        <v>567</v>
      </c>
      <c r="FC22">
        <f t="shared" si="0"/>
        <v>1040</v>
      </c>
    </row>
    <row r="23" spans="1:159" ht="17.25" thickBot="1" x14ac:dyDescent="0.3">
      <c r="A23" s="226">
        <v>46135</v>
      </c>
      <c r="B23" s="227" t="s">
        <v>175</v>
      </c>
      <c r="C23" s="227" t="s">
        <v>176</v>
      </c>
      <c r="D23" s="228">
        <v>250</v>
      </c>
      <c r="E23" s="228">
        <v>5</v>
      </c>
      <c r="F23" s="231">
        <v>1789.4</v>
      </c>
      <c r="G23" s="231">
        <v>1845.8</v>
      </c>
      <c r="H23" s="228">
        <v>-56.4</v>
      </c>
      <c r="I23" s="229">
        <v>-3.0599999999999999E-2</v>
      </c>
      <c r="J23" s="231">
        <v>1792.6</v>
      </c>
      <c r="K23" s="231">
        <v>1842.9</v>
      </c>
      <c r="L23" s="228">
        <v>-50.3</v>
      </c>
      <c r="M23" s="229">
        <v>-2.7300000000000001E-2</v>
      </c>
      <c r="N23" s="231">
        <v>1789.4</v>
      </c>
      <c r="O23" s="231">
        <v>1845.8</v>
      </c>
      <c r="P23" s="228">
        <v>-56.4</v>
      </c>
      <c r="Q23" s="229">
        <v>-3.0599999999999999E-2</v>
      </c>
      <c r="R23" s="231">
        <v>1799.8</v>
      </c>
      <c r="S23" s="231">
        <v>1855.2</v>
      </c>
      <c r="T23" s="228">
        <v>-55.4</v>
      </c>
      <c r="U23" s="229">
        <v>-2.9899999999999999E-2</v>
      </c>
      <c r="V23" s="231">
        <v>1809.3</v>
      </c>
      <c r="W23" s="231">
        <v>1868.2</v>
      </c>
      <c r="X23" s="228">
        <v>-58.9</v>
      </c>
      <c r="Y23" s="229">
        <v>-3.15E-2</v>
      </c>
      <c r="Z23" s="228">
        <v>-3.2</v>
      </c>
      <c r="AA23" s="228">
        <v>2.9</v>
      </c>
      <c r="AB23" s="228">
        <v>-6.1</v>
      </c>
      <c r="AC23" s="229">
        <v>-1.8E-3</v>
      </c>
      <c r="AD23" s="228">
        <v>-3.2</v>
      </c>
      <c r="AE23" s="228">
        <v>2.9</v>
      </c>
      <c r="AF23" s="228">
        <v>-6.1</v>
      </c>
      <c r="AG23" s="229">
        <v>-1.8E-3</v>
      </c>
      <c r="AH23" s="228">
        <v>7.2</v>
      </c>
      <c r="AI23" s="228">
        <v>12.3</v>
      </c>
      <c r="AJ23" s="228">
        <v>-5.0999999999999996</v>
      </c>
      <c r="AK23" s="229">
        <v>4.0000000000000001E-3</v>
      </c>
      <c r="AL23" s="228">
        <v>16.7</v>
      </c>
      <c r="AM23" s="228">
        <v>25.3</v>
      </c>
      <c r="AN23" s="228">
        <v>-8.6</v>
      </c>
      <c r="AO23" s="229">
        <v>9.2999999999999992E-3</v>
      </c>
      <c r="AP23" s="231">
        <v>1801.67</v>
      </c>
      <c r="AQ23" s="231">
        <v>1812.16</v>
      </c>
      <c r="AR23" s="228">
        <v>0</v>
      </c>
      <c r="AS23" s="228">
        <v>872</v>
      </c>
      <c r="AT23" s="228">
        <v>275</v>
      </c>
      <c r="AU23" s="228">
        <v>597</v>
      </c>
      <c r="AV23" s="229">
        <v>2.1669</v>
      </c>
      <c r="AW23" s="228">
        <v>459</v>
      </c>
      <c r="AX23" s="228">
        <v>176</v>
      </c>
      <c r="AY23" s="228">
        <v>283</v>
      </c>
      <c r="AZ23" s="229">
        <v>1.6141000000000001</v>
      </c>
      <c r="BA23" s="228">
        <v>404</v>
      </c>
      <c r="BB23" s="228">
        <v>94</v>
      </c>
      <c r="BC23" s="228">
        <v>310</v>
      </c>
      <c r="BD23" s="229">
        <v>3.2955999999999999</v>
      </c>
      <c r="BE23" s="228">
        <v>9</v>
      </c>
      <c r="BF23" s="228">
        <v>6</v>
      </c>
      <c r="BG23" s="228">
        <v>3</v>
      </c>
      <c r="BH23" s="229">
        <v>0.57030000000000003</v>
      </c>
      <c r="BI23" s="230">
        <v>1113</v>
      </c>
      <c r="BJ23" s="228">
        <v>500</v>
      </c>
      <c r="BK23" s="228">
        <v>613</v>
      </c>
      <c r="BL23" s="229">
        <v>1.2258</v>
      </c>
      <c r="BM23" s="228">
        <v>754</v>
      </c>
      <c r="BN23" s="228">
        <v>439</v>
      </c>
      <c r="BO23" s="228">
        <v>315</v>
      </c>
      <c r="BP23" s="229">
        <v>0.71830000000000005</v>
      </c>
      <c r="BQ23" s="230">
        <v>2740</v>
      </c>
      <c r="BR23" s="230">
        <v>1215</v>
      </c>
      <c r="BS23" s="230">
        <v>1525</v>
      </c>
      <c r="BT23" s="229">
        <v>1.2558</v>
      </c>
      <c r="BU23" s="230">
        <v>930337</v>
      </c>
      <c r="BV23" s="230">
        <v>756811</v>
      </c>
      <c r="BW23" s="230">
        <v>173526</v>
      </c>
      <c r="BX23" s="229">
        <v>0.2293</v>
      </c>
      <c r="BY23" s="230">
        <v>1947</v>
      </c>
      <c r="BZ23" s="230">
        <v>1950</v>
      </c>
      <c r="CA23" s="228">
        <v>-3</v>
      </c>
      <c r="CB23" s="229">
        <v>-1.4E-3</v>
      </c>
      <c r="CC23" s="230">
        <v>1106</v>
      </c>
      <c r="CD23" s="230">
        <v>1469</v>
      </c>
      <c r="CE23" s="228">
        <v>-363</v>
      </c>
      <c r="CF23" s="229">
        <v>-0.247</v>
      </c>
      <c r="CG23" s="228">
        <v>772</v>
      </c>
      <c r="CH23" s="228">
        <v>418</v>
      </c>
      <c r="CI23" s="228">
        <v>354</v>
      </c>
      <c r="CJ23" s="229">
        <v>0.8468</v>
      </c>
      <c r="CK23" s="228">
        <v>69</v>
      </c>
      <c r="CL23" s="228">
        <v>63</v>
      </c>
      <c r="CM23" s="228">
        <v>6</v>
      </c>
      <c r="CN23" s="229">
        <v>9.2200000000000004E-2</v>
      </c>
      <c r="CO23" s="228">
        <v>744</v>
      </c>
      <c r="CP23" s="228">
        <v>661</v>
      </c>
      <c r="CQ23" s="228">
        <v>83</v>
      </c>
      <c r="CR23" s="229">
        <v>0.12620000000000001</v>
      </c>
      <c r="CS23" s="228">
        <v>657</v>
      </c>
      <c r="CT23" s="228">
        <v>648</v>
      </c>
      <c r="CU23" s="228">
        <v>9</v>
      </c>
      <c r="CV23" s="229">
        <v>1.46E-2</v>
      </c>
      <c r="CW23" s="230">
        <v>3348</v>
      </c>
      <c r="CX23" s="230">
        <v>3258</v>
      </c>
      <c r="CY23" s="228">
        <v>90</v>
      </c>
      <c r="CZ23" s="229">
        <v>2.7699999999999999E-2</v>
      </c>
      <c r="DA23" s="228">
        <v>31.42</v>
      </c>
      <c r="DB23" s="228">
        <v>29.84</v>
      </c>
      <c r="DC23" s="228">
        <v>1.58</v>
      </c>
      <c r="DD23" s="228">
        <v>1.58</v>
      </c>
      <c r="DE23" s="228">
        <v>30.66</v>
      </c>
      <c r="DF23" s="228">
        <v>30.45</v>
      </c>
      <c r="DG23" s="228">
        <v>0.76</v>
      </c>
      <c r="DH23" s="228">
        <v>0.21</v>
      </c>
      <c r="DI23" s="228">
        <v>31.33</v>
      </c>
      <c r="DJ23" s="228">
        <v>26.88</v>
      </c>
      <c r="DK23" s="228">
        <v>4.45</v>
      </c>
      <c r="DL23" s="228">
        <v>4.45</v>
      </c>
      <c r="DM23" s="228">
        <v>31.58</v>
      </c>
      <c r="DN23" s="228">
        <v>33.22</v>
      </c>
      <c r="DO23" s="228">
        <v>-1.64</v>
      </c>
      <c r="DP23" s="228">
        <v>-1.64</v>
      </c>
      <c r="DQ23" s="228">
        <v>0.88</v>
      </c>
      <c r="DR23" s="228">
        <v>0.98</v>
      </c>
      <c r="DS23" s="228">
        <v>-0.1</v>
      </c>
      <c r="DT23" s="229">
        <v>-0.10199999999999999</v>
      </c>
      <c r="DU23" s="231">
        <v>1800</v>
      </c>
      <c r="DV23" s="231">
        <v>1760</v>
      </c>
      <c r="DW23" s="228">
        <v>0.68</v>
      </c>
      <c r="DX23" s="228">
        <v>0.88</v>
      </c>
      <c r="DY23" s="228">
        <v>-0.2</v>
      </c>
      <c r="DZ23" s="229">
        <v>-0.2273</v>
      </c>
      <c r="EA23" s="229">
        <v>0.43209999999999998</v>
      </c>
      <c r="EB23" s="230">
        <v>2690000</v>
      </c>
      <c r="EC23" s="229">
        <v>5.7999999999999996E-3</v>
      </c>
      <c r="ED23" s="229">
        <v>0.43209999999999998</v>
      </c>
      <c r="EE23" s="228">
        <v>10.49</v>
      </c>
      <c r="EF23" s="229">
        <v>5.7999999999999996E-3</v>
      </c>
      <c r="EG23" s="230">
        <v>450377</v>
      </c>
      <c r="EH23" s="230">
        <v>385731</v>
      </c>
      <c r="EI23" s="229">
        <v>0.1676</v>
      </c>
      <c r="EJ23" s="229">
        <v>0.48409999999999997</v>
      </c>
      <c r="EK23" s="231">
        <v>1160.67</v>
      </c>
      <c r="EL23" s="228">
        <v>742.87</v>
      </c>
      <c r="EM23" s="228">
        <v>880.89</v>
      </c>
      <c r="EN23" s="228">
        <v>44.59</v>
      </c>
      <c r="EO23" s="231">
        <v>2784.43</v>
      </c>
      <c r="EP23" s="231">
        <v>1253.44</v>
      </c>
      <c r="EQ23" s="231">
        <v>1530.99</v>
      </c>
      <c r="ER23" s="229">
        <v>1.2214</v>
      </c>
      <c r="ES23" s="228">
        <v>758.26</v>
      </c>
      <c r="ET23" s="228">
        <v>631.17999999999995</v>
      </c>
      <c r="EU23" s="231">
        <v>1952.44</v>
      </c>
      <c r="EV23" s="231">
        <v>65784745</v>
      </c>
      <c r="EW23" s="231">
        <v>3341.88</v>
      </c>
      <c r="EX23" s="231">
        <v>3309.11</v>
      </c>
      <c r="EY23" s="228">
        <v>32.770000000000003</v>
      </c>
      <c r="EZ23" s="229">
        <v>9.9000000000000008E-3</v>
      </c>
      <c r="FA23" s="229">
        <v>0.28449999999999998</v>
      </c>
      <c r="FB23" s="227" t="s">
        <v>567</v>
      </c>
      <c r="FC23">
        <f t="shared" si="0"/>
        <v>841</v>
      </c>
    </row>
    <row r="24" spans="1:159" ht="17.25" thickBot="1" x14ac:dyDescent="0.3">
      <c r="A24" s="226">
        <v>46135</v>
      </c>
      <c r="B24" s="227" t="s">
        <v>175</v>
      </c>
      <c r="C24" s="227" t="s">
        <v>689</v>
      </c>
      <c r="D24" s="228">
        <v>50</v>
      </c>
      <c r="E24" s="228">
        <v>5</v>
      </c>
      <c r="F24" s="231">
        <v>10375.5</v>
      </c>
      <c r="G24" s="231">
        <v>10401.5</v>
      </c>
      <c r="H24" s="228">
        <v>-26</v>
      </c>
      <c r="I24" s="229">
        <v>-2.5000000000000001E-3</v>
      </c>
      <c r="J24" s="231">
        <v>10376.5</v>
      </c>
      <c r="K24" s="231">
        <v>10376</v>
      </c>
      <c r="L24" s="228">
        <v>0.5</v>
      </c>
      <c r="M24" s="229">
        <v>0</v>
      </c>
      <c r="N24" s="231">
        <v>10375.5</v>
      </c>
      <c r="O24" s="231">
        <v>10401.5</v>
      </c>
      <c r="P24" s="228">
        <v>-26</v>
      </c>
      <c r="Q24" s="229">
        <v>-2.5000000000000001E-3</v>
      </c>
      <c r="R24" s="231">
        <v>10416.5</v>
      </c>
      <c r="S24" s="231">
        <v>10446.5</v>
      </c>
      <c r="T24" s="228">
        <v>-30</v>
      </c>
      <c r="U24" s="229">
        <v>-2.8999999999999998E-3</v>
      </c>
      <c r="V24" s="231">
        <v>10427.5</v>
      </c>
      <c r="W24" s="231">
        <v>10500.5</v>
      </c>
      <c r="X24" s="228">
        <v>-73</v>
      </c>
      <c r="Y24" s="229">
        <v>-7.0000000000000001E-3</v>
      </c>
      <c r="Z24" s="228">
        <v>-1</v>
      </c>
      <c r="AA24" s="228">
        <v>25.5</v>
      </c>
      <c r="AB24" s="228">
        <v>-26.5</v>
      </c>
      <c r="AC24" s="229">
        <v>-1E-4</v>
      </c>
      <c r="AD24" s="228">
        <v>-1</v>
      </c>
      <c r="AE24" s="228">
        <v>25.5</v>
      </c>
      <c r="AF24" s="228">
        <v>-26.5</v>
      </c>
      <c r="AG24" s="229">
        <v>-1E-4</v>
      </c>
      <c r="AH24" s="228">
        <v>40</v>
      </c>
      <c r="AI24" s="228">
        <v>70.5</v>
      </c>
      <c r="AJ24" s="228">
        <v>-30.5</v>
      </c>
      <c r="AK24" s="229">
        <v>3.8999999999999998E-3</v>
      </c>
      <c r="AL24" s="228">
        <v>51</v>
      </c>
      <c r="AM24" s="228">
        <v>124.5</v>
      </c>
      <c r="AN24" s="228">
        <v>-73.5</v>
      </c>
      <c r="AO24" s="229">
        <v>4.8999999999999998E-3</v>
      </c>
      <c r="AP24" s="231">
        <v>10407.02</v>
      </c>
      <c r="AQ24" s="231">
        <v>10456.9</v>
      </c>
      <c r="AR24" s="228">
        <v>0</v>
      </c>
      <c r="AS24" s="228">
        <v>192</v>
      </c>
      <c r="AT24" s="228">
        <v>38</v>
      </c>
      <c r="AU24" s="228">
        <v>155</v>
      </c>
      <c r="AV24" s="229">
        <v>4.1203000000000003</v>
      </c>
      <c r="AW24" s="228">
        <v>104</v>
      </c>
      <c r="AX24" s="228">
        <v>30</v>
      </c>
      <c r="AY24" s="228">
        <v>75</v>
      </c>
      <c r="AZ24" s="229">
        <v>2.5175000000000001</v>
      </c>
      <c r="BA24" s="228">
        <v>87</v>
      </c>
      <c r="BB24" s="228">
        <v>8</v>
      </c>
      <c r="BC24" s="228">
        <v>79</v>
      </c>
      <c r="BD24" s="229">
        <v>10.3446</v>
      </c>
      <c r="BE24" s="228">
        <v>1</v>
      </c>
      <c r="BF24" s="228">
        <v>0</v>
      </c>
      <c r="BG24" s="228">
        <v>0</v>
      </c>
      <c r="BH24" s="229">
        <v>2.6667000000000001</v>
      </c>
      <c r="BI24" s="228">
        <v>128</v>
      </c>
      <c r="BJ24" s="228">
        <v>114</v>
      </c>
      <c r="BK24" s="228">
        <v>14</v>
      </c>
      <c r="BL24" s="229">
        <v>0.12429999999999999</v>
      </c>
      <c r="BM24" s="228">
        <v>146</v>
      </c>
      <c r="BN24" s="228">
        <v>205</v>
      </c>
      <c r="BO24" s="228">
        <v>-59</v>
      </c>
      <c r="BP24" s="229">
        <v>-0.28660000000000002</v>
      </c>
      <c r="BQ24" s="228">
        <v>466</v>
      </c>
      <c r="BR24" s="228">
        <v>356</v>
      </c>
      <c r="BS24" s="228">
        <v>110</v>
      </c>
      <c r="BT24" s="229">
        <v>0.30919999999999997</v>
      </c>
      <c r="BU24" s="230">
        <v>51487</v>
      </c>
      <c r="BV24" s="230">
        <v>27329</v>
      </c>
      <c r="BW24" s="230">
        <v>24158</v>
      </c>
      <c r="BX24" s="229">
        <v>0.88400000000000001</v>
      </c>
      <c r="BY24" s="228">
        <v>290</v>
      </c>
      <c r="BZ24" s="228">
        <v>298</v>
      </c>
      <c r="CA24" s="228">
        <v>-7</v>
      </c>
      <c r="CB24" s="229">
        <v>-2.5100000000000001E-2</v>
      </c>
      <c r="CC24" s="228">
        <v>185</v>
      </c>
      <c r="CD24" s="228">
        <v>255</v>
      </c>
      <c r="CE24" s="228">
        <v>-70</v>
      </c>
      <c r="CF24" s="229">
        <v>-0.27379999999999999</v>
      </c>
      <c r="CG24" s="228">
        <v>104</v>
      </c>
      <c r="CH24" s="228">
        <v>41</v>
      </c>
      <c r="CI24" s="228">
        <v>62</v>
      </c>
      <c r="CJ24" s="229">
        <v>1.5013000000000001</v>
      </c>
      <c r="CK24" s="228">
        <v>2</v>
      </c>
      <c r="CL24" s="228">
        <v>2</v>
      </c>
      <c r="CM24" s="228">
        <v>0</v>
      </c>
      <c r="CN24" s="229">
        <v>0.10340000000000001</v>
      </c>
      <c r="CO24" s="228">
        <v>75</v>
      </c>
      <c r="CP24" s="228">
        <v>77</v>
      </c>
      <c r="CQ24" s="228">
        <v>-2</v>
      </c>
      <c r="CR24" s="229">
        <v>-1.9599999999999999E-2</v>
      </c>
      <c r="CS24" s="228">
        <v>52</v>
      </c>
      <c r="CT24" s="228">
        <v>57</v>
      </c>
      <c r="CU24" s="228">
        <v>-6</v>
      </c>
      <c r="CV24" s="229">
        <v>-9.6699999999999994E-2</v>
      </c>
      <c r="CW24" s="228">
        <v>417</v>
      </c>
      <c r="CX24" s="228">
        <v>432</v>
      </c>
      <c r="CY24" s="228">
        <v>-15</v>
      </c>
      <c r="CZ24" s="229">
        <v>-3.3599999999999998E-2</v>
      </c>
      <c r="DA24" s="228">
        <v>32.020000000000003</v>
      </c>
      <c r="DB24" s="228">
        <v>47.52</v>
      </c>
      <c r="DC24" s="228">
        <v>-15.5</v>
      </c>
      <c r="DD24" s="228">
        <v>-15.5</v>
      </c>
      <c r="DE24" s="228">
        <v>38.64</v>
      </c>
      <c r="DF24" s="228">
        <v>38.74</v>
      </c>
      <c r="DG24" s="228">
        <v>-6.62</v>
      </c>
      <c r="DH24" s="228">
        <v>-0.1</v>
      </c>
      <c r="DI24" s="228">
        <v>32.21</v>
      </c>
      <c r="DJ24" s="228">
        <v>41.93</v>
      </c>
      <c r="DK24" s="228">
        <v>-9.7200000000000006</v>
      </c>
      <c r="DL24" s="228">
        <v>-9.7200000000000006</v>
      </c>
      <c r="DM24" s="228">
        <v>31.24</v>
      </c>
      <c r="DN24" s="228">
        <v>50.63</v>
      </c>
      <c r="DO24" s="228">
        <v>-19.39</v>
      </c>
      <c r="DP24" s="228">
        <v>-19.39</v>
      </c>
      <c r="DQ24" s="228">
        <v>0.69</v>
      </c>
      <c r="DR24" s="228">
        <v>0.75</v>
      </c>
      <c r="DS24" s="228">
        <v>-0.06</v>
      </c>
      <c r="DT24" s="229">
        <v>-0.08</v>
      </c>
      <c r="DU24" s="231">
        <v>11000</v>
      </c>
      <c r="DV24" s="231">
        <v>9500</v>
      </c>
      <c r="DW24" s="228">
        <v>1.1399999999999999</v>
      </c>
      <c r="DX24" s="228">
        <v>1.8</v>
      </c>
      <c r="DY24" s="228">
        <v>-0.66</v>
      </c>
      <c r="DZ24" s="229">
        <v>-0.36670000000000003</v>
      </c>
      <c r="EA24" s="229">
        <v>0.3624</v>
      </c>
      <c r="EB24" s="230">
        <v>41350</v>
      </c>
      <c r="EC24" s="229">
        <v>4.0000000000000001E-3</v>
      </c>
      <c r="ED24" s="229">
        <v>0.3624</v>
      </c>
      <c r="EE24" s="228">
        <v>49.88</v>
      </c>
      <c r="EF24" s="229">
        <v>4.7999999999999996E-3</v>
      </c>
      <c r="EG24" s="230">
        <v>21939</v>
      </c>
      <c r="EH24" s="230">
        <v>15733</v>
      </c>
      <c r="EI24" s="229">
        <v>0.39450000000000002</v>
      </c>
      <c r="EJ24" s="229">
        <v>0.42609999999999998</v>
      </c>
      <c r="EK24" s="228">
        <v>137.63999999999999</v>
      </c>
      <c r="EL24" s="228">
        <v>123.17</v>
      </c>
      <c r="EM24" s="228">
        <v>193.06</v>
      </c>
      <c r="EN24" s="228">
        <v>7.27</v>
      </c>
      <c r="EO24" s="228">
        <v>453.87</v>
      </c>
      <c r="EP24" s="228">
        <v>348.09</v>
      </c>
      <c r="EQ24" s="228">
        <v>105.78</v>
      </c>
      <c r="ER24" s="229">
        <v>0.3039</v>
      </c>
      <c r="ES24" s="228">
        <v>74.510000000000005</v>
      </c>
      <c r="ET24" s="228">
        <v>46.82</v>
      </c>
      <c r="EU24" s="228">
        <v>290.72000000000003</v>
      </c>
      <c r="EV24" s="231">
        <v>5401993</v>
      </c>
      <c r="EW24" s="228">
        <v>412.05</v>
      </c>
      <c r="EX24" s="228">
        <v>425.84</v>
      </c>
      <c r="EY24" s="228">
        <v>-13.79</v>
      </c>
      <c r="EZ24" s="229">
        <v>-3.2399999999999998E-2</v>
      </c>
      <c r="FA24" s="229">
        <v>7.4499999999999997E-2</v>
      </c>
      <c r="FB24" s="227" t="s">
        <v>567</v>
      </c>
      <c r="FC24">
        <f t="shared" si="0"/>
        <v>105</v>
      </c>
    </row>
    <row r="25" spans="1:159" ht="17.25" thickBot="1" x14ac:dyDescent="0.3">
      <c r="A25" s="226">
        <v>46135</v>
      </c>
      <c r="B25" s="227" t="s">
        <v>175</v>
      </c>
      <c r="C25" s="227" t="s">
        <v>177</v>
      </c>
      <c r="D25" s="228">
        <v>750</v>
      </c>
      <c r="E25" s="228">
        <v>5</v>
      </c>
      <c r="F25" s="228">
        <v>916.75</v>
      </c>
      <c r="G25" s="228">
        <v>933.8</v>
      </c>
      <c r="H25" s="228">
        <v>-17.05</v>
      </c>
      <c r="I25" s="229">
        <v>-1.83E-2</v>
      </c>
      <c r="J25" s="228">
        <v>918.35</v>
      </c>
      <c r="K25" s="228">
        <v>934.75</v>
      </c>
      <c r="L25" s="228">
        <v>-16.399999999999999</v>
      </c>
      <c r="M25" s="229">
        <v>-1.7500000000000002E-2</v>
      </c>
      <c r="N25" s="228">
        <v>916.75</v>
      </c>
      <c r="O25" s="228">
        <v>933.8</v>
      </c>
      <c r="P25" s="228">
        <v>-17.05</v>
      </c>
      <c r="Q25" s="229">
        <v>-1.83E-2</v>
      </c>
      <c r="R25" s="228">
        <v>920.3</v>
      </c>
      <c r="S25" s="228">
        <v>938.35</v>
      </c>
      <c r="T25" s="228">
        <v>-18.05</v>
      </c>
      <c r="U25" s="229">
        <v>-1.9199999999999998E-2</v>
      </c>
      <c r="V25" s="228">
        <v>922.3</v>
      </c>
      <c r="W25" s="228">
        <v>940.65</v>
      </c>
      <c r="X25" s="228">
        <v>-18.350000000000001</v>
      </c>
      <c r="Y25" s="229">
        <v>-1.95E-2</v>
      </c>
      <c r="Z25" s="228">
        <v>-1.6</v>
      </c>
      <c r="AA25" s="228">
        <v>-0.95</v>
      </c>
      <c r="AB25" s="228">
        <v>-0.65</v>
      </c>
      <c r="AC25" s="229">
        <v>-1.6999999999999999E-3</v>
      </c>
      <c r="AD25" s="228">
        <v>-1.6</v>
      </c>
      <c r="AE25" s="228">
        <v>-0.95</v>
      </c>
      <c r="AF25" s="228">
        <v>-0.65</v>
      </c>
      <c r="AG25" s="229">
        <v>-1.6999999999999999E-3</v>
      </c>
      <c r="AH25" s="228">
        <v>1.95</v>
      </c>
      <c r="AI25" s="228">
        <v>3.6</v>
      </c>
      <c r="AJ25" s="228">
        <v>-1.65</v>
      </c>
      <c r="AK25" s="229">
        <v>2.0999999999999999E-3</v>
      </c>
      <c r="AL25" s="228">
        <v>3.95</v>
      </c>
      <c r="AM25" s="228">
        <v>5.9</v>
      </c>
      <c r="AN25" s="228">
        <v>-1.95</v>
      </c>
      <c r="AO25" s="229">
        <v>4.3E-3</v>
      </c>
      <c r="AP25" s="228">
        <v>917.08</v>
      </c>
      <c r="AQ25" s="228">
        <v>920.81</v>
      </c>
      <c r="AR25" s="228">
        <v>0</v>
      </c>
      <c r="AS25" s="230">
        <v>4291</v>
      </c>
      <c r="AT25" s="230">
        <v>1483</v>
      </c>
      <c r="AU25" s="230">
        <v>2809</v>
      </c>
      <c r="AV25" s="229">
        <v>1.8940999999999999</v>
      </c>
      <c r="AW25" s="230">
        <v>2259</v>
      </c>
      <c r="AX25" s="228">
        <v>894</v>
      </c>
      <c r="AY25" s="230">
        <v>1365</v>
      </c>
      <c r="AZ25" s="229">
        <v>1.5279</v>
      </c>
      <c r="BA25" s="230">
        <v>1997</v>
      </c>
      <c r="BB25" s="228">
        <v>320</v>
      </c>
      <c r="BC25" s="230">
        <v>1677</v>
      </c>
      <c r="BD25" s="229">
        <v>5.2416999999999998</v>
      </c>
      <c r="BE25" s="228">
        <v>35</v>
      </c>
      <c r="BF25" s="228">
        <v>269</v>
      </c>
      <c r="BG25" s="228">
        <v>-234</v>
      </c>
      <c r="BH25" s="229">
        <v>-0.86929999999999996</v>
      </c>
      <c r="BI25" s="230">
        <v>2814</v>
      </c>
      <c r="BJ25" s="230">
        <v>3089</v>
      </c>
      <c r="BK25" s="228">
        <v>-275</v>
      </c>
      <c r="BL25" s="229">
        <v>-8.9099999999999999E-2</v>
      </c>
      <c r="BM25" s="230">
        <v>2093</v>
      </c>
      <c r="BN25" s="230">
        <v>2003</v>
      </c>
      <c r="BO25" s="228">
        <v>91</v>
      </c>
      <c r="BP25" s="229">
        <v>4.53E-2</v>
      </c>
      <c r="BQ25" s="230">
        <v>9199</v>
      </c>
      <c r="BR25" s="230">
        <v>6575</v>
      </c>
      <c r="BS25" s="230">
        <v>2624</v>
      </c>
      <c r="BT25" s="229">
        <v>0.39910000000000001</v>
      </c>
      <c r="BU25" s="230">
        <v>9912166</v>
      </c>
      <c r="BV25" s="230">
        <v>6268490</v>
      </c>
      <c r="BW25" s="230">
        <v>3643676</v>
      </c>
      <c r="BX25" s="229">
        <v>0.58130000000000004</v>
      </c>
      <c r="BY25" s="230">
        <v>6634</v>
      </c>
      <c r="BZ25" s="230">
        <v>6471</v>
      </c>
      <c r="CA25" s="228">
        <v>163</v>
      </c>
      <c r="CB25" s="229">
        <v>2.52E-2</v>
      </c>
      <c r="CC25" s="230">
        <v>3786</v>
      </c>
      <c r="CD25" s="230">
        <v>5362</v>
      </c>
      <c r="CE25" s="230">
        <v>-1576</v>
      </c>
      <c r="CF25" s="229">
        <v>-0.29389999999999999</v>
      </c>
      <c r="CG25" s="230">
        <v>2516</v>
      </c>
      <c r="CH25" s="228">
        <v>799</v>
      </c>
      <c r="CI25" s="230">
        <v>1716</v>
      </c>
      <c r="CJ25" s="229">
        <v>2.1473</v>
      </c>
      <c r="CK25" s="228">
        <v>333</v>
      </c>
      <c r="CL25" s="228">
        <v>310</v>
      </c>
      <c r="CM25" s="228">
        <v>23</v>
      </c>
      <c r="CN25" s="229">
        <v>7.3700000000000002E-2</v>
      </c>
      <c r="CO25" s="230">
        <v>2042</v>
      </c>
      <c r="CP25" s="230">
        <v>2105</v>
      </c>
      <c r="CQ25" s="228">
        <v>-63</v>
      </c>
      <c r="CR25" s="229">
        <v>-0.03</v>
      </c>
      <c r="CS25" s="230">
        <v>1626</v>
      </c>
      <c r="CT25" s="230">
        <v>1624</v>
      </c>
      <c r="CU25" s="228">
        <v>1</v>
      </c>
      <c r="CV25" s="229">
        <v>8.0000000000000004E-4</v>
      </c>
      <c r="CW25" s="230">
        <v>10302</v>
      </c>
      <c r="CX25" s="230">
        <v>10201</v>
      </c>
      <c r="CY25" s="228">
        <v>101</v>
      </c>
      <c r="CZ25" s="229">
        <v>9.9000000000000008E-3</v>
      </c>
      <c r="DA25" s="228">
        <v>35.64</v>
      </c>
      <c r="DB25" s="228">
        <v>33.83</v>
      </c>
      <c r="DC25" s="228">
        <v>1.81</v>
      </c>
      <c r="DD25" s="228">
        <v>1.81</v>
      </c>
      <c r="DE25" s="228">
        <v>35.880000000000003</v>
      </c>
      <c r="DF25" s="228">
        <v>35.89</v>
      </c>
      <c r="DG25" s="228">
        <v>-0.24</v>
      </c>
      <c r="DH25" s="228">
        <v>-0.01</v>
      </c>
      <c r="DI25" s="228">
        <v>35.130000000000003</v>
      </c>
      <c r="DJ25" s="228">
        <v>32.28</v>
      </c>
      <c r="DK25" s="228">
        <v>2.85</v>
      </c>
      <c r="DL25" s="228">
        <v>2.85</v>
      </c>
      <c r="DM25" s="228">
        <v>36.31</v>
      </c>
      <c r="DN25" s="228">
        <v>36.24</v>
      </c>
      <c r="DO25" s="228">
        <v>7.0000000000000007E-2</v>
      </c>
      <c r="DP25" s="228">
        <v>7.0000000000000007E-2</v>
      </c>
      <c r="DQ25" s="228">
        <v>0.8</v>
      </c>
      <c r="DR25" s="228">
        <v>0.77</v>
      </c>
      <c r="DS25" s="228">
        <v>0.03</v>
      </c>
      <c r="DT25" s="229">
        <v>3.9E-2</v>
      </c>
      <c r="DU25" s="228">
        <v>950</v>
      </c>
      <c r="DV25" s="228">
        <v>900</v>
      </c>
      <c r="DW25" s="228">
        <v>0.74</v>
      </c>
      <c r="DX25" s="228">
        <v>0.65</v>
      </c>
      <c r="DY25" s="228">
        <v>0.09</v>
      </c>
      <c r="DZ25" s="229">
        <v>0.13850000000000001</v>
      </c>
      <c r="EA25" s="229">
        <v>0.42930000000000001</v>
      </c>
      <c r="EB25" s="230">
        <v>12099000</v>
      </c>
      <c r="EC25" s="229">
        <v>3.8999999999999998E-3</v>
      </c>
      <c r="ED25" s="229">
        <v>0.42930000000000001</v>
      </c>
      <c r="EE25" s="228">
        <v>3.73</v>
      </c>
      <c r="EF25" s="229">
        <v>4.1000000000000003E-3</v>
      </c>
      <c r="EG25" s="230">
        <v>4867913</v>
      </c>
      <c r="EH25" s="230">
        <v>3398033</v>
      </c>
      <c r="EI25" s="229">
        <v>0.43259999999999998</v>
      </c>
      <c r="EJ25" s="229">
        <v>0.49109999999999998</v>
      </c>
      <c r="EK25" s="231">
        <v>2929.49</v>
      </c>
      <c r="EL25" s="231">
        <v>2070.3200000000002</v>
      </c>
      <c r="EM25" s="231">
        <v>4301.2</v>
      </c>
      <c r="EN25" s="228">
        <v>125.32</v>
      </c>
      <c r="EO25" s="231">
        <v>9301.01</v>
      </c>
      <c r="EP25" s="231">
        <v>6762.88</v>
      </c>
      <c r="EQ25" s="231">
        <v>2538.13</v>
      </c>
      <c r="ER25" s="229">
        <v>0.37530000000000002</v>
      </c>
      <c r="ES25" s="231">
        <v>2061.0300000000002</v>
      </c>
      <c r="ET25" s="231">
        <v>1551.09</v>
      </c>
      <c r="EU25" s="231">
        <v>6646.25</v>
      </c>
      <c r="EV25" s="231">
        <v>387962395</v>
      </c>
      <c r="EW25" s="231">
        <v>10258.370000000001</v>
      </c>
      <c r="EX25" s="231">
        <v>10272.030000000001</v>
      </c>
      <c r="EY25" s="228">
        <v>-13.66</v>
      </c>
      <c r="EZ25" s="229">
        <v>-1.2999999999999999E-3</v>
      </c>
      <c r="FA25" s="229">
        <v>0.28970000000000001</v>
      </c>
      <c r="FB25" s="227" t="s">
        <v>566</v>
      </c>
      <c r="FC25">
        <f t="shared" si="0"/>
        <v>2848</v>
      </c>
    </row>
    <row r="26" spans="1:159" ht="17.25" thickBot="1" x14ac:dyDescent="0.3">
      <c r="A26" s="226">
        <v>46135</v>
      </c>
      <c r="B26" s="227" t="s">
        <v>172</v>
      </c>
      <c r="C26" s="227" t="s">
        <v>179</v>
      </c>
      <c r="D26" s="228">
        <v>3600</v>
      </c>
      <c r="E26" s="228">
        <v>5</v>
      </c>
      <c r="F26" s="228">
        <v>173.67</v>
      </c>
      <c r="G26" s="228">
        <v>176.15</v>
      </c>
      <c r="H26" s="228">
        <v>-2.48</v>
      </c>
      <c r="I26" s="229">
        <v>-1.41E-2</v>
      </c>
      <c r="J26" s="228">
        <v>173.9</v>
      </c>
      <c r="K26" s="228">
        <v>176.52</v>
      </c>
      <c r="L26" s="228">
        <v>-2.62</v>
      </c>
      <c r="M26" s="229">
        <v>-1.4800000000000001E-2</v>
      </c>
      <c r="N26" s="228">
        <v>173.67</v>
      </c>
      <c r="O26" s="228">
        <v>176.15</v>
      </c>
      <c r="P26" s="228">
        <v>-2.48</v>
      </c>
      <c r="Q26" s="229">
        <v>-1.41E-2</v>
      </c>
      <c r="R26" s="228">
        <v>174.67</v>
      </c>
      <c r="S26" s="228">
        <v>177.01</v>
      </c>
      <c r="T26" s="228">
        <v>-2.34</v>
      </c>
      <c r="U26" s="229">
        <v>-1.32E-2</v>
      </c>
      <c r="V26" s="228">
        <v>175.83</v>
      </c>
      <c r="W26" s="228">
        <v>178.23</v>
      </c>
      <c r="X26" s="228">
        <v>-2.4</v>
      </c>
      <c r="Y26" s="229">
        <v>-1.35E-2</v>
      </c>
      <c r="Z26" s="228">
        <v>-0.23</v>
      </c>
      <c r="AA26" s="228">
        <v>-0.37</v>
      </c>
      <c r="AB26" s="228">
        <v>0.14000000000000001</v>
      </c>
      <c r="AC26" s="229">
        <v>-1.2999999999999999E-3</v>
      </c>
      <c r="AD26" s="228">
        <v>-0.23</v>
      </c>
      <c r="AE26" s="228">
        <v>-0.37</v>
      </c>
      <c r="AF26" s="228">
        <v>0.14000000000000001</v>
      </c>
      <c r="AG26" s="229">
        <v>-1.2999999999999999E-3</v>
      </c>
      <c r="AH26" s="228">
        <v>0.77</v>
      </c>
      <c r="AI26" s="228">
        <v>0.49</v>
      </c>
      <c r="AJ26" s="228">
        <v>0.28000000000000003</v>
      </c>
      <c r="AK26" s="229">
        <v>4.4000000000000003E-3</v>
      </c>
      <c r="AL26" s="228">
        <v>1.93</v>
      </c>
      <c r="AM26" s="228">
        <v>1.71</v>
      </c>
      <c r="AN26" s="228">
        <v>0.22</v>
      </c>
      <c r="AO26" s="229">
        <v>1.11E-2</v>
      </c>
      <c r="AP26" s="228">
        <v>172.79</v>
      </c>
      <c r="AQ26" s="228">
        <v>173.74</v>
      </c>
      <c r="AR26" s="228">
        <v>0</v>
      </c>
      <c r="AS26" s="228">
        <v>653</v>
      </c>
      <c r="AT26" s="228">
        <v>353</v>
      </c>
      <c r="AU26" s="228">
        <v>299</v>
      </c>
      <c r="AV26" s="229">
        <v>0.84719999999999995</v>
      </c>
      <c r="AW26" s="228">
        <v>353</v>
      </c>
      <c r="AX26" s="228">
        <v>222</v>
      </c>
      <c r="AY26" s="228">
        <v>131</v>
      </c>
      <c r="AZ26" s="229">
        <v>0.59089999999999998</v>
      </c>
      <c r="BA26" s="228">
        <v>294</v>
      </c>
      <c r="BB26" s="228">
        <v>129</v>
      </c>
      <c r="BC26" s="228">
        <v>165</v>
      </c>
      <c r="BD26" s="229">
        <v>1.2763</v>
      </c>
      <c r="BE26" s="228">
        <v>6</v>
      </c>
      <c r="BF26" s="228">
        <v>2</v>
      </c>
      <c r="BG26" s="228">
        <v>4</v>
      </c>
      <c r="BH26" s="229">
        <v>1.4872000000000001</v>
      </c>
      <c r="BI26" s="228">
        <v>344</v>
      </c>
      <c r="BJ26" s="228">
        <v>360</v>
      </c>
      <c r="BK26" s="228">
        <v>-16</v>
      </c>
      <c r="BL26" s="229">
        <v>-4.4299999999999999E-2</v>
      </c>
      <c r="BM26" s="228">
        <v>286</v>
      </c>
      <c r="BN26" s="228">
        <v>264</v>
      </c>
      <c r="BO26" s="228">
        <v>22</v>
      </c>
      <c r="BP26" s="229">
        <v>8.14E-2</v>
      </c>
      <c r="BQ26" s="230">
        <v>1283</v>
      </c>
      <c r="BR26" s="228">
        <v>978</v>
      </c>
      <c r="BS26" s="228">
        <v>305</v>
      </c>
      <c r="BT26" s="229">
        <v>0.312</v>
      </c>
      <c r="BU26" s="230">
        <v>10485276</v>
      </c>
      <c r="BV26" s="230">
        <v>9216524</v>
      </c>
      <c r="BW26" s="230">
        <v>1268752</v>
      </c>
      <c r="BX26" s="229">
        <v>0.13769999999999999</v>
      </c>
      <c r="BY26" s="230">
        <v>1528</v>
      </c>
      <c r="BZ26" s="230">
        <v>1533</v>
      </c>
      <c r="CA26" s="228">
        <v>-5</v>
      </c>
      <c r="CB26" s="229">
        <v>-3.2000000000000002E-3</v>
      </c>
      <c r="CC26" s="228">
        <v>899</v>
      </c>
      <c r="CD26" s="230">
        <v>1110</v>
      </c>
      <c r="CE26" s="228">
        <v>-211</v>
      </c>
      <c r="CF26" s="229">
        <v>-0.1898</v>
      </c>
      <c r="CG26" s="228">
        <v>618</v>
      </c>
      <c r="CH26" s="228">
        <v>416</v>
      </c>
      <c r="CI26" s="228">
        <v>202</v>
      </c>
      <c r="CJ26" s="229">
        <v>0.48430000000000001</v>
      </c>
      <c r="CK26" s="228">
        <v>11</v>
      </c>
      <c r="CL26" s="228">
        <v>7</v>
      </c>
      <c r="CM26" s="228">
        <v>4</v>
      </c>
      <c r="CN26" s="229">
        <v>0.56899999999999995</v>
      </c>
      <c r="CO26" s="228">
        <v>514</v>
      </c>
      <c r="CP26" s="228">
        <v>508</v>
      </c>
      <c r="CQ26" s="228">
        <v>6</v>
      </c>
      <c r="CR26" s="229">
        <v>1.23E-2</v>
      </c>
      <c r="CS26" s="228">
        <v>358</v>
      </c>
      <c r="CT26" s="228">
        <v>353</v>
      </c>
      <c r="CU26" s="228">
        <v>5</v>
      </c>
      <c r="CV26" s="229">
        <v>1.4999999999999999E-2</v>
      </c>
      <c r="CW26" s="230">
        <v>2401</v>
      </c>
      <c r="CX26" s="230">
        <v>2394</v>
      </c>
      <c r="CY26" s="228">
        <v>7</v>
      </c>
      <c r="CZ26" s="229">
        <v>2.8E-3</v>
      </c>
      <c r="DA26" s="228">
        <v>51.52</v>
      </c>
      <c r="DB26" s="228">
        <v>44.7</v>
      </c>
      <c r="DC26" s="228">
        <v>6.82</v>
      </c>
      <c r="DD26" s="228">
        <v>6.82</v>
      </c>
      <c r="DE26" s="228">
        <v>45.61</v>
      </c>
      <c r="DF26" s="228">
        <v>45.69</v>
      </c>
      <c r="DG26" s="228">
        <v>5.91</v>
      </c>
      <c r="DH26" s="228">
        <v>-0.08</v>
      </c>
      <c r="DI26" s="228">
        <v>51.37</v>
      </c>
      <c r="DJ26" s="228">
        <v>43.38</v>
      </c>
      <c r="DK26" s="228">
        <v>7.99</v>
      </c>
      <c r="DL26" s="228">
        <v>7.99</v>
      </c>
      <c r="DM26" s="228">
        <v>51.69</v>
      </c>
      <c r="DN26" s="228">
        <v>46.5</v>
      </c>
      <c r="DO26" s="228">
        <v>5.19</v>
      </c>
      <c r="DP26" s="228">
        <v>5.19</v>
      </c>
      <c r="DQ26" s="228">
        <v>0.7</v>
      </c>
      <c r="DR26" s="228">
        <v>0.7</v>
      </c>
      <c r="DS26" s="228">
        <v>0</v>
      </c>
      <c r="DT26" s="229">
        <v>0</v>
      </c>
      <c r="DU26" s="228">
        <v>150</v>
      </c>
      <c r="DV26" s="228">
        <v>170</v>
      </c>
      <c r="DW26" s="228">
        <v>0.83</v>
      </c>
      <c r="DX26" s="228">
        <v>0.73</v>
      </c>
      <c r="DY26" s="228">
        <v>0.1</v>
      </c>
      <c r="DZ26" s="229">
        <v>0.13700000000000001</v>
      </c>
      <c r="EA26" s="229">
        <v>0.41170000000000001</v>
      </c>
      <c r="EB26" s="230">
        <v>24375600</v>
      </c>
      <c r="EC26" s="229">
        <v>5.7999999999999996E-3</v>
      </c>
      <c r="ED26" s="229">
        <v>0.41170000000000001</v>
      </c>
      <c r="EE26" s="228">
        <v>0.95</v>
      </c>
      <c r="EF26" s="229">
        <v>5.4999999999999997E-3</v>
      </c>
      <c r="EG26" s="230">
        <v>4996251</v>
      </c>
      <c r="EH26" s="230">
        <v>3595212</v>
      </c>
      <c r="EI26" s="229">
        <v>0.38969999999999999</v>
      </c>
      <c r="EJ26" s="229">
        <v>0.47649999999999998</v>
      </c>
      <c r="EK26" s="228">
        <v>360.82</v>
      </c>
      <c r="EL26" s="228">
        <v>274</v>
      </c>
      <c r="EM26" s="228">
        <v>651.34</v>
      </c>
      <c r="EN26" s="228">
        <v>49.84</v>
      </c>
      <c r="EO26" s="231">
        <v>1286.1600000000001</v>
      </c>
      <c r="EP26" s="228">
        <v>994.48</v>
      </c>
      <c r="EQ26" s="228">
        <v>291.68</v>
      </c>
      <c r="ER26" s="229">
        <v>0.29330000000000001</v>
      </c>
      <c r="ES26" s="228">
        <v>512.91999999999996</v>
      </c>
      <c r="ET26" s="228">
        <v>333.57</v>
      </c>
      <c r="EU26" s="231">
        <v>1531.59</v>
      </c>
      <c r="EV26" s="231">
        <v>145616308</v>
      </c>
      <c r="EW26" s="231">
        <v>2378.0700000000002</v>
      </c>
      <c r="EX26" s="231">
        <v>2389.91</v>
      </c>
      <c r="EY26" s="228">
        <v>-11.84</v>
      </c>
      <c r="EZ26" s="229">
        <v>-5.0000000000000001E-3</v>
      </c>
      <c r="FA26" s="229">
        <v>0.94920000000000004</v>
      </c>
      <c r="FB26" s="227" t="s">
        <v>567</v>
      </c>
      <c r="FC26">
        <f t="shared" si="0"/>
        <v>629</v>
      </c>
    </row>
    <row r="27" spans="1:159" ht="17.25" thickBot="1" x14ac:dyDescent="0.3">
      <c r="A27" s="226">
        <v>46135</v>
      </c>
      <c r="B27" s="227" t="s">
        <v>172</v>
      </c>
      <c r="C27" s="227" t="s">
        <v>180</v>
      </c>
      <c r="D27" s="228">
        <v>2925</v>
      </c>
      <c r="E27" s="228">
        <v>5</v>
      </c>
      <c r="F27" s="228">
        <v>276.51</v>
      </c>
      <c r="G27" s="228">
        <v>282.41000000000003</v>
      </c>
      <c r="H27" s="228">
        <v>-5.9</v>
      </c>
      <c r="I27" s="229">
        <v>-2.0899999999999998E-2</v>
      </c>
      <c r="J27" s="228">
        <v>276.33999999999997</v>
      </c>
      <c r="K27" s="228">
        <v>282.77</v>
      </c>
      <c r="L27" s="228">
        <v>-6.43</v>
      </c>
      <c r="M27" s="229">
        <v>-2.2700000000000001E-2</v>
      </c>
      <c r="N27" s="228">
        <v>276.51</v>
      </c>
      <c r="O27" s="228">
        <v>282.41000000000003</v>
      </c>
      <c r="P27" s="228">
        <v>-5.9</v>
      </c>
      <c r="Q27" s="229">
        <v>-2.0899999999999998E-2</v>
      </c>
      <c r="R27" s="228">
        <v>277.93</v>
      </c>
      <c r="S27" s="228">
        <v>284.02</v>
      </c>
      <c r="T27" s="228">
        <v>-6.09</v>
      </c>
      <c r="U27" s="229">
        <v>-2.1399999999999999E-2</v>
      </c>
      <c r="V27" s="228">
        <v>279.95</v>
      </c>
      <c r="W27" s="228">
        <v>285.74</v>
      </c>
      <c r="X27" s="228">
        <v>-5.79</v>
      </c>
      <c r="Y27" s="229">
        <v>-2.0299999999999999E-2</v>
      </c>
      <c r="Z27" s="228">
        <v>0.17</v>
      </c>
      <c r="AA27" s="228">
        <v>-0.36</v>
      </c>
      <c r="AB27" s="228">
        <v>0.53</v>
      </c>
      <c r="AC27" s="229">
        <v>5.9999999999999995E-4</v>
      </c>
      <c r="AD27" s="228">
        <v>0.17</v>
      </c>
      <c r="AE27" s="228">
        <v>-0.36</v>
      </c>
      <c r="AF27" s="228">
        <v>0.53</v>
      </c>
      <c r="AG27" s="229">
        <v>5.9999999999999995E-4</v>
      </c>
      <c r="AH27" s="228">
        <v>1.59</v>
      </c>
      <c r="AI27" s="228">
        <v>1.25</v>
      </c>
      <c r="AJ27" s="228">
        <v>0.34</v>
      </c>
      <c r="AK27" s="229">
        <v>5.7999999999999996E-3</v>
      </c>
      <c r="AL27" s="228">
        <v>3.61</v>
      </c>
      <c r="AM27" s="228">
        <v>2.97</v>
      </c>
      <c r="AN27" s="228">
        <v>0.64</v>
      </c>
      <c r="AO27" s="229">
        <v>1.3100000000000001E-2</v>
      </c>
      <c r="AP27" s="228">
        <v>277.91000000000003</v>
      </c>
      <c r="AQ27" s="228">
        <v>279.49</v>
      </c>
      <c r="AR27" s="228">
        <v>0</v>
      </c>
      <c r="AS27" s="230">
        <v>1481</v>
      </c>
      <c r="AT27" s="228">
        <v>627</v>
      </c>
      <c r="AU27" s="228">
        <v>854</v>
      </c>
      <c r="AV27" s="229">
        <v>1.3628</v>
      </c>
      <c r="AW27" s="228">
        <v>803</v>
      </c>
      <c r="AX27" s="228">
        <v>389</v>
      </c>
      <c r="AY27" s="228">
        <v>415</v>
      </c>
      <c r="AZ27" s="229">
        <v>1.0673999999999999</v>
      </c>
      <c r="BA27" s="228">
        <v>664</v>
      </c>
      <c r="BB27" s="228">
        <v>228</v>
      </c>
      <c r="BC27" s="228">
        <v>436</v>
      </c>
      <c r="BD27" s="229">
        <v>1.9131</v>
      </c>
      <c r="BE27" s="228">
        <v>14</v>
      </c>
      <c r="BF27" s="228">
        <v>10</v>
      </c>
      <c r="BG27" s="228">
        <v>3</v>
      </c>
      <c r="BH27" s="229">
        <v>0.3281</v>
      </c>
      <c r="BI27" s="230">
        <v>2028</v>
      </c>
      <c r="BJ27" s="228">
        <v>896</v>
      </c>
      <c r="BK27" s="230">
        <v>1132</v>
      </c>
      <c r="BL27" s="229">
        <v>1.2637</v>
      </c>
      <c r="BM27" s="230">
        <v>1311</v>
      </c>
      <c r="BN27" s="228">
        <v>645</v>
      </c>
      <c r="BO27" s="228">
        <v>665</v>
      </c>
      <c r="BP27" s="229">
        <v>1.0310999999999999</v>
      </c>
      <c r="BQ27" s="230">
        <v>4820</v>
      </c>
      <c r="BR27" s="230">
        <v>2168</v>
      </c>
      <c r="BS27" s="230">
        <v>2652</v>
      </c>
      <c r="BT27" s="229">
        <v>1.2231000000000001</v>
      </c>
      <c r="BU27" s="230">
        <v>8734169</v>
      </c>
      <c r="BV27" s="230">
        <v>7789845</v>
      </c>
      <c r="BW27" s="230">
        <v>944324</v>
      </c>
      <c r="BX27" s="229">
        <v>0.1212</v>
      </c>
      <c r="BY27" s="230">
        <v>2867</v>
      </c>
      <c r="BZ27" s="230">
        <v>2765</v>
      </c>
      <c r="CA27" s="228">
        <v>102</v>
      </c>
      <c r="CB27" s="229">
        <v>3.6999999999999998E-2</v>
      </c>
      <c r="CC27" s="230">
        <v>1626</v>
      </c>
      <c r="CD27" s="230">
        <v>2009</v>
      </c>
      <c r="CE27" s="228">
        <v>-383</v>
      </c>
      <c r="CF27" s="229">
        <v>-0.1908</v>
      </c>
      <c r="CG27" s="230">
        <v>1055</v>
      </c>
      <c r="CH27" s="228">
        <v>576</v>
      </c>
      <c r="CI27" s="228">
        <v>480</v>
      </c>
      <c r="CJ27" s="229">
        <v>0.83299999999999996</v>
      </c>
      <c r="CK27" s="228">
        <v>186</v>
      </c>
      <c r="CL27" s="228">
        <v>180</v>
      </c>
      <c r="CM27" s="228">
        <v>6</v>
      </c>
      <c r="CN27" s="229">
        <v>3.4200000000000001E-2</v>
      </c>
      <c r="CO27" s="230">
        <v>1536</v>
      </c>
      <c r="CP27" s="230">
        <v>1348</v>
      </c>
      <c r="CQ27" s="228">
        <v>188</v>
      </c>
      <c r="CR27" s="229">
        <v>0.13930000000000001</v>
      </c>
      <c r="CS27" s="230">
        <v>1252</v>
      </c>
      <c r="CT27" s="230">
        <v>1206</v>
      </c>
      <c r="CU27" s="228">
        <v>46</v>
      </c>
      <c r="CV27" s="229">
        <v>3.7999999999999999E-2</v>
      </c>
      <c r="CW27" s="230">
        <v>5655</v>
      </c>
      <c r="CX27" s="230">
        <v>5319</v>
      </c>
      <c r="CY27" s="228">
        <v>336</v>
      </c>
      <c r="CZ27" s="229">
        <v>6.3200000000000006E-2</v>
      </c>
      <c r="DA27" s="228">
        <v>32.64</v>
      </c>
      <c r="DB27" s="228">
        <v>32.979999999999997</v>
      </c>
      <c r="DC27" s="228">
        <v>-0.34</v>
      </c>
      <c r="DD27" s="228">
        <v>-0.34</v>
      </c>
      <c r="DE27" s="228">
        <v>36.79</v>
      </c>
      <c r="DF27" s="228">
        <v>36.770000000000003</v>
      </c>
      <c r="DG27" s="228">
        <v>-4.1500000000000004</v>
      </c>
      <c r="DH27" s="228">
        <v>0.02</v>
      </c>
      <c r="DI27" s="228">
        <v>32.93</v>
      </c>
      <c r="DJ27" s="228">
        <v>29.93</v>
      </c>
      <c r="DK27" s="228">
        <v>3</v>
      </c>
      <c r="DL27" s="228">
        <v>3</v>
      </c>
      <c r="DM27" s="228">
        <v>32.29</v>
      </c>
      <c r="DN27" s="228">
        <v>37.22</v>
      </c>
      <c r="DO27" s="228">
        <v>-4.93</v>
      </c>
      <c r="DP27" s="228">
        <v>-4.93</v>
      </c>
      <c r="DQ27" s="228">
        <v>0.82</v>
      </c>
      <c r="DR27" s="228">
        <v>0.9</v>
      </c>
      <c r="DS27" s="228">
        <v>-0.08</v>
      </c>
      <c r="DT27" s="229">
        <v>-8.8900000000000007E-2</v>
      </c>
      <c r="DU27" s="228">
        <v>290</v>
      </c>
      <c r="DV27" s="228">
        <v>250</v>
      </c>
      <c r="DW27" s="228">
        <v>0.65</v>
      </c>
      <c r="DX27" s="228">
        <v>0.72</v>
      </c>
      <c r="DY27" s="228">
        <v>-7.0000000000000007E-2</v>
      </c>
      <c r="DZ27" s="229">
        <v>-9.7199999999999995E-2</v>
      </c>
      <c r="EA27" s="229">
        <v>0.43290000000000001</v>
      </c>
      <c r="EB27" s="230">
        <v>27316575</v>
      </c>
      <c r="EC27" s="229">
        <v>5.1000000000000004E-3</v>
      </c>
      <c r="ED27" s="229">
        <v>0.43290000000000001</v>
      </c>
      <c r="EE27" s="228">
        <v>1.58</v>
      </c>
      <c r="EF27" s="229">
        <v>5.7000000000000002E-3</v>
      </c>
      <c r="EG27" s="230">
        <v>3666342</v>
      </c>
      <c r="EH27" s="230">
        <v>3980092</v>
      </c>
      <c r="EI27" s="229">
        <v>-7.8799999999999995E-2</v>
      </c>
      <c r="EJ27" s="229">
        <v>0.41980000000000001</v>
      </c>
      <c r="EK27" s="231">
        <v>2131.65</v>
      </c>
      <c r="EL27" s="231">
        <v>1293.93</v>
      </c>
      <c r="EM27" s="231">
        <v>1492.66</v>
      </c>
      <c r="EN27" s="228">
        <v>76.53</v>
      </c>
      <c r="EO27" s="231">
        <v>4918.24</v>
      </c>
      <c r="EP27" s="231">
        <v>2243.5500000000002</v>
      </c>
      <c r="EQ27" s="231">
        <v>2674.69</v>
      </c>
      <c r="ER27" s="229">
        <v>1.1921999999999999</v>
      </c>
      <c r="ES27" s="231">
        <v>1586.27</v>
      </c>
      <c r="ET27" s="231">
        <v>1231.1400000000001</v>
      </c>
      <c r="EU27" s="231">
        <v>2874.74</v>
      </c>
      <c r="EV27" s="231">
        <v>279476623</v>
      </c>
      <c r="EW27" s="231">
        <v>5692.15</v>
      </c>
      <c r="EX27" s="231">
        <v>5405.55</v>
      </c>
      <c r="EY27" s="228">
        <v>286.60000000000002</v>
      </c>
      <c r="EZ27" s="229">
        <v>5.2999999999999999E-2</v>
      </c>
      <c r="FA27" s="229">
        <v>0.73180000000000001</v>
      </c>
      <c r="FB27" s="227" t="s">
        <v>566</v>
      </c>
      <c r="FC27">
        <f t="shared" si="0"/>
        <v>1241</v>
      </c>
    </row>
    <row r="28" spans="1:159" ht="17.25" thickBot="1" x14ac:dyDescent="0.3">
      <c r="A28" s="226">
        <v>46135</v>
      </c>
      <c r="B28" s="227" t="s">
        <v>172</v>
      </c>
      <c r="C28" s="227" t="s">
        <v>601</v>
      </c>
      <c r="D28" s="228">
        <v>5200</v>
      </c>
      <c r="E28" s="228">
        <v>5</v>
      </c>
      <c r="F28" s="228">
        <v>150.6</v>
      </c>
      <c r="G28" s="228">
        <v>152.62</v>
      </c>
      <c r="H28" s="228">
        <v>-2.02</v>
      </c>
      <c r="I28" s="229">
        <v>-1.32E-2</v>
      </c>
      <c r="J28" s="228">
        <v>150.86000000000001</v>
      </c>
      <c r="K28" s="228">
        <v>152.91999999999999</v>
      </c>
      <c r="L28" s="228">
        <v>-2.06</v>
      </c>
      <c r="M28" s="229">
        <v>-1.35E-2</v>
      </c>
      <c r="N28" s="228">
        <v>150.6</v>
      </c>
      <c r="O28" s="228">
        <v>152.62</v>
      </c>
      <c r="P28" s="228">
        <v>-2.02</v>
      </c>
      <c r="Q28" s="229">
        <v>-1.32E-2</v>
      </c>
      <c r="R28" s="228">
        <v>151.19999999999999</v>
      </c>
      <c r="S28" s="228">
        <v>153.46</v>
      </c>
      <c r="T28" s="228">
        <v>-2.2599999999999998</v>
      </c>
      <c r="U28" s="229">
        <v>-1.47E-2</v>
      </c>
      <c r="V28" s="228">
        <v>151.76</v>
      </c>
      <c r="W28" s="228">
        <v>154.31</v>
      </c>
      <c r="X28" s="228">
        <v>-2.5499999999999998</v>
      </c>
      <c r="Y28" s="229">
        <v>-1.6500000000000001E-2</v>
      </c>
      <c r="Z28" s="228">
        <v>-0.26</v>
      </c>
      <c r="AA28" s="228">
        <v>-0.3</v>
      </c>
      <c r="AB28" s="228">
        <v>0.04</v>
      </c>
      <c r="AC28" s="229">
        <v>-1.6999999999999999E-3</v>
      </c>
      <c r="AD28" s="228">
        <v>-0.26</v>
      </c>
      <c r="AE28" s="228">
        <v>-0.3</v>
      </c>
      <c r="AF28" s="228">
        <v>0.04</v>
      </c>
      <c r="AG28" s="229">
        <v>-1.6999999999999999E-3</v>
      </c>
      <c r="AH28" s="228">
        <v>0.34</v>
      </c>
      <c r="AI28" s="228">
        <v>0.54</v>
      </c>
      <c r="AJ28" s="228">
        <v>-0.2</v>
      </c>
      <c r="AK28" s="229">
        <v>2.3E-3</v>
      </c>
      <c r="AL28" s="228">
        <v>0.9</v>
      </c>
      <c r="AM28" s="228">
        <v>1.39</v>
      </c>
      <c r="AN28" s="228">
        <v>-0.49</v>
      </c>
      <c r="AO28" s="229">
        <v>6.0000000000000001E-3</v>
      </c>
      <c r="AP28" s="228">
        <v>151.04</v>
      </c>
      <c r="AQ28" s="228">
        <v>151.79</v>
      </c>
      <c r="AR28" s="228">
        <v>0</v>
      </c>
      <c r="AS28" s="228">
        <v>773</v>
      </c>
      <c r="AT28" s="228">
        <v>397</v>
      </c>
      <c r="AU28" s="228">
        <v>376</v>
      </c>
      <c r="AV28" s="229">
        <v>0.94810000000000005</v>
      </c>
      <c r="AW28" s="228">
        <v>428</v>
      </c>
      <c r="AX28" s="228">
        <v>244</v>
      </c>
      <c r="AY28" s="228">
        <v>184</v>
      </c>
      <c r="AZ28" s="229">
        <v>0.75429999999999997</v>
      </c>
      <c r="BA28" s="228">
        <v>339</v>
      </c>
      <c r="BB28" s="228">
        <v>148</v>
      </c>
      <c r="BC28" s="228">
        <v>191</v>
      </c>
      <c r="BD28" s="229">
        <v>1.2865</v>
      </c>
      <c r="BE28" s="228">
        <v>5</v>
      </c>
      <c r="BF28" s="228">
        <v>4</v>
      </c>
      <c r="BG28" s="228">
        <v>1</v>
      </c>
      <c r="BH28" s="229">
        <v>0.24529999999999999</v>
      </c>
      <c r="BI28" s="228">
        <v>609</v>
      </c>
      <c r="BJ28" s="228">
        <v>784</v>
      </c>
      <c r="BK28" s="228">
        <v>-175</v>
      </c>
      <c r="BL28" s="229">
        <v>-0.22370000000000001</v>
      </c>
      <c r="BM28" s="228">
        <v>340</v>
      </c>
      <c r="BN28" s="228">
        <v>329</v>
      </c>
      <c r="BO28" s="228">
        <v>11</v>
      </c>
      <c r="BP28" s="229">
        <v>3.3599999999999998E-2</v>
      </c>
      <c r="BQ28" s="230">
        <v>1721</v>
      </c>
      <c r="BR28" s="230">
        <v>1509</v>
      </c>
      <c r="BS28" s="228">
        <v>212</v>
      </c>
      <c r="BT28" s="229">
        <v>0.14019999999999999</v>
      </c>
      <c r="BU28" s="230">
        <v>14580571</v>
      </c>
      <c r="BV28" s="230">
        <v>15518071</v>
      </c>
      <c r="BW28" s="230">
        <v>-937500</v>
      </c>
      <c r="BX28" s="229">
        <v>-6.0400000000000002E-2</v>
      </c>
      <c r="BY28" s="228">
        <v>794</v>
      </c>
      <c r="BZ28" s="228">
        <v>848</v>
      </c>
      <c r="CA28" s="228">
        <v>-55</v>
      </c>
      <c r="CB28" s="229">
        <v>-6.4299999999999996E-2</v>
      </c>
      <c r="CC28" s="228">
        <v>419</v>
      </c>
      <c r="CD28" s="228">
        <v>677</v>
      </c>
      <c r="CE28" s="228">
        <v>-258</v>
      </c>
      <c r="CF28" s="229">
        <v>-0.38069999999999998</v>
      </c>
      <c r="CG28" s="228">
        <v>364</v>
      </c>
      <c r="CH28" s="228">
        <v>162</v>
      </c>
      <c r="CI28" s="228">
        <v>201</v>
      </c>
      <c r="CJ28" s="229">
        <v>1.2392000000000001</v>
      </c>
      <c r="CK28" s="228">
        <v>11</v>
      </c>
      <c r="CL28" s="228">
        <v>9</v>
      </c>
      <c r="CM28" s="228">
        <v>2</v>
      </c>
      <c r="CN28" s="229">
        <v>0.2087</v>
      </c>
      <c r="CO28" s="228">
        <v>420</v>
      </c>
      <c r="CP28" s="228">
        <v>425</v>
      </c>
      <c r="CQ28" s="228">
        <v>-4</v>
      </c>
      <c r="CR28" s="229">
        <v>-1.0500000000000001E-2</v>
      </c>
      <c r="CS28" s="228">
        <v>380</v>
      </c>
      <c r="CT28" s="228">
        <v>380</v>
      </c>
      <c r="CU28" s="228">
        <v>0</v>
      </c>
      <c r="CV28" s="229">
        <v>0</v>
      </c>
      <c r="CW28" s="230">
        <v>1594</v>
      </c>
      <c r="CX28" s="230">
        <v>1653</v>
      </c>
      <c r="CY28" s="228">
        <v>-59</v>
      </c>
      <c r="CZ28" s="229">
        <v>-3.5700000000000003E-2</v>
      </c>
      <c r="DA28" s="228">
        <v>39.4</v>
      </c>
      <c r="DB28" s="228">
        <v>37.96</v>
      </c>
      <c r="DC28" s="228">
        <v>1.44</v>
      </c>
      <c r="DD28" s="228">
        <v>1.44</v>
      </c>
      <c r="DE28" s="228">
        <v>42.75</v>
      </c>
      <c r="DF28" s="228">
        <v>42.82</v>
      </c>
      <c r="DG28" s="228">
        <v>-3.35</v>
      </c>
      <c r="DH28" s="228">
        <v>-7.0000000000000007E-2</v>
      </c>
      <c r="DI28" s="228">
        <v>39.61</v>
      </c>
      <c r="DJ28" s="228">
        <v>36.86</v>
      </c>
      <c r="DK28" s="228">
        <v>2.75</v>
      </c>
      <c r="DL28" s="228">
        <v>2.75</v>
      </c>
      <c r="DM28" s="228">
        <v>39.1</v>
      </c>
      <c r="DN28" s="228">
        <v>40.58</v>
      </c>
      <c r="DO28" s="228">
        <v>-1.48</v>
      </c>
      <c r="DP28" s="228">
        <v>-1.48</v>
      </c>
      <c r="DQ28" s="228">
        <v>0.9</v>
      </c>
      <c r="DR28" s="228">
        <v>0.9</v>
      </c>
      <c r="DS28" s="228">
        <v>0</v>
      </c>
      <c r="DT28" s="229">
        <v>0</v>
      </c>
      <c r="DU28" s="228">
        <v>160</v>
      </c>
      <c r="DV28" s="228">
        <v>140</v>
      </c>
      <c r="DW28" s="228">
        <v>0.56000000000000005</v>
      </c>
      <c r="DX28" s="228">
        <v>0.42</v>
      </c>
      <c r="DY28" s="228">
        <v>0.14000000000000001</v>
      </c>
      <c r="DZ28" s="229">
        <v>0.33329999999999999</v>
      </c>
      <c r="EA28" s="229">
        <v>0.4718</v>
      </c>
      <c r="EB28" s="230">
        <v>11382800</v>
      </c>
      <c r="EC28" s="229">
        <v>4.0000000000000001E-3</v>
      </c>
      <c r="ED28" s="229">
        <v>0.4718</v>
      </c>
      <c r="EE28" s="228">
        <v>0.75</v>
      </c>
      <c r="EF28" s="229">
        <v>5.0000000000000001E-3</v>
      </c>
      <c r="EG28" s="230">
        <v>6083944</v>
      </c>
      <c r="EH28" s="230">
        <v>6293066</v>
      </c>
      <c r="EI28" s="229">
        <v>-3.32E-2</v>
      </c>
      <c r="EJ28" s="229">
        <v>0.4173</v>
      </c>
      <c r="EK28" s="228">
        <v>631.70000000000005</v>
      </c>
      <c r="EL28" s="228">
        <v>334.69</v>
      </c>
      <c r="EM28" s="228">
        <v>776.69</v>
      </c>
      <c r="EN28" s="228">
        <v>30.99</v>
      </c>
      <c r="EO28" s="231">
        <v>1743.09</v>
      </c>
      <c r="EP28" s="231">
        <v>1550.53</v>
      </c>
      <c r="EQ28" s="228">
        <v>192.56</v>
      </c>
      <c r="ER28" s="229">
        <v>0.1242</v>
      </c>
      <c r="ES28" s="228">
        <v>430</v>
      </c>
      <c r="ET28" s="228">
        <v>363.78</v>
      </c>
      <c r="EU28" s="228">
        <v>795.38</v>
      </c>
      <c r="EV28" s="231">
        <v>181770921</v>
      </c>
      <c r="EW28" s="231">
        <v>1589.16</v>
      </c>
      <c r="EX28" s="231">
        <v>1658.55</v>
      </c>
      <c r="EY28" s="228">
        <v>-69.39</v>
      </c>
      <c r="EZ28" s="229">
        <v>-4.1799999999999997E-2</v>
      </c>
      <c r="FA28" s="229">
        <v>0.58230000000000004</v>
      </c>
      <c r="FB28" s="227" t="s">
        <v>567</v>
      </c>
      <c r="FC28">
        <f t="shared" si="0"/>
        <v>375</v>
      </c>
    </row>
    <row r="29" spans="1:159" s="195" customFormat="1" ht="17.25" thickBot="1" x14ac:dyDescent="0.3">
      <c r="A29" s="226">
        <v>46135</v>
      </c>
      <c r="B29" s="227" t="s">
        <v>181</v>
      </c>
      <c r="C29" s="227" t="s">
        <v>182</v>
      </c>
      <c r="D29" s="228">
        <v>30</v>
      </c>
      <c r="E29" s="228">
        <v>5</v>
      </c>
      <c r="F29" s="231">
        <v>56344.2</v>
      </c>
      <c r="G29" s="231">
        <v>57147</v>
      </c>
      <c r="H29" s="228">
        <v>-802.8</v>
      </c>
      <c r="I29" s="229">
        <v>-1.4E-2</v>
      </c>
      <c r="J29" s="231">
        <v>56305</v>
      </c>
      <c r="K29" s="231">
        <v>57124.45</v>
      </c>
      <c r="L29" s="228">
        <v>-819.45</v>
      </c>
      <c r="M29" s="229">
        <v>-1.43E-2</v>
      </c>
      <c r="N29" s="231">
        <v>56344.2</v>
      </c>
      <c r="O29" s="231">
        <v>57147</v>
      </c>
      <c r="P29" s="228">
        <v>-802.8</v>
      </c>
      <c r="Q29" s="229">
        <v>-1.4E-2</v>
      </c>
      <c r="R29" s="231">
        <v>56618.400000000001</v>
      </c>
      <c r="S29" s="231">
        <v>57468.6</v>
      </c>
      <c r="T29" s="228">
        <v>-850.2</v>
      </c>
      <c r="U29" s="229">
        <v>-1.4800000000000001E-2</v>
      </c>
      <c r="V29" s="231">
        <v>56810.2</v>
      </c>
      <c r="W29" s="231">
        <v>57690.400000000001</v>
      </c>
      <c r="X29" s="228">
        <v>-880.2</v>
      </c>
      <c r="Y29" s="229">
        <v>-1.5299999999999999E-2</v>
      </c>
      <c r="Z29" s="228">
        <v>39.200000000000003</v>
      </c>
      <c r="AA29" s="228">
        <v>22.55</v>
      </c>
      <c r="AB29" s="228">
        <v>16.649999999999999</v>
      </c>
      <c r="AC29" s="229">
        <v>6.9999999999999999E-4</v>
      </c>
      <c r="AD29" s="228">
        <v>39.200000000000003</v>
      </c>
      <c r="AE29" s="228">
        <v>22.55</v>
      </c>
      <c r="AF29" s="228">
        <v>16.649999999999999</v>
      </c>
      <c r="AG29" s="229">
        <v>6.9999999999999999E-4</v>
      </c>
      <c r="AH29" s="228">
        <v>313.39999999999998</v>
      </c>
      <c r="AI29" s="228">
        <v>344.15</v>
      </c>
      <c r="AJ29" s="228">
        <v>-30.75</v>
      </c>
      <c r="AK29" s="229">
        <v>5.5999999999999999E-3</v>
      </c>
      <c r="AL29" s="228">
        <v>505.2</v>
      </c>
      <c r="AM29" s="228">
        <v>565.95000000000005</v>
      </c>
      <c r="AN29" s="228">
        <v>-60.75</v>
      </c>
      <c r="AO29" s="229">
        <v>8.9999999999999993E-3</v>
      </c>
      <c r="AP29" s="231">
        <v>56520.67</v>
      </c>
      <c r="AQ29" s="231">
        <v>56807.7</v>
      </c>
      <c r="AR29" s="228">
        <v>0</v>
      </c>
      <c r="AS29" s="230">
        <v>7068</v>
      </c>
      <c r="AT29" s="230">
        <v>5056</v>
      </c>
      <c r="AU29" s="230">
        <v>2012</v>
      </c>
      <c r="AV29" s="229">
        <v>0.39789999999999998</v>
      </c>
      <c r="AW29" s="230">
        <v>4868</v>
      </c>
      <c r="AX29" s="230">
        <v>3799</v>
      </c>
      <c r="AY29" s="230">
        <v>1068</v>
      </c>
      <c r="AZ29" s="229">
        <v>0.28120000000000001</v>
      </c>
      <c r="BA29" s="230">
        <v>1876</v>
      </c>
      <c r="BB29" s="230">
        <v>1021</v>
      </c>
      <c r="BC29" s="228">
        <v>856</v>
      </c>
      <c r="BD29" s="229">
        <v>0.83850000000000002</v>
      </c>
      <c r="BE29" s="228">
        <v>324</v>
      </c>
      <c r="BF29" s="228">
        <v>236</v>
      </c>
      <c r="BG29" s="228">
        <v>88</v>
      </c>
      <c r="BH29" s="229">
        <v>0.3725</v>
      </c>
      <c r="BI29" s="230">
        <v>377202</v>
      </c>
      <c r="BJ29" s="230">
        <v>319594</v>
      </c>
      <c r="BK29" s="230">
        <v>57608</v>
      </c>
      <c r="BL29" s="229">
        <v>0.18029999999999999</v>
      </c>
      <c r="BM29" s="230">
        <v>336758</v>
      </c>
      <c r="BN29" s="230">
        <v>331627</v>
      </c>
      <c r="BO29" s="230">
        <v>5131</v>
      </c>
      <c r="BP29" s="229">
        <v>1.55E-2</v>
      </c>
      <c r="BQ29" s="230">
        <v>721028</v>
      </c>
      <c r="BR29" s="230">
        <v>656277</v>
      </c>
      <c r="BS29" s="230">
        <v>64751</v>
      </c>
      <c r="BT29" s="229">
        <v>9.8699999999999996E-2</v>
      </c>
      <c r="BU29" s="228">
        <v>0</v>
      </c>
      <c r="BV29" s="228">
        <v>0</v>
      </c>
      <c r="BW29" s="228">
        <v>0</v>
      </c>
      <c r="BX29" s="229">
        <v>0</v>
      </c>
      <c r="BY29" s="230">
        <v>13785</v>
      </c>
      <c r="BZ29" s="230">
        <v>13380</v>
      </c>
      <c r="CA29" s="228">
        <v>405</v>
      </c>
      <c r="CB29" s="229">
        <v>3.0300000000000001E-2</v>
      </c>
      <c r="CC29" s="230">
        <v>8724</v>
      </c>
      <c r="CD29" s="230">
        <v>9521</v>
      </c>
      <c r="CE29" s="228">
        <v>-797</v>
      </c>
      <c r="CF29" s="229">
        <v>-8.3699999999999997E-2</v>
      </c>
      <c r="CG29" s="230">
        <v>4357</v>
      </c>
      <c r="CH29" s="230">
        <v>3269</v>
      </c>
      <c r="CI29" s="230">
        <v>1088</v>
      </c>
      <c r="CJ29" s="229">
        <v>0.33279999999999998</v>
      </c>
      <c r="CK29" s="228">
        <v>704</v>
      </c>
      <c r="CL29" s="228">
        <v>590</v>
      </c>
      <c r="CM29" s="228">
        <v>114</v>
      </c>
      <c r="CN29" s="229">
        <v>0.19339999999999999</v>
      </c>
      <c r="CO29" s="230">
        <v>125798</v>
      </c>
      <c r="CP29" s="230">
        <v>117588</v>
      </c>
      <c r="CQ29" s="230">
        <v>8210</v>
      </c>
      <c r="CR29" s="229">
        <v>6.9800000000000001E-2</v>
      </c>
      <c r="CS29" s="230">
        <v>114783</v>
      </c>
      <c r="CT29" s="230">
        <v>116964</v>
      </c>
      <c r="CU29" s="230">
        <v>-2181</v>
      </c>
      <c r="CV29" s="229">
        <v>-1.8599999999999998E-2</v>
      </c>
      <c r="CW29" s="230">
        <v>254366</v>
      </c>
      <c r="CX29" s="230">
        <v>247932</v>
      </c>
      <c r="CY29" s="230">
        <v>6434</v>
      </c>
      <c r="CZ29" s="229">
        <v>2.5999999999999999E-2</v>
      </c>
      <c r="DA29" s="228">
        <v>19.52</v>
      </c>
      <c r="DB29" s="228">
        <v>22.33</v>
      </c>
      <c r="DC29" s="228">
        <v>-2.81</v>
      </c>
      <c r="DD29" s="228">
        <v>-2.81</v>
      </c>
      <c r="DE29" s="228">
        <v>21.34</v>
      </c>
      <c r="DF29" s="228">
        <v>21.3</v>
      </c>
      <c r="DG29" s="228">
        <v>-1.82</v>
      </c>
      <c r="DH29" s="228">
        <v>0.04</v>
      </c>
      <c r="DI29" s="228">
        <v>18.010000000000002</v>
      </c>
      <c r="DJ29" s="228">
        <v>20.6</v>
      </c>
      <c r="DK29" s="228">
        <v>-2.59</v>
      </c>
      <c r="DL29" s="228">
        <v>-2.59</v>
      </c>
      <c r="DM29" s="228">
        <v>21.73</v>
      </c>
      <c r="DN29" s="228">
        <v>23.99</v>
      </c>
      <c r="DO29" s="228">
        <v>-2.2599999999999998</v>
      </c>
      <c r="DP29" s="228">
        <v>-2.2599999999999998</v>
      </c>
      <c r="DQ29" s="228">
        <v>0.91</v>
      </c>
      <c r="DR29" s="228">
        <v>0.99</v>
      </c>
      <c r="DS29" s="228">
        <v>-0.08</v>
      </c>
      <c r="DT29" s="229">
        <v>-8.0799999999999997E-2</v>
      </c>
      <c r="DU29" s="231">
        <v>60000</v>
      </c>
      <c r="DV29" s="231">
        <v>60000</v>
      </c>
      <c r="DW29" s="228">
        <v>0.89</v>
      </c>
      <c r="DX29" s="228">
        <v>1.04</v>
      </c>
      <c r="DY29" s="228">
        <v>-0.15</v>
      </c>
      <c r="DZ29" s="229">
        <v>-0.14419999999999999</v>
      </c>
      <c r="EA29" s="229">
        <v>0.36709999999999998</v>
      </c>
      <c r="EB29" s="230">
        <v>684900</v>
      </c>
      <c r="EC29" s="229">
        <v>4.8999999999999998E-3</v>
      </c>
      <c r="ED29" s="229">
        <v>0.36709999999999998</v>
      </c>
      <c r="EE29" s="228">
        <v>287.02999999999997</v>
      </c>
      <c r="EF29" s="229">
        <v>5.1000000000000004E-3</v>
      </c>
      <c r="EG29" s="228">
        <v>0</v>
      </c>
      <c r="EH29" s="228">
        <v>0</v>
      </c>
      <c r="EI29" s="229">
        <v>0</v>
      </c>
      <c r="EJ29" s="229">
        <v>0</v>
      </c>
      <c r="EK29" s="231">
        <v>391042.45</v>
      </c>
      <c r="EL29" s="231">
        <v>331444.18</v>
      </c>
      <c r="EM29" s="231">
        <v>7102.49</v>
      </c>
      <c r="EN29" s="228">
        <v>0</v>
      </c>
      <c r="EO29" s="231">
        <v>729589.12</v>
      </c>
      <c r="EP29" s="231">
        <v>665500.69999999995</v>
      </c>
      <c r="EQ29" s="231">
        <v>64088.43</v>
      </c>
      <c r="ER29" s="229">
        <v>9.6299999999999997E-2</v>
      </c>
      <c r="ES29" s="231">
        <v>129913.83</v>
      </c>
      <c r="ET29" s="231">
        <v>110277</v>
      </c>
      <c r="EU29" s="231">
        <v>13812.31</v>
      </c>
      <c r="EV29" s="228">
        <v>0</v>
      </c>
      <c r="EW29" s="231">
        <v>254003.14</v>
      </c>
      <c r="EX29" s="231">
        <v>247713.8</v>
      </c>
      <c r="EY29" s="231">
        <v>6289.34</v>
      </c>
      <c r="EZ29" s="229">
        <v>2.5399999999999999E-2</v>
      </c>
      <c r="FA29" s="229">
        <v>0</v>
      </c>
      <c r="FB29" s="227" t="s">
        <v>566</v>
      </c>
      <c r="FC29" s="195">
        <f t="shared" si="0"/>
        <v>5061</v>
      </c>
    </row>
    <row r="30" spans="1:159" ht="17.25" thickBot="1" x14ac:dyDescent="0.3">
      <c r="A30" s="226">
        <v>46135</v>
      </c>
      <c r="B30" s="227" t="s">
        <v>184</v>
      </c>
      <c r="C30" s="227" t="s">
        <v>669</v>
      </c>
      <c r="D30" s="228">
        <v>350</v>
      </c>
      <c r="E30" s="228">
        <v>5</v>
      </c>
      <c r="F30" s="231">
        <v>1424.5</v>
      </c>
      <c r="G30" s="231">
        <v>1384.1</v>
      </c>
      <c r="H30" s="228">
        <v>40.4</v>
      </c>
      <c r="I30" s="229">
        <v>2.92E-2</v>
      </c>
      <c r="J30" s="231">
        <v>1423.3</v>
      </c>
      <c r="K30" s="231">
        <v>1380.2</v>
      </c>
      <c r="L30" s="228">
        <v>43.1</v>
      </c>
      <c r="M30" s="229">
        <v>3.1199999999999999E-2</v>
      </c>
      <c r="N30" s="231">
        <v>1424.5</v>
      </c>
      <c r="O30" s="231">
        <v>1384.1</v>
      </c>
      <c r="P30" s="228">
        <v>40.4</v>
      </c>
      <c r="Q30" s="229">
        <v>2.92E-2</v>
      </c>
      <c r="R30" s="231">
        <v>1411.6</v>
      </c>
      <c r="S30" s="231">
        <v>1370.4</v>
      </c>
      <c r="T30" s="228">
        <v>41.2</v>
      </c>
      <c r="U30" s="229">
        <v>3.0099999999999998E-2</v>
      </c>
      <c r="V30" s="231">
        <v>1407.6</v>
      </c>
      <c r="W30" s="231">
        <v>1367.6</v>
      </c>
      <c r="X30" s="228">
        <v>40</v>
      </c>
      <c r="Y30" s="229">
        <v>2.92E-2</v>
      </c>
      <c r="Z30" s="228">
        <v>1.2</v>
      </c>
      <c r="AA30" s="228">
        <v>3.9</v>
      </c>
      <c r="AB30" s="228">
        <v>-2.7</v>
      </c>
      <c r="AC30" s="229">
        <v>8.0000000000000004E-4</v>
      </c>
      <c r="AD30" s="228">
        <v>1.2</v>
      </c>
      <c r="AE30" s="228">
        <v>3.9</v>
      </c>
      <c r="AF30" s="228">
        <v>-2.7</v>
      </c>
      <c r="AG30" s="229">
        <v>8.0000000000000004E-4</v>
      </c>
      <c r="AH30" s="228">
        <v>-11.7</v>
      </c>
      <c r="AI30" s="228">
        <v>-9.8000000000000007</v>
      </c>
      <c r="AJ30" s="228">
        <v>-1.9</v>
      </c>
      <c r="AK30" s="229">
        <v>-8.2000000000000007E-3</v>
      </c>
      <c r="AL30" s="228">
        <v>-15.7</v>
      </c>
      <c r="AM30" s="228">
        <v>-12.6</v>
      </c>
      <c r="AN30" s="228">
        <v>-3.1</v>
      </c>
      <c r="AO30" s="229">
        <v>-1.0999999999999999E-2</v>
      </c>
      <c r="AP30" s="231">
        <v>1406.89</v>
      </c>
      <c r="AQ30" s="231">
        <v>1398.33</v>
      </c>
      <c r="AR30" s="228">
        <v>0</v>
      </c>
      <c r="AS30" s="228">
        <v>585</v>
      </c>
      <c r="AT30" s="228">
        <v>172</v>
      </c>
      <c r="AU30" s="228">
        <v>413</v>
      </c>
      <c r="AV30" s="229">
        <v>2.3997999999999999</v>
      </c>
      <c r="AW30" s="228">
        <v>298</v>
      </c>
      <c r="AX30" s="228">
        <v>105</v>
      </c>
      <c r="AY30" s="228">
        <v>193</v>
      </c>
      <c r="AZ30" s="229">
        <v>1.8480000000000001</v>
      </c>
      <c r="BA30" s="228">
        <v>279</v>
      </c>
      <c r="BB30" s="228">
        <v>64</v>
      </c>
      <c r="BC30" s="228">
        <v>215</v>
      </c>
      <c r="BD30" s="229">
        <v>3.359</v>
      </c>
      <c r="BE30" s="228">
        <v>8</v>
      </c>
      <c r="BF30" s="228">
        <v>3</v>
      </c>
      <c r="BG30" s="228">
        <v>4</v>
      </c>
      <c r="BH30" s="229">
        <v>1.2879</v>
      </c>
      <c r="BI30" s="230">
        <v>1449</v>
      </c>
      <c r="BJ30" s="228">
        <v>411</v>
      </c>
      <c r="BK30" s="230">
        <v>1038</v>
      </c>
      <c r="BL30" s="229">
        <v>2.5226000000000002</v>
      </c>
      <c r="BM30" s="228">
        <v>504</v>
      </c>
      <c r="BN30" s="228">
        <v>305</v>
      </c>
      <c r="BO30" s="228">
        <v>199</v>
      </c>
      <c r="BP30" s="229">
        <v>0.65139999999999998</v>
      </c>
      <c r="BQ30" s="230">
        <v>2539</v>
      </c>
      <c r="BR30" s="228">
        <v>889</v>
      </c>
      <c r="BS30" s="230">
        <v>1650</v>
      </c>
      <c r="BT30" s="229">
        <v>1.8557999999999999</v>
      </c>
      <c r="BU30" s="230">
        <v>2558211</v>
      </c>
      <c r="BV30" s="230">
        <v>894977</v>
      </c>
      <c r="BW30" s="230">
        <v>1663234</v>
      </c>
      <c r="BX30" s="229">
        <v>1.8584000000000001</v>
      </c>
      <c r="BY30" s="228">
        <v>600</v>
      </c>
      <c r="BZ30" s="228">
        <v>608</v>
      </c>
      <c r="CA30" s="228">
        <v>-8</v>
      </c>
      <c r="CB30" s="229">
        <v>-1.29E-2</v>
      </c>
      <c r="CC30" s="228">
        <v>319</v>
      </c>
      <c r="CD30" s="228">
        <v>432</v>
      </c>
      <c r="CE30" s="228">
        <v>-113</v>
      </c>
      <c r="CF30" s="229">
        <v>-0.26240000000000002</v>
      </c>
      <c r="CG30" s="228">
        <v>267</v>
      </c>
      <c r="CH30" s="228">
        <v>164</v>
      </c>
      <c r="CI30" s="228">
        <v>104</v>
      </c>
      <c r="CJ30" s="229">
        <v>0.63290000000000002</v>
      </c>
      <c r="CK30" s="228">
        <v>14</v>
      </c>
      <c r="CL30" s="228">
        <v>12</v>
      </c>
      <c r="CM30" s="228">
        <v>2</v>
      </c>
      <c r="CN30" s="229">
        <v>0.1757</v>
      </c>
      <c r="CO30" s="228">
        <v>526</v>
      </c>
      <c r="CP30" s="228">
        <v>497</v>
      </c>
      <c r="CQ30" s="228">
        <v>29</v>
      </c>
      <c r="CR30" s="229">
        <v>5.8099999999999999E-2</v>
      </c>
      <c r="CS30" s="228">
        <v>443</v>
      </c>
      <c r="CT30" s="228">
        <v>403</v>
      </c>
      <c r="CU30" s="228">
        <v>40</v>
      </c>
      <c r="CV30" s="229">
        <v>9.9900000000000003E-2</v>
      </c>
      <c r="CW30" s="230">
        <v>1569</v>
      </c>
      <c r="CX30" s="230">
        <v>1508</v>
      </c>
      <c r="CY30" s="228">
        <v>61</v>
      </c>
      <c r="CZ30" s="229">
        <v>4.07E-2</v>
      </c>
      <c r="DA30" s="228">
        <v>41.59</v>
      </c>
      <c r="DB30" s="228">
        <v>42.23</v>
      </c>
      <c r="DC30" s="228">
        <v>-0.64</v>
      </c>
      <c r="DD30" s="228">
        <v>-0.64</v>
      </c>
      <c r="DE30" s="228">
        <v>53.15</v>
      </c>
      <c r="DF30" s="228">
        <v>53.14</v>
      </c>
      <c r="DG30" s="228">
        <v>-11.56</v>
      </c>
      <c r="DH30" s="228">
        <v>0.01</v>
      </c>
      <c r="DI30" s="228">
        <v>41.94</v>
      </c>
      <c r="DJ30" s="228">
        <v>37.090000000000003</v>
      </c>
      <c r="DK30" s="228">
        <v>4.8499999999999996</v>
      </c>
      <c r="DL30" s="228">
        <v>4.8499999999999996</v>
      </c>
      <c r="DM30" s="228">
        <v>40.86</v>
      </c>
      <c r="DN30" s="228">
        <v>49.15</v>
      </c>
      <c r="DO30" s="228">
        <v>-8.2899999999999991</v>
      </c>
      <c r="DP30" s="228">
        <v>-8.2899999999999991</v>
      </c>
      <c r="DQ30" s="228">
        <v>0.84</v>
      </c>
      <c r="DR30" s="228">
        <v>0.81</v>
      </c>
      <c r="DS30" s="228">
        <v>0.03</v>
      </c>
      <c r="DT30" s="229">
        <v>3.6999999999999998E-2</v>
      </c>
      <c r="DU30" s="231">
        <v>1400</v>
      </c>
      <c r="DV30" s="231">
        <v>1400</v>
      </c>
      <c r="DW30" s="228">
        <v>0.35</v>
      </c>
      <c r="DX30" s="228">
        <v>0.74</v>
      </c>
      <c r="DY30" s="228">
        <v>-0.39</v>
      </c>
      <c r="DZ30" s="229">
        <v>-0.52700000000000002</v>
      </c>
      <c r="EA30" s="229">
        <v>0.46850000000000003</v>
      </c>
      <c r="EB30" s="230">
        <v>1231650</v>
      </c>
      <c r="EC30" s="229">
        <v>-9.1000000000000004E-3</v>
      </c>
      <c r="ED30" s="229">
        <v>0.46850000000000003</v>
      </c>
      <c r="EE30" s="228">
        <v>-8.56</v>
      </c>
      <c r="EF30" s="229">
        <v>-6.1000000000000004E-3</v>
      </c>
      <c r="EG30" s="230">
        <v>726166</v>
      </c>
      <c r="EH30" s="230">
        <v>232757</v>
      </c>
      <c r="EI30" s="229">
        <v>2.1198000000000001</v>
      </c>
      <c r="EJ30" s="229">
        <v>0.28389999999999999</v>
      </c>
      <c r="EK30" s="231">
        <v>1487.48</v>
      </c>
      <c r="EL30" s="228">
        <v>477.09</v>
      </c>
      <c r="EM30" s="228">
        <v>575.66</v>
      </c>
      <c r="EN30" s="228">
        <v>35.68</v>
      </c>
      <c r="EO30" s="231">
        <v>2540.23</v>
      </c>
      <c r="EP30" s="228">
        <v>858.47</v>
      </c>
      <c r="EQ30" s="231">
        <v>1681.76</v>
      </c>
      <c r="ER30" s="229">
        <v>1.9590000000000001</v>
      </c>
      <c r="ES30" s="228">
        <v>513.12</v>
      </c>
      <c r="ET30" s="228">
        <v>395.69</v>
      </c>
      <c r="EU30" s="228">
        <v>597.25</v>
      </c>
      <c r="EV30" s="231">
        <v>13786716</v>
      </c>
      <c r="EW30" s="231">
        <v>1506.06</v>
      </c>
      <c r="EX30" s="231">
        <v>1421.4</v>
      </c>
      <c r="EY30" s="228">
        <v>84.66</v>
      </c>
      <c r="EZ30" s="229">
        <v>5.96E-2</v>
      </c>
      <c r="FA30" s="229">
        <v>0.79910000000000003</v>
      </c>
      <c r="FB30" s="227" t="s">
        <v>693</v>
      </c>
      <c r="FC30">
        <f t="shared" si="0"/>
        <v>281</v>
      </c>
    </row>
    <row r="31" spans="1:159" ht="17.25" thickBot="1" x14ac:dyDescent="0.3">
      <c r="A31" s="226">
        <v>46135</v>
      </c>
      <c r="B31" s="227" t="s">
        <v>184</v>
      </c>
      <c r="C31" s="227" t="s">
        <v>185</v>
      </c>
      <c r="D31" s="228">
        <v>1425</v>
      </c>
      <c r="E31" s="228">
        <v>5</v>
      </c>
      <c r="F31" s="228">
        <v>450.3</v>
      </c>
      <c r="G31" s="228">
        <v>449.45</v>
      </c>
      <c r="H31" s="228">
        <v>0.85</v>
      </c>
      <c r="I31" s="229">
        <v>1.9E-3</v>
      </c>
      <c r="J31" s="228">
        <v>449.95</v>
      </c>
      <c r="K31" s="228">
        <v>448.7</v>
      </c>
      <c r="L31" s="228">
        <v>1.25</v>
      </c>
      <c r="M31" s="229">
        <v>2.8E-3</v>
      </c>
      <c r="N31" s="228">
        <v>450.3</v>
      </c>
      <c r="O31" s="228">
        <v>449.45</v>
      </c>
      <c r="P31" s="228">
        <v>0.85</v>
      </c>
      <c r="Q31" s="229">
        <v>1.9E-3</v>
      </c>
      <c r="R31" s="228">
        <v>452.8</v>
      </c>
      <c r="S31" s="228">
        <v>451.8</v>
      </c>
      <c r="T31" s="228">
        <v>1</v>
      </c>
      <c r="U31" s="229">
        <v>2.2000000000000001E-3</v>
      </c>
      <c r="V31" s="228">
        <v>455.7</v>
      </c>
      <c r="W31" s="228">
        <v>454.7</v>
      </c>
      <c r="X31" s="228">
        <v>1</v>
      </c>
      <c r="Y31" s="229">
        <v>2.2000000000000001E-3</v>
      </c>
      <c r="Z31" s="228">
        <v>0.35</v>
      </c>
      <c r="AA31" s="228">
        <v>0.75</v>
      </c>
      <c r="AB31" s="228">
        <v>-0.4</v>
      </c>
      <c r="AC31" s="229">
        <v>8.0000000000000004E-4</v>
      </c>
      <c r="AD31" s="228">
        <v>0.35</v>
      </c>
      <c r="AE31" s="228">
        <v>0.75</v>
      </c>
      <c r="AF31" s="228">
        <v>-0.4</v>
      </c>
      <c r="AG31" s="229">
        <v>8.0000000000000004E-4</v>
      </c>
      <c r="AH31" s="228">
        <v>2.85</v>
      </c>
      <c r="AI31" s="228">
        <v>3.1</v>
      </c>
      <c r="AJ31" s="228">
        <v>-0.25</v>
      </c>
      <c r="AK31" s="229">
        <v>6.3E-3</v>
      </c>
      <c r="AL31" s="228">
        <v>5.75</v>
      </c>
      <c r="AM31" s="228">
        <v>6</v>
      </c>
      <c r="AN31" s="228">
        <v>-0.25</v>
      </c>
      <c r="AO31" s="229">
        <v>1.2800000000000001E-2</v>
      </c>
      <c r="AP31" s="228">
        <v>448.41</v>
      </c>
      <c r="AQ31" s="228">
        <v>450.93</v>
      </c>
      <c r="AR31" s="228">
        <v>0</v>
      </c>
      <c r="AS31" s="230">
        <v>2047</v>
      </c>
      <c r="AT31" s="228">
        <v>988</v>
      </c>
      <c r="AU31" s="230">
        <v>1059</v>
      </c>
      <c r="AV31" s="229">
        <v>1.0722</v>
      </c>
      <c r="AW31" s="230">
        <v>1023</v>
      </c>
      <c r="AX31" s="228">
        <v>599</v>
      </c>
      <c r="AY31" s="228">
        <v>424</v>
      </c>
      <c r="AZ31" s="229">
        <v>0.70679999999999998</v>
      </c>
      <c r="BA31" s="228">
        <v>948</v>
      </c>
      <c r="BB31" s="228">
        <v>280</v>
      </c>
      <c r="BC31" s="228">
        <v>668</v>
      </c>
      <c r="BD31" s="229">
        <v>2.3872</v>
      </c>
      <c r="BE31" s="228">
        <v>76</v>
      </c>
      <c r="BF31" s="228">
        <v>109</v>
      </c>
      <c r="BG31" s="228">
        <v>-33</v>
      </c>
      <c r="BH31" s="229">
        <v>-0.30220000000000002</v>
      </c>
      <c r="BI31" s="230">
        <v>3614</v>
      </c>
      <c r="BJ31" s="230">
        <v>3070</v>
      </c>
      <c r="BK31" s="228">
        <v>545</v>
      </c>
      <c r="BL31" s="229">
        <v>0.17749999999999999</v>
      </c>
      <c r="BM31" s="230">
        <v>1675</v>
      </c>
      <c r="BN31" s="230">
        <v>1387</v>
      </c>
      <c r="BO31" s="228">
        <v>287</v>
      </c>
      <c r="BP31" s="229">
        <v>0.2069</v>
      </c>
      <c r="BQ31" s="230">
        <v>7335</v>
      </c>
      <c r="BR31" s="230">
        <v>5445</v>
      </c>
      <c r="BS31" s="230">
        <v>1891</v>
      </c>
      <c r="BT31" s="229">
        <v>0.3473</v>
      </c>
      <c r="BU31" s="230">
        <v>15779855</v>
      </c>
      <c r="BV31" s="230">
        <v>12235810</v>
      </c>
      <c r="BW31" s="230">
        <v>3544045</v>
      </c>
      <c r="BX31" s="229">
        <v>0.28960000000000002</v>
      </c>
      <c r="BY31" s="230">
        <v>4831</v>
      </c>
      <c r="BZ31" s="230">
        <v>4828</v>
      </c>
      <c r="CA31" s="228">
        <v>4</v>
      </c>
      <c r="CB31" s="229">
        <v>8.0000000000000004E-4</v>
      </c>
      <c r="CC31" s="230">
        <v>2798</v>
      </c>
      <c r="CD31" s="230">
        <v>3543</v>
      </c>
      <c r="CE31" s="228">
        <v>-745</v>
      </c>
      <c r="CF31" s="229">
        <v>-0.2104</v>
      </c>
      <c r="CG31" s="230">
        <v>1604</v>
      </c>
      <c r="CH31" s="228">
        <v>919</v>
      </c>
      <c r="CI31" s="228">
        <v>685</v>
      </c>
      <c r="CJ31" s="229">
        <v>0.74519999999999997</v>
      </c>
      <c r="CK31" s="228">
        <v>429</v>
      </c>
      <c r="CL31" s="228">
        <v>365</v>
      </c>
      <c r="CM31" s="228">
        <v>64</v>
      </c>
      <c r="CN31" s="229">
        <v>0.1757</v>
      </c>
      <c r="CO31" s="230">
        <v>2166</v>
      </c>
      <c r="CP31" s="230">
        <v>2135</v>
      </c>
      <c r="CQ31" s="228">
        <v>31</v>
      </c>
      <c r="CR31" s="229">
        <v>1.4500000000000001E-2</v>
      </c>
      <c r="CS31" s="230">
        <v>1472</v>
      </c>
      <c r="CT31" s="230">
        <v>1489</v>
      </c>
      <c r="CU31" s="228">
        <v>-17</v>
      </c>
      <c r="CV31" s="229">
        <v>-1.12E-2</v>
      </c>
      <c r="CW31" s="230">
        <v>8469</v>
      </c>
      <c r="CX31" s="230">
        <v>8451</v>
      </c>
      <c r="CY31" s="228">
        <v>18</v>
      </c>
      <c r="CZ31" s="229">
        <v>2.0999999999999999E-3</v>
      </c>
      <c r="DA31" s="228">
        <v>31.92</v>
      </c>
      <c r="DB31" s="228">
        <v>32.369999999999997</v>
      </c>
      <c r="DC31" s="228">
        <v>-0.45</v>
      </c>
      <c r="DD31" s="228">
        <v>-0.45</v>
      </c>
      <c r="DE31" s="228">
        <v>36.979999999999997</v>
      </c>
      <c r="DF31" s="228">
        <v>37.07</v>
      </c>
      <c r="DG31" s="228">
        <v>-5.0599999999999996</v>
      </c>
      <c r="DH31" s="228">
        <v>-0.09</v>
      </c>
      <c r="DI31" s="228">
        <v>31.93</v>
      </c>
      <c r="DJ31" s="228">
        <v>32.119999999999997</v>
      </c>
      <c r="DK31" s="228">
        <v>-0.19</v>
      </c>
      <c r="DL31" s="228">
        <v>-0.19</v>
      </c>
      <c r="DM31" s="228">
        <v>31.9</v>
      </c>
      <c r="DN31" s="228">
        <v>32.909999999999997</v>
      </c>
      <c r="DO31" s="228">
        <v>-1.01</v>
      </c>
      <c r="DP31" s="228">
        <v>-1.01</v>
      </c>
      <c r="DQ31" s="228">
        <v>0.68</v>
      </c>
      <c r="DR31" s="228">
        <v>0.7</v>
      </c>
      <c r="DS31" s="228">
        <v>-0.02</v>
      </c>
      <c r="DT31" s="229">
        <v>-2.86E-2</v>
      </c>
      <c r="DU31" s="228">
        <v>460</v>
      </c>
      <c r="DV31" s="228">
        <v>450</v>
      </c>
      <c r="DW31" s="228">
        <v>0.46</v>
      </c>
      <c r="DX31" s="228">
        <v>0.45</v>
      </c>
      <c r="DY31" s="228">
        <v>0.01</v>
      </c>
      <c r="DZ31" s="229">
        <v>2.2200000000000001E-2</v>
      </c>
      <c r="EA31" s="229">
        <v>0.4209</v>
      </c>
      <c r="EB31" s="230">
        <v>28519950</v>
      </c>
      <c r="EC31" s="229">
        <v>5.5999999999999999E-3</v>
      </c>
      <c r="ED31" s="229">
        <v>0.4209</v>
      </c>
      <c r="EE31" s="228">
        <v>2.52</v>
      </c>
      <c r="EF31" s="229">
        <v>5.5999999999999999E-3</v>
      </c>
      <c r="EG31" s="230">
        <v>5716950</v>
      </c>
      <c r="EH31" s="230">
        <v>5638669</v>
      </c>
      <c r="EI31" s="229">
        <v>1.3899999999999999E-2</v>
      </c>
      <c r="EJ31" s="229">
        <v>0.36230000000000001</v>
      </c>
      <c r="EK31" s="231">
        <v>3754.35</v>
      </c>
      <c r="EL31" s="231">
        <v>1639.33</v>
      </c>
      <c r="EM31" s="231">
        <v>2043.91</v>
      </c>
      <c r="EN31" s="228">
        <v>115.04</v>
      </c>
      <c r="EO31" s="231">
        <v>7437.59</v>
      </c>
      <c r="EP31" s="231">
        <v>5553.24</v>
      </c>
      <c r="EQ31" s="231">
        <v>1884.35</v>
      </c>
      <c r="ER31" s="229">
        <v>0.33929999999999999</v>
      </c>
      <c r="ES31" s="231">
        <v>2220.2199999999998</v>
      </c>
      <c r="ET31" s="231">
        <v>1399.26</v>
      </c>
      <c r="EU31" s="231">
        <v>4845.4399999999996</v>
      </c>
      <c r="EV31" s="231">
        <v>535778534</v>
      </c>
      <c r="EW31" s="231">
        <v>8464.91</v>
      </c>
      <c r="EX31" s="231">
        <v>8430.61</v>
      </c>
      <c r="EY31" s="228">
        <v>34.299999999999997</v>
      </c>
      <c r="EZ31" s="229">
        <v>4.1000000000000003E-3</v>
      </c>
      <c r="FA31" s="229">
        <v>0.35099999999999998</v>
      </c>
      <c r="FB31" s="227" t="s">
        <v>555</v>
      </c>
      <c r="FC31">
        <f t="shared" si="0"/>
        <v>2033</v>
      </c>
    </row>
    <row r="32" spans="1:159" ht="17.25" thickBot="1" x14ac:dyDescent="0.3">
      <c r="A32" s="226">
        <v>46135</v>
      </c>
      <c r="B32" s="227" t="s">
        <v>162</v>
      </c>
      <c r="C32" s="227" t="s">
        <v>187</v>
      </c>
      <c r="D32" s="228">
        <v>500</v>
      </c>
      <c r="E32" s="228">
        <v>5</v>
      </c>
      <c r="F32" s="231">
        <v>1860.7</v>
      </c>
      <c r="G32" s="231">
        <v>1896.6</v>
      </c>
      <c r="H32" s="228">
        <v>-35.9</v>
      </c>
      <c r="I32" s="229">
        <v>-1.89E-2</v>
      </c>
      <c r="J32" s="231">
        <v>1874.1</v>
      </c>
      <c r="K32" s="231">
        <v>1903.2</v>
      </c>
      <c r="L32" s="228">
        <v>-29.1</v>
      </c>
      <c r="M32" s="229">
        <v>-1.5299999999999999E-2</v>
      </c>
      <c r="N32" s="231">
        <v>1860.7</v>
      </c>
      <c r="O32" s="231">
        <v>1896.6</v>
      </c>
      <c r="P32" s="228">
        <v>-35.9</v>
      </c>
      <c r="Q32" s="229">
        <v>-1.89E-2</v>
      </c>
      <c r="R32" s="231">
        <v>1854.4</v>
      </c>
      <c r="S32" s="231">
        <v>1892.4</v>
      </c>
      <c r="T32" s="228">
        <v>-38</v>
      </c>
      <c r="U32" s="229">
        <v>-2.01E-2</v>
      </c>
      <c r="V32" s="231">
        <v>1848.7</v>
      </c>
      <c r="W32" s="231">
        <v>1895.2</v>
      </c>
      <c r="X32" s="228">
        <v>-46.5</v>
      </c>
      <c r="Y32" s="229">
        <v>-2.4500000000000001E-2</v>
      </c>
      <c r="Z32" s="228">
        <v>-13.4</v>
      </c>
      <c r="AA32" s="228">
        <v>-6.6</v>
      </c>
      <c r="AB32" s="228">
        <v>-6.8</v>
      </c>
      <c r="AC32" s="229">
        <v>-7.1999999999999998E-3</v>
      </c>
      <c r="AD32" s="228">
        <v>-13.4</v>
      </c>
      <c r="AE32" s="228">
        <v>-6.6</v>
      </c>
      <c r="AF32" s="228">
        <v>-6.8</v>
      </c>
      <c r="AG32" s="229">
        <v>-7.1999999999999998E-3</v>
      </c>
      <c r="AH32" s="228">
        <v>-19.7</v>
      </c>
      <c r="AI32" s="228">
        <v>-10.8</v>
      </c>
      <c r="AJ32" s="228">
        <v>-8.9</v>
      </c>
      <c r="AK32" s="229">
        <v>-1.0500000000000001E-2</v>
      </c>
      <c r="AL32" s="228">
        <v>-25.4</v>
      </c>
      <c r="AM32" s="228">
        <v>-8</v>
      </c>
      <c r="AN32" s="228">
        <v>-17.399999999999999</v>
      </c>
      <c r="AO32" s="229">
        <v>-1.3599999999999999E-2</v>
      </c>
      <c r="AP32" s="231">
        <v>1859.74</v>
      </c>
      <c r="AQ32" s="231">
        <v>1854.22</v>
      </c>
      <c r="AR32" s="228">
        <v>0</v>
      </c>
      <c r="AS32" s="230">
        <v>1301</v>
      </c>
      <c r="AT32" s="228">
        <v>407</v>
      </c>
      <c r="AU32" s="228">
        <v>895</v>
      </c>
      <c r="AV32" s="229">
        <v>2.2000000000000002</v>
      </c>
      <c r="AW32" s="228">
        <v>700</v>
      </c>
      <c r="AX32" s="228">
        <v>269</v>
      </c>
      <c r="AY32" s="228">
        <v>431</v>
      </c>
      <c r="AZ32" s="229">
        <v>1.6021000000000001</v>
      </c>
      <c r="BA32" s="228">
        <v>597</v>
      </c>
      <c r="BB32" s="228">
        <v>135</v>
      </c>
      <c r="BC32" s="228">
        <v>461</v>
      </c>
      <c r="BD32" s="229">
        <v>3.4159999999999999</v>
      </c>
      <c r="BE32" s="228">
        <v>5</v>
      </c>
      <c r="BF32" s="228">
        <v>3</v>
      </c>
      <c r="BG32" s="228">
        <v>2</v>
      </c>
      <c r="BH32" s="229">
        <v>0.89659999999999995</v>
      </c>
      <c r="BI32" s="230">
        <v>1152</v>
      </c>
      <c r="BJ32" s="230">
        <v>1059</v>
      </c>
      <c r="BK32" s="228">
        <v>93</v>
      </c>
      <c r="BL32" s="229">
        <v>8.7800000000000003E-2</v>
      </c>
      <c r="BM32" s="228">
        <v>794</v>
      </c>
      <c r="BN32" s="228">
        <v>448</v>
      </c>
      <c r="BO32" s="228">
        <v>346</v>
      </c>
      <c r="BP32" s="229">
        <v>0.77290000000000003</v>
      </c>
      <c r="BQ32" s="230">
        <v>3247</v>
      </c>
      <c r="BR32" s="230">
        <v>1914</v>
      </c>
      <c r="BS32" s="230">
        <v>1334</v>
      </c>
      <c r="BT32" s="229">
        <v>0.69699999999999995</v>
      </c>
      <c r="BU32" s="230">
        <v>1452044</v>
      </c>
      <c r="BV32" s="230">
        <v>1076030</v>
      </c>
      <c r="BW32" s="230">
        <v>376014</v>
      </c>
      <c r="BX32" s="229">
        <v>0.34939999999999999</v>
      </c>
      <c r="BY32" s="230">
        <v>1789</v>
      </c>
      <c r="BZ32" s="230">
        <v>1635</v>
      </c>
      <c r="CA32" s="228">
        <v>155</v>
      </c>
      <c r="CB32" s="229">
        <v>9.4600000000000004E-2</v>
      </c>
      <c r="CC32" s="230">
        <v>1199</v>
      </c>
      <c r="CD32" s="230">
        <v>1435</v>
      </c>
      <c r="CE32" s="228">
        <v>-236</v>
      </c>
      <c r="CF32" s="229">
        <v>-0.1643</v>
      </c>
      <c r="CG32" s="228">
        <v>582</v>
      </c>
      <c r="CH32" s="228">
        <v>194</v>
      </c>
      <c r="CI32" s="228">
        <v>388</v>
      </c>
      <c r="CJ32" s="229">
        <v>2.0013999999999998</v>
      </c>
      <c r="CK32" s="228">
        <v>8</v>
      </c>
      <c r="CL32" s="228">
        <v>6</v>
      </c>
      <c r="CM32" s="228">
        <v>2</v>
      </c>
      <c r="CN32" s="229">
        <v>0.40629999999999999</v>
      </c>
      <c r="CO32" s="228">
        <v>717</v>
      </c>
      <c r="CP32" s="228">
        <v>683</v>
      </c>
      <c r="CQ32" s="228">
        <v>34</v>
      </c>
      <c r="CR32" s="229">
        <v>5.0299999999999997E-2</v>
      </c>
      <c r="CS32" s="228">
        <v>487</v>
      </c>
      <c r="CT32" s="228">
        <v>459</v>
      </c>
      <c r="CU32" s="228">
        <v>29</v>
      </c>
      <c r="CV32" s="229">
        <v>6.2700000000000006E-2</v>
      </c>
      <c r="CW32" s="230">
        <v>2993</v>
      </c>
      <c r="CX32" s="230">
        <v>2776</v>
      </c>
      <c r="CY32" s="228">
        <v>218</v>
      </c>
      <c r="CZ32" s="229">
        <v>7.85E-2</v>
      </c>
      <c r="DA32" s="228">
        <v>34.79</v>
      </c>
      <c r="DB32" s="228">
        <v>30.95</v>
      </c>
      <c r="DC32" s="228">
        <v>3.84</v>
      </c>
      <c r="DD32" s="228">
        <v>3.84</v>
      </c>
      <c r="DE32" s="228">
        <v>39.6</v>
      </c>
      <c r="DF32" s="228">
        <v>39.619999999999997</v>
      </c>
      <c r="DG32" s="228">
        <v>-4.8099999999999996</v>
      </c>
      <c r="DH32" s="228">
        <v>-0.02</v>
      </c>
      <c r="DI32" s="228">
        <v>34.61</v>
      </c>
      <c r="DJ32" s="228">
        <v>30.06</v>
      </c>
      <c r="DK32" s="228">
        <v>4.55</v>
      </c>
      <c r="DL32" s="228">
        <v>4.55</v>
      </c>
      <c r="DM32" s="228">
        <v>35.08</v>
      </c>
      <c r="DN32" s="228">
        <v>33.06</v>
      </c>
      <c r="DO32" s="228">
        <v>2.02</v>
      </c>
      <c r="DP32" s="228">
        <v>2.02</v>
      </c>
      <c r="DQ32" s="228">
        <v>0.68</v>
      </c>
      <c r="DR32" s="228">
        <v>0.67</v>
      </c>
      <c r="DS32" s="228">
        <v>0.01</v>
      </c>
      <c r="DT32" s="229">
        <v>1.49E-2</v>
      </c>
      <c r="DU32" s="231">
        <v>1800</v>
      </c>
      <c r="DV32" s="231">
        <v>1800</v>
      </c>
      <c r="DW32" s="228">
        <v>0.69</v>
      </c>
      <c r="DX32" s="228">
        <v>0.42</v>
      </c>
      <c r="DY32" s="228">
        <v>0.27</v>
      </c>
      <c r="DZ32" s="229">
        <v>0.64290000000000003</v>
      </c>
      <c r="EA32" s="229">
        <v>0.32990000000000003</v>
      </c>
      <c r="EB32" s="230">
        <v>1074000</v>
      </c>
      <c r="EC32" s="229">
        <v>-3.3999999999999998E-3</v>
      </c>
      <c r="ED32" s="229">
        <v>0.32990000000000003</v>
      </c>
      <c r="EE32" s="228">
        <v>-5.52</v>
      </c>
      <c r="EF32" s="229">
        <v>-3.0000000000000001E-3</v>
      </c>
      <c r="EG32" s="230">
        <v>684920</v>
      </c>
      <c r="EH32" s="230">
        <v>549661</v>
      </c>
      <c r="EI32" s="229">
        <v>0.24610000000000001</v>
      </c>
      <c r="EJ32" s="229">
        <v>0.47170000000000001</v>
      </c>
      <c r="EK32" s="231">
        <v>1192.69</v>
      </c>
      <c r="EL32" s="228">
        <v>789.75</v>
      </c>
      <c r="EM32" s="231">
        <v>1298.83</v>
      </c>
      <c r="EN32" s="228">
        <v>33.44</v>
      </c>
      <c r="EO32" s="231">
        <v>3281.27</v>
      </c>
      <c r="EP32" s="231">
        <v>1981.87</v>
      </c>
      <c r="EQ32" s="231">
        <v>1299.4000000000001</v>
      </c>
      <c r="ER32" s="229">
        <v>0.65559999999999996</v>
      </c>
      <c r="ES32" s="228">
        <v>724.03</v>
      </c>
      <c r="ET32" s="228">
        <v>458.46</v>
      </c>
      <c r="EU32" s="231">
        <v>1787.32</v>
      </c>
      <c r="EV32" s="231">
        <v>40107751</v>
      </c>
      <c r="EW32" s="231">
        <v>2969.8</v>
      </c>
      <c r="EX32" s="231">
        <v>2785.28</v>
      </c>
      <c r="EY32" s="228">
        <v>184.52</v>
      </c>
      <c r="EZ32" s="229">
        <v>6.6199999999999995E-2</v>
      </c>
      <c r="FA32" s="229">
        <v>0.40110000000000001</v>
      </c>
      <c r="FB32" s="227" t="s">
        <v>566</v>
      </c>
      <c r="FC32">
        <f t="shared" si="0"/>
        <v>590</v>
      </c>
    </row>
    <row r="33" spans="1:159" ht="17.25" thickBot="1" x14ac:dyDescent="0.3">
      <c r="A33" s="226">
        <v>46135</v>
      </c>
      <c r="B33" s="227" t="s">
        <v>188</v>
      </c>
      <c r="C33" s="227" t="s">
        <v>189</v>
      </c>
      <c r="D33" s="228">
        <v>475</v>
      </c>
      <c r="E33" s="228">
        <v>5</v>
      </c>
      <c r="F33" s="231">
        <v>1838.5</v>
      </c>
      <c r="G33" s="231">
        <v>1831.5</v>
      </c>
      <c r="H33" s="228">
        <v>7</v>
      </c>
      <c r="I33" s="229">
        <v>3.8E-3</v>
      </c>
      <c r="J33" s="231">
        <v>1841.2</v>
      </c>
      <c r="K33" s="231">
        <v>1829</v>
      </c>
      <c r="L33" s="228">
        <v>12.2</v>
      </c>
      <c r="M33" s="229">
        <v>6.7000000000000002E-3</v>
      </c>
      <c r="N33" s="231">
        <v>1838.5</v>
      </c>
      <c r="O33" s="231">
        <v>1831.5</v>
      </c>
      <c r="P33" s="228">
        <v>7</v>
      </c>
      <c r="Q33" s="229">
        <v>3.8E-3</v>
      </c>
      <c r="R33" s="231">
        <v>1848.3</v>
      </c>
      <c r="S33" s="231">
        <v>1841.5</v>
      </c>
      <c r="T33" s="228">
        <v>6.8</v>
      </c>
      <c r="U33" s="229">
        <v>3.7000000000000002E-3</v>
      </c>
      <c r="V33" s="231">
        <v>1860</v>
      </c>
      <c r="W33" s="231">
        <v>1852.8</v>
      </c>
      <c r="X33" s="228">
        <v>7.2</v>
      </c>
      <c r="Y33" s="229">
        <v>3.8999999999999998E-3</v>
      </c>
      <c r="Z33" s="228">
        <v>-2.7</v>
      </c>
      <c r="AA33" s="228">
        <v>2.5</v>
      </c>
      <c r="AB33" s="228">
        <v>-5.2</v>
      </c>
      <c r="AC33" s="229">
        <v>-1.5E-3</v>
      </c>
      <c r="AD33" s="228">
        <v>-2.7</v>
      </c>
      <c r="AE33" s="228">
        <v>2.5</v>
      </c>
      <c r="AF33" s="228">
        <v>-5.2</v>
      </c>
      <c r="AG33" s="229">
        <v>-1.5E-3</v>
      </c>
      <c r="AH33" s="228">
        <v>7.1</v>
      </c>
      <c r="AI33" s="228">
        <v>12.5</v>
      </c>
      <c r="AJ33" s="228">
        <v>-5.4</v>
      </c>
      <c r="AK33" s="229">
        <v>3.8999999999999998E-3</v>
      </c>
      <c r="AL33" s="228">
        <v>18.8</v>
      </c>
      <c r="AM33" s="228">
        <v>23.8</v>
      </c>
      <c r="AN33" s="228">
        <v>-5</v>
      </c>
      <c r="AO33" s="229">
        <v>1.0200000000000001E-2</v>
      </c>
      <c r="AP33" s="231">
        <v>1834.36</v>
      </c>
      <c r="AQ33" s="231">
        <v>1844.22</v>
      </c>
      <c r="AR33" s="228">
        <v>0</v>
      </c>
      <c r="AS33" s="230">
        <v>3941</v>
      </c>
      <c r="AT33" s="230">
        <v>1529</v>
      </c>
      <c r="AU33" s="230">
        <v>2412</v>
      </c>
      <c r="AV33" s="229">
        <v>1.5780000000000001</v>
      </c>
      <c r="AW33" s="230">
        <v>1967</v>
      </c>
      <c r="AX33" s="228">
        <v>747</v>
      </c>
      <c r="AY33" s="230">
        <v>1220</v>
      </c>
      <c r="AZ33" s="229">
        <v>1.6332</v>
      </c>
      <c r="BA33" s="230">
        <v>1805</v>
      </c>
      <c r="BB33" s="228">
        <v>630</v>
      </c>
      <c r="BC33" s="230">
        <v>1175</v>
      </c>
      <c r="BD33" s="229">
        <v>1.865</v>
      </c>
      <c r="BE33" s="228">
        <v>168</v>
      </c>
      <c r="BF33" s="228">
        <v>151</v>
      </c>
      <c r="BG33" s="228">
        <v>17</v>
      </c>
      <c r="BH33" s="229">
        <v>0.1108</v>
      </c>
      <c r="BI33" s="230">
        <v>4457</v>
      </c>
      <c r="BJ33" s="230">
        <v>3579</v>
      </c>
      <c r="BK33" s="228">
        <v>878</v>
      </c>
      <c r="BL33" s="229">
        <v>0.2452</v>
      </c>
      <c r="BM33" s="230">
        <v>1575</v>
      </c>
      <c r="BN33" s="230">
        <v>1997</v>
      </c>
      <c r="BO33" s="228">
        <v>-422</v>
      </c>
      <c r="BP33" s="229">
        <v>-0.2114</v>
      </c>
      <c r="BQ33" s="230">
        <v>9972</v>
      </c>
      <c r="BR33" s="230">
        <v>7105</v>
      </c>
      <c r="BS33" s="230">
        <v>2868</v>
      </c>
      <c r="BT33" s="229">
        <v>0.40360000000000001</v>
      </c>
      <c r="BU33" s="230">
        <v>8108202</v>
      </c>
      <c r="BV33" s="230">
        <v>5748708</v>
      </c>
      <c r="BW33" s="230">
        <v>2359494</v>
      </c>
      <c r="BX33" s="229">
        <v>0.41039999999999999</v>
      </c>
      <c r="BY33" s="230">
        <v>11311</v>
      </c>
      <c r="BZ33" s="230">
        <v>11333</v>
      </c>
      <c r="CA33" s="228">
        <v>-22</v>
      </c>
      <c r="CB33" s="229">
        <v>-1.9E-3</v>
      </c>
      <c r="CC33" s="230">
        <v>5546</v>
      </c>
      <c r="CD33" s="230">
        <v>7251</v>
      </c>
      <c r="CE33" s="230">
        <v>-1705</v>
      </c>
      <c r="CF33" s="229">
        <v>-0.2351</v>
      </c>
      <c r="CG33" s="230">
        <v>4281</v>
      </c>
      <c r="CH33" s="230">
        <v>2754</v>
      </c>
      <c r="CI33" s="230">
        <v>1527</v>
      </c>
      <c r="CJ33" s="229">
        <v>0.5544</v>
      </c>
      <c r="CK33" s="230">
        <v>1485</v>
      </c>
      <c r="CL33" s="230">
        <v>1329</v>
      </c>
      <c r="CM33" s="228">
        <v>156</v>
      </c>
      <c r="CN33" s="229">
        <v>0.1174</v>
      </c>
      <c r="CO33" s="230">
        <v>2549</v>
      </c>
      <c r="CP33" s="230">
        <v>2615</v>
      </c>
      <c r="CQ33" s="228">
        <v>-66</v>
      </c>
      <c r="CR33" s="229">
        <v>-2.53E-2</v>
      </c>
      <c r="CS33" s="230">
        <v>1633</v>
      </c>
      <c r="CT33" s="230">
        <v>1675</v>
      </c>
      <c r="CU33" s="228">
        <v>-42</v>
      </c>
      <c r="CV33" s="229">
        <v>-2.52E-2</v>
      </c>
      <c r="CW33" s="230">
        <v>15493</v>
      </c>
      <c r="CX33" s="230">
        <v>15623</v>
      </c>
      <c r="CY33" s="228">
        <v>-130</v>
      </c>
      <c r="CZ33" s="229">
        <v>-8.3000000000000001E-3</v>
      </c>
      <c r="DA33" s="228">
        <v>23.94</v>
      </c>
      <c r="DB33" s="228">
        <v>22.95</v>
      </c>
      <c r="DC33" s="228">
        <v>0.99</v>
      </c>
      <c r="DD33" s="228">
        <v>0.99</v>
      </c>
      <c r="DE33" s="228">
        <v>24.07</v>
      </c>
      <c r="DF33" s="228">
        <v>24.11</v>
      </c>
      <c r="DG33" s="228">
        <v>-0.13</v>
      </c>
      <c r="DH33" s="228">
        <v>-0.04</v>
      </c>
      <c r="DI33" s="228">
        <v>23.98</v>
      </c>
      <c r="DJ33" s="228">
        <v>23.36</v>
      </c>
      <c r="DK33" s="228">
        <v>0.62</v>
      </c>
      <c r="DL33" s="228">
        <v>0.62</v>
      </c>
      <c r="DM33" s="228">
        <v>23.78</v>
      </c>
      <c r="DN33" s="228">
        <v>22.22</v>
      </c>
      <c r="DO33" s="228">
        <v>1.56</v>
      </c>
      <c r="DP33" s="228">
        <v>1.56</v>
      </c>
      <c r="DQ33" s="228">
        <v>0.64</v>
      </c>
      <c r="DR33" s="228">
        <v>0.64</v>
      </c>
      <c r="DS33" s="228">
        <v>0</v>
      </c>
      <c r="DT33" s="229">
        <v>0</v>
      </c>
      <c r="DU33" s="231">
        <v>1900</v>
      </c>
      <c r="DV33" s="231">
        <v>1800</v>
      </c>
      <c r="DW33" s="228">
        <v>0.35</v>
      </c>
      <c r="DX33" s="228">
        <v>0.56000000000000005</v>
      </c>
      <c r="DY33" s="228">
        <v>-0.21</v>
      </c>
      <c r="DZ33" s="229">
        <v>-0.375</v>
      </c>
      <c r="EA33" s="229">
        <v>0.50970000000000004</v>
      </c>
      <c r="EB33" s="230">
        <v>22205775</v>
      </c>
      <c r="EC33" s="229">
        <v>5.3E-3</v>
      </c>
      <c r="ED33" s="229">
        <v>0.50970000000000004</v>
      </c>
      <c r="EE33" s="228">
        <v>9.86</v>
      </c>
      <c r="EF33" s="229">
        <v>5.4000000000000003E-3</v>
      </c>
      <c r="EG33" s="230">
        <v>4418181</v>
      </c>
      <c r="EH33" s="230">
        <v>4397325</v>
      </c>
      <c r="EI33" s="229">
        <v>4.7000000000000002E-3</v>
      </c>
      <c r="EJ33" s="229">
        <v>0.54490000000000005</v>
      </c>
      <c r="EK33" s="231">
        <v>4578.24</v>
      </c>
      <c r="EL33" s="231">
        <v>1553.25</v>
      </c>
      <c r="EM33" s="231">
        <v>3943.45</v>
      </c>
      <c r="EN33" s="228">
        <v>131.47999999999999</v>
      </c>
      <c r="EO33" s="231">
        <v>10074.94</v>
      </c>
      <c r="EP33" s="231">
        <v>7202</v>
      </c>
      <c r="EQ33" s="231">
        <v>2872.93</v>
      </c>
      <c r="ER33" s="229">
        <v>0.39889999999999998</v>
      </c>
      <c r="ES33" s="231">
        <v>2624.24</v>
      </c>
      <c r="ET33" s="231">
        <v>1603.18</v>
      </c>
      <c r="EU33" s="231">
        <v>11351.44</v>
      </c>
      <c r="EV33" s="231">
        <v>342859930</v>
      </c>
      <c r="EW33" s="231">
        <v>15578.86</v>
      </c>
      <c r="EX33" s="231">
        <v>15651.85</v>
      </c>
      <c r="EY33" s="228">
        <v>-72.989999999999995</v>
      </c>
      <c r="EZ33" s="229">
        <v>-4.7000000000000002E-3</v>
      </c>
      <c r="FA33" s="229">
        <v>0.24579999999999999</v>
      </c>
      <c r="FB33" s="227" t="s">
        <v>693</v>
      </c>
      <c r="FC33">
        <f t="shared" si="0"/>
        <v>5765</v>
      </c>
    </row>
    <row r="34" spans="1:159" ht="17.25" thickBot="1" x14ac:dyDescent="0.3">
      <c r="A34" s="226">
        <v>46135</v>
      </c>
      <c r="B34" s="227" t="s">
        <v>184</v>
      </c>
      <c r="C34" s="227" t="s">
        <v>190</v>
      </c>
      <c r="D34" s="228">
        <v>2625</v>
      </c>
      <c r="E34" s="228">
        <v>5</v>
      </c>
      <c r="F34" s="228">
        <v>338.22</v>
      </c>
      <c r="G34" s="228">
        <v>334.14</v>
      </c>
      <c r="H34" s="228">
        <v>4.08</v>
      </c>
      <c r="I34" s="229">
        <v>1.2200000000000001E-2</v>
      </c>
      <c r="J34" s="228">
        <v>337.6</v>
      </c>
      <c r="K34" s="228">
        <v>333.64</v>
      </c>
      <c r="L34" s="228">
        <v>3.96</v>
      </c>
      <c r="M34" s="229">
        <v>1.1900000000000001E-2</v>
      </c>
      <c r="N34" s="228">
        <v>338.22</v>
      </c>
      <c r="O34" s="228">
        <v>334.14</v>
      </c>
      <c r="P34" s="228">
        <v>4.08</v>
      </c>
      <c r="Q34" s="229">
        <v>1.2200000000000001E-2</v>
      </c>
      <c r="R34" s="228">
        <v>339.88</v>
      </c>
      <c r="S34" s="228">
        <v>335.86</v>
      </c>
      <c r="T34" s="228">
        <v>4.0199999999999996</v>
      </c>
      <c r="U34" s="229">
        <v>1.2E-2</v>
      </c>
      <c r="V34" s="228">
        <v>341.86</v>
      </c>
      <c r="W34" s="228">
        <v>337.36</v>
      </c>
      <c r="X34" s="228">
        <v>4.5</v>
      </c>
      <c r="Y34" s="229">
        <v>1.3299999999999999E-2</v>
      </c>
      <c r="Z34" s="228">
        <v>0.62</v>
      </c>
      <c r="AA34" s="228">
        <v>0.5</v>
      </c>
      <c r="AB34" s="228">
        <v>0.12</v>
      </c>
      <c r="AC34" s="229">
        <v>1.8E-3</v>
      </c>
      <c r="AD34" s="228">
        <v>0.62</v>
      </c>
      <c r="AE34" s="228">
        <v>0.5</v>
      </c>
      <c r="AF34" s="228">
        <v>0.12</v>
      </c>
      <c r="AG34" s="229">
        <v>1.8E-3</v>
      </c>
      <c r="AH34" s="228">
        <v>2.2799999999999998</v>
      </c>
      <c r="AI34" s="228">
        <v>2.2200000000000002</v>
      </c>
      <c r="AJ34" s="228">
        <v>0.06</v>
      </c>
      <c r="AK34" s="229">
        <v>6.7999999999999996E-3</v>
      </c>
      <c r="AL34" s="228">
        <v>4.26</v>
      </c>
      <c r="AM34" s="228">
        <v>3.72</v>
      </c>
      <c r="AN34" s="228">
        <v>0.54</v>
      </c>
      <c r="AO34" s="229">
        <v>1.26E-2</v>
      </c>
      <c r="AP34" s="228">
        <v>337.33</v>
      </c>
      <c r="AQ34" s="228">
        <v>339.2</v>
      </c>
      <c r="AR34" s="228">
        <v>0</v>
      </c>
      <c r="AS34" s="230">
        <v>2425</v>
      </c>
      <c r="AT34" s="228">
        <v>883</v>
      </c>
      <c r="AU34" s="230">
        <v>1542</v>
      </c>
      <c r="AV34" s="229">
        <v>1.7464</v>
      </c>
      <c r="AW34" s="230">
        <v>1267</v>
      </c>
      <c r="AX34" s="228">
        <v>598</v>
      </c>
      <c r="AY34" s="228">
        <v>669</v>
      </c>
      <c r="AZ34" s="229">
        <v>1.1174999999999999</v>
      </c>
      <c r="BA34" s="230">
        <v>1087</v>
      </c>
      <c r="BB34" s="228">
        <v>275</v>
      </c>
      <c r="BC34" s="228">
        <v>812</v>
      </c>
      <c r="BD34" s="229">
        <v>2.9538000000000002</v>
      </c>
      <c r="BE34" s="228">
        <v>71</v>
      </c>
      <c r="BF34" s="228">
        <v>10</v>
      </c>
      <c r="BG34" s="228">
        <v>62</v>
      </c>
      <c r="BH34" s="229">
        <v>6.1875</v>
      </c>
      <c r="BI34" s="230">
        <v>3825</v>
      </c>
      <c r="BJ34" s="230">
        <v>3924</v>
      </c>
      <c r="BK34" s="228">
        <v>-99</v>
      </c>
      <c r="BL34" s="229">
        <v>-2.52E-2</v>
      </c>
      <c r="BM34" s="230">
        <v>2305</v>
      </c>
      <c r="BN34" s="230">
        <v>2151</v>
      </c>
      <c r="BO34" s="228">
        <v>154</v>
      </c>
      <c r="BP34" s="229">
        <v>7.17E-2</v>
      </c>
      <c r="BQ34" s="230">
        <v>8555</v>
      </c>
      <c r="BR34" s="230">
        <v>6958</v>
      </c>
      <c r="BS34" s="230">
        <v>1597</v>
      </c>
      <c r="BT34" s="229">
        <v>0.2296</v>
      </c>
      <c r="BU34" s="230">
        <v>17196300</v>
      </c>
      <c r="BV34" s="230">
        <v>16974273</v>
      </c>
      <c r="BW34" s="230">
        <v>222027</v>
      </c>
      <c r="BX34" s="229">
        <v>1.3100000000000001E-2</v>
      </c>
      <c r="BY34" s="230">
        <v>3901</v>
      </c>
      <c r="BZ34" s="230">
        <v>3821</v>
      </c>
      <c r="CA34" s="228">
        <v>80</v>
      </c>
      <c r="CB34" s="229">
        <v>2.1000000000000001E-2</v>
      </c>
      <c r="CC34" s="230">
        <v>2419</v>
      </c>
      <c r="CD34" s="230">
        <v>3255</v>
      </c>
      <c r="CE34" s="228">
        <v>-837</v>
      </c>
      <c r="CF34" s="229">
        <v>-0.25700000000000001</v>
      </c>
      <c r="CG34" s="230">
        <v>1393</v>
      </c>
      <c r="CH34" s="228">
        <v>536</v>
      </c>
      <c r="CI34" s="228">
        <v>857</v>
      </c>
      <c r="CJ34" s="229">
        <v>1.5980000000000001</v>
      </c>
      <c r="CK34" s="228">
        <v>89</v>
      </c>
      <c r="CL34" s="228">
        <v>29</v>
      </c>
      <c r="CM34" s="228">
        <v>60</v>
      </c>
      <c r="CN34" s="229">
        <v>2.0672999999999999</v>
      </c>
      <c r="CO34" s="230">
        <v>1683</v>
      </c>
      <c r="CP34" s="230">
        <v>1816</v>
      </c>
      <c r="CQ34" s="228">
        <v>-133</v>
      </c>
      <c r="CR34" s="229">
        <v>-7.3499999999999996E-2</v>
      </c>
      <c r="CS34" s="230">
        <v>1527</v>
      </c>
      <c r="CT34" s="230">
        <v>1513</v>
      </c>
      <c r="CU34" s="228">
        <v>14</v>
      </c>
      <c r="CV34" s="229">
        <v>9.1999999999999998E-3</v>
      </c>
      <c r="CW34" s="230">
        <v>7110</v>
      </c>
      <c r="CX34" s="230">
        <v>7150</v>
      </c>
      <c r="CY34" s="228">
        <v>-39</v>
      </c>
      <c r="CZ34" s="229">
        <v>-5.4999999999999997E-3</v>
      </c>
      <c r="DA34" s="228">
        <v>44.14</v>
      </c>
      <c r="DB34" s="228">
        <v>39.159999999999997</v>
      </c>
      <c r="DC34" s="228">
        <v>4.9800000000000004</v>
      </c>
      <c r="DD34" s="228">
        <v>4.9800000000000004</v>
      </c>
      <c r="DE34" s="228">
        <v>47.15</v>
      </c>
      <c r="DF34" s="228">
        <v>47.24</v>
      </c>
      <c r="DG34" s="228">
        <v>-3.01</v>
      </c>
      <c r="DH34" s="228">
        <v>-0.09</v>
      </c>
      <c r="DI34" s="228">
        <v>43.62</v>
      </c>
      <c r="DJ34" s="228">
        <v>38.32</v>
      </c>
      <c r="DK34" s="228">
        <v>5.3</v>
      </c>
      <c r="DL34" s="228">
        <v>5.3</v>
      </c>
      <c r="DM34" s="228">
        <v>45.27</v>
      </c>
      <c r="DN34" s="228">
        <v>40.700000000000003</v>
      </c>
      <c r="DO34" s="228">
        <v>4.57</v>
      </c>
      <c r="DP34" s="228">
        <v>4.57</v>
      </c>
      <c r="DQ34" s="228">
        <v>0.91</v>
      </c>
      <c r="DR34" s="228">
        <v>0.83</v>
      </c>
      <c r="DS34" s="228">
        <v>0.08</v>
      </c>
      <c r="DT34" s="229">
        <v>9.64E-2</v>
      </c>
      <c r="DU34" s="228">
        <v>350</v>
      </c>
      <c r="DV34" s="228">
        <v>310</v>
      </c>
      <c r="DW34" s="228">
        <v>0.6</v>
      </c>
      <c r="DX34" s="228">
        <v>0.55000000000000004</v>
      </c>
      <c r="DY34" s="228">
        <v>0.05</v>
      </c>
      <c r="DZ34" s="229">
        <v>9.0899999999999995E-2</v>
      </c>
      <c r="EA34" s="229">
        <v>0.37990000000000002</v>
      </c>
      <c r="EB34" s="230">
        <v>16708125</v>
      </c>
      <c r="EC34" s="229">
        <v>4.8999999999999998E-3</v>
      </c>
      <c r="ED34" s="229">
        <v>0.37990000000000002</v>
      </c>
      <c r="EE34" s="228">
        <v>1.87</v>
      </c>
      <c r="EF34" s="229">
        <v>5.4999999999999997E-3</v>
      </c>
      <c r="EG34" s="230">
        <v>7261163</v>
      </c>
      <c r="EH34" s="230">
        <v>6787799</v>
      </c>
      <c r="EI34" s="229">
        <v>6.9699999999999998E-2</v>
      </c>
      <c r="EJ34" s="229">
        <v>0.42230000000000001</v>
      </c>
      <c r="EK34" s="231">
        <v>3941.23</v>
      </c>
      <c r="EL34" s="231">
        <v>2215.13</v>
      </c>
      <c r="EM34" s="231">
        <v>2426.0700000000002</v>
      </c>
      <c r="EN34" s="228">
        <v>156.72</v>
      </c>
      <c r="EO34" s="231">
        <v>8582.43</v>
      </c>
      <c r="EP34" s="231">
        <v>6960.8</v>
      </c>
      <c r="EQ34" s="231">
        <v>1621.63</v>
      </c>
      <c r="ER34" s="229">
        <v>0.23300000000000001</v>
      </c>
      <c r="ES34" s="231">
        <v>1561.63</v>
      </c>
      <c r="ET34" s="231">
        <v>1330.58</v>
      </c>
      <c r="EU34" s="231">
        <v>3908.55</v>
      </c>
      <c r="EV34" s="231">
        <v>192361942</v>
      </c>
      <c r="EW34" s="231">
        <v>6800.76</v>
      </c>
      <c r="EX34" s="231">
        <v>6769.44</v>
      </c>
      <c r="EY34" s="228">
        <v>31.32</v>
      </c>
      <c r="EZ34" s="229">
        <v>4.5999999999999999E-3</v>
      </c>
      <c r="FA34" s="229">
        <v>1.0929</v>
      </c>
      <c r="FB34" s="227" t="s">
        <v>555</v>
      </c>
      <c r="FC34">
        <f t="shared" si="0"/>
        <v>1482</v>
      </c>
    </row>
    <row r="35" spans="1:159" ht="17.25" thickBot="1" x14ac:dyDescent="0.3">
      <c r="A35" s="226">
        <v>46135</v>
      </c>
      <c r="B35" s="227" t="s">
        <v>170</v>
      </c>
      <c r="C35" s="227" t="s">
        <v>191</v>
      </c>
      <c r="D35" s="228">
        <v>2500</v>
      </c>
      <c r="E35" s="228">
        <v>5</v>
      </c>
      <c r="F35" s="228">
        <v>358.6</v>
      </c>
      <c r="G35" s="228">
        <v>358.15</v>
      </c>
      <c r="H35" s="228">
        <v>0.45</v>
      </c>
      <c r="I35" s="229">
        <v>1.2999999999999999E-3</v>
      </c>
      <c r="J35" s="228">
        <v>358</v>
      </c>
      <c r="K35" s="228">
        <v>357.8</v>
      </c>
      <c r="L35" s="228">
        <v>0.2</v>
      </c>
      <c r="M35" s="229">
        <v>5.9999999999999995E-4</v>
      </c>
      <c r="N35" s="228">
        <v>358.6</v>
      </c>
      <c r="O35" s="228">
        <v>358.15</v>
      </c>
      <c r="P35" s="228">
        <v>0.45</v>
      </c>
      <c r="Q35" s="229">
        <v>1.2999999999999999E-3</v>
      </c>
      <c r="R35" s="228">
        <v>360.45</v>
      </c>
      <c r="S35" s="228">
        <v>360.25</v>
      </c>
      <c r="T35" s="228">
        <v>0.2</v>
      </c>
      <c r="U35" s="229">
        <v>5.9999999999999995E-4</v>
      </c>
      <c r="V35" s="228">
        <v>362.65</v>
      </c>
      <c r="W35" s="228">
        <v>362.1</v>
      </c>
      <c r="X35" s="228">
        <v>0.55000000000000004</v>
      </c>
      <c r="Y35" s="229">
        <v>1.5E-3</v>
      </c>
      <c r="Z35" s="228">
        <v>0.6</v>
      </c>
      <c r="AA35" s="228">
        <v>0.35</v>
      </c>
      <c r="AB35" s="228">
        <v>0.25</v>
      </c>
      <c r="AC35" s="229">
        <v>1.6999999999999999E-3</v>
      </c>
      <c r="AD35" s="228">
        <v>0.6</v>
      </c>
      <c r="AE35" s="228">
        <v>0.35</v>
      </c>
      <c r="AF35" s="228">
        <v>0.25</v>
      </c>
      <c r="AG35" s="229">
        <v>1.6999999999999999E-3</v>
      </c>
      <c r="AH35" s="228">
        <v>2.4500000000000002</v>
      </c>
      <c r="AI35" s="228">
        <v>2.4500000000000002</v>
      </c>
      <c r="AJ35" s="228">
        <v>0</v>
      </c>
      <c r="AK35" s="229">
        <v>6.7999999999999996E-3</v>
      </c>
      <c r="AL35" s="228">
        <v>4.6500000000000004</v>
      </c>
      <c r="AM35" s="228">
        <v>4.3</v>
      </c>
      <c r="AN35" s="228">
        <v>0.35</v>
      </c>
      <c r="AO35" s="229">
        <v>1.2999999999999999E-2</v>
      </c>
      <c r="AP35" s="228">
        <v>360.15</v>
      </c>
      <c r="AQ35" s="228">
        <v>362.03</v>
      </c>
      <c r="AR35" s="228">
        <v>0</v>
      </c>
      <c r="AS35" s="228">
        <v>579</v>
      </c>
      <c r="AT35" s="228">
        <v>275</v>
      </c>
      <c r="AU35" s="228">
        <v>304</v>
      </c>
      <c r="AV35" s="229">
        <v>1.1025</v>
      </c>
      <c r="AW35" s="228">
        <v>287</v>
      </c>
      <c r="AX35" s="228">
        <v>156</v>
      </c>
      <c r="AY35" s="228">
        <v>131</v>
      </c>
      <c r="AZ35" s="229">
        <v>0.83720000000000006</v>
      </c>
      <c r="BA35" s="228">
        <v>286</v>
      </c>
      <c r="BB35" s="228">
        <v>115</v>
      </c>
      <c r="BC35" s="228">
        <v>171</v>
      </c>
      <c r="BD35" s="229">
        <v>1.4944999999999999</v>
      </c>
      <c r="BE35" s="228">
        <v>6</v>
      </c>
      <c r="BF35" s="228">
        <v>4</v>
      </c>
      <c r="BG35" s="228">
        <v>1</v>
      </c>
      <c r="BH35" s="229">
        <v>0.32650000000000001</v>
      </c>
      <c r="BI35" s="230">
        <v>1506</v>
      </c>
      <c r="BJ35" s="228">
        <v>734</v>
      </c>
      <c r="BK35" s="228">
        <v>772</v>
      </c>
      <c r="BL35" s="229">
        <v>1.0523</v>
      </c>
      <c r="BM35" s="228">
        <v>378</v>
      </c>
      <c r="BN35" s="228">
        <v>263</v>
      </c>
      <c r="BO35" s="228">
        <v>115</v>
      </c>
      <c r="BP35" s="229">
        <v>0.43509999999999999</v>
      </c>
      <c r="BQ35" s="230">
        <v>2463</v>
      </c>
      <c r="BR35" s="230">
        <v>1273</v>
      </c>
      <c r="BS35" s="230">
        <v>1191</v>
      </c>
      <c r="BT35" s="229">
        <v>0.9355</v>
      </c>
      <c r="BU35" s="230">
        <v>2370603</v>
      </c>
      <c r="BV35" s="230">
        <v>2672458</v>
      </c>
      <c r="BW35" s="230">
        <v>-301855</v>
      </c>
      <c r="BX35" s="229">
        <v>-0.113</v>
      </c>
      <c r="BY35" s="230">
        <v>1304</v>
      </c>
      <c r="BZ35" s="230">
        <v>1277</v>
      </c>
      <c r="CA35" s="228">
        <v>27</v>
      </c>
      <c r="CB35" s="229">
        <v>2.1100000000000001E-2</v>
      </c>
      <c r="CC35" s="228">
        <v>872</v>
      </c>
      <c r="CD35" s="230">
        <v>1031</v>
      </c>
      <c r="CE35" s="228">
        <v>-159</v>
      </c>
      <c r="CF35" s="229">
        <v>-0.154</v>
      </c>
      <c r="CG35" s="228">
        <v>419</v>
      </c>
      <c r="CH35" s="228">
        <v>234</v>
      </c>
      <c r="CI35" s="228">
        <v>185</v>
      </c>
      <c r="CJ35" s="229">
        <v>0.78949999999999998</v>
      </c>
      <c r="CK35" s="228">
        <v>13</v>
      </c>
      <c r="CL35" s="228">
        <v>12</v>
      </c>
      <c r="CM35" s="228">
        <v>1</v>
      </c>
      <c r="CN35" s="229">
        <v>6.8199999999999997E-2</v>
      </c>
      <c r="CO35" s="228">
        <v>859</v>
      </c>
      <c r="CP35" s="228">
        <v>811</v>
      </c>
      <c r="CQ35" s="228">
        <v>48</v>
      </c>
      <c r="CR35" s="229">
        <v>5.8799999999999998E-2</v>
      </c>
      <c r="CS35" s="228">
        <v>533</v>
      </c>
      <c r="CT35" s="228">
        <v>544</v>
      </c>
      <c r="CU35" s="228">
        <v>-11</v>
      </c>
      <c r="CV35" s="229">
        <v>-2.0400000000000001E-2</v>
      </c>
      <c r="CW35" s="230">
        <v>2697</v>
      </c>
      <c r="CX35" s="230">
        <v>2633</v>
      </c>
      <c r="CY35" s="228">
        <v>64</v>
      </c>
      <c r="CZ35" s="229">
        <v>2.41E-2</v>
      </c>
      <c r="DA35" s="228">
        <v>35.229999999999997</v>
      </c>
      <c r="DB35" s="228">
        <v>29.03</v>
      </c>
      <c r="DC35" s="228">
        <v>6.2</v>
      </c>
      <c r="DD35" s="228">
        <v>6.2</v>
      </c>
      <c r="DE35" s="228">
        <v>36.020000000000003</v>
      </c>
      <c r="DF35" s="228">
        <v>36.11</v>
      </c>
      <c r="DG35" s="228">
        <v>-0.79</v>
      </c>
      <c r="DH35" s="228">
        <v>-0.09</v>
      </c>
      <c r="DI35" s="228">
        <v>35.409999999999997</v>
      </c>
      <c r="DJ35" s="228">
        <v>28.92</v>
      </c>
      <c r="DK35" s="228">
        <v>6.49</v>
      </c>
      <c r="DL35" s="228">
        <v>6.49</v>
      </c>
      <c r="DM35" s="228">
        <v>34.72</v>
      </c>
      <c r="DN35" s="228">
        <v>29.35</v>
      </c>
      <c r="DO35" s="228">
        <v>5.37</v>
      </c>
      <c r="DP35" s="228">
        <v>5.37</v>
      </c>
      <c r="DQ35" s="228">
        <v>0.62</v>
      </c>
      <c r="DR35" s="228">
        <v>0.67</v>
      </c>
      <c r="DS35" s="228">
        <v>-0.05</v>
      </c>
      <c r="DT35" s="229">
        <v>-7.46E-2</v>
      </c>
      <c r="DU35" s="228">
        <v>370</v>
      </c>
      <c r="DV35" s="228">
        <v>340</v>
      </c>
      <c r="DW35" s="228">
        <v>0.25</v>
      </c>
      <c r="DX35" s="228">
        <v>0.36</v>
      </c>
      <c r="DY35" s="228">
        <v>-0.11</v>
      </c>
      <c r="DZ35" s="229">
        <v>-0.30559999999999998</v>
      </c>
      <c r="EA35" s="229">
        <v>0.33110000000000001</v>
      </c>
      <c r="EB35" s="230">
        <v>6862500</v>
      </c>
      <c r="EC35" s="229">
        <v>5.1999999999999998E-3</v>
      </c>
      <c r="ED35" s="229">
        <v>0.33110000000000001</v>
      </c>
      <c r="EE35" s="228">
        <v>1.88</v>
      </c>
      <c r="EF35" s="229">
        <v>5.1999999999999998E-3</v>
      </c>
      <c r="EG35" s="230">
        <v>993780</v>
      </c>
      <c r="EH35" s="230">
        <v>1562223</v>
      </c>
      <c r="EI35" s="229">
        <v>-0.3639</v>
      </c>
      <c r="EJ35" s="229">
        <v>0.41920000000000002</v>
      </c>
      <c r="EK35" s="231">
        <v>1566.68</v>
      </c>
      <c r="EL35" s="228">
        <v>378.43</v>
      </c>
      <c r="EM35" s="228">
        <v>583.11</v>
      </c>
      <c r="EN35" s="228">
        <v>28.23</v>
      </c>
      <c r="EO35" s="231">
        <v>2528.23</v>
      </c>
      <c r="EP35" s="231">
        <v>1308.43</v>
      </c>
      <c r="EQ35" s="231">
        <v>1219.8</v>
      </c>
      <c r="ER35" s="229">
        <v>0.93230000000000002</v>
      </c>
      <c r="ES35" s="228">
        <v>893.2</v>
      </c>
      <c r="ET35" s="228">
        <v>523.11</v>
      </c>
      <c r="EU35" s="231">
        <v>1306.44</v>
      </c>
      <c r="EV35" s="231">
        <v>108004143</v>
      </c>
      <c r="EW35" s="231">
        <v>2722.75</v>
      </c>
      <c r="EX35" s="231">
        <v>2656.94</v>
      </c>
      <c r="EY35" s="228">
        <v>65.81</v>
      </c>
      <c r="EZ35" s="229">
        <v>2.4799999999999999E-2</v>
      </c>
      <c r="FA35" s="229">
        <v>0.69620000000000004</v>
      </c>
      <c r="FB35" s="227" t="s">
        <v>555</v>
      </c>
      <c r="FC35">
        <f t="shared" si="0"/>
        <v>432</v>
      </c>
    </row>
    <row r="36" spans="1:159" ht="17.25" thickBot="1" x14ac:dyDescent="0.3">
      <c r="A36" s="226">
        <v>46135</v>
      </c>
      <c r="B36" s="227" t="s">
        <v>184</v>
      </c>
      <c r="C36" s="227" t="s">
        <v>677</v>
      </c>
      <c r="D36" s="228">
        <v>325</v>
      </c>
      <c r="E36" s="228">
        <v>5</v>
      </c>
      <c r="F36" s="231">
        <v>1834.8</v>
      </c>
      <c r="G36" s="231">
        <v>1891.7</v>
      </c>
      <c r="H36" s="228">
        <v>-56.9</v>
      </c>
      <c r="I36" s="229">
        <v>-3.0099999999999998E-2</v>
      </c>
      <c r="J36" s="231">
        <v>1829.8</v>
      </c>
      <c r="K36" s="231">
        <v>1888.6</v>
      </c>
      <c r="L36" s="228">
        <v>-58.8</v>
      </c>
      <c r="M36" s="229">
        <v>-3.1099999999999999E-2</v>
      </c>
      <c r="N36" s="231">
        <v>1834.8</v>
      </c>
      <c r="O36" s="231">
        <v>1891.7</v>
      </c>
      <c r="P36" s="228">
        <v>-56.9</v>
      </c>
      <c r="Q36" s="229">
        <v>-3.0099999999999998E-2</v>
      </c>
      <c r="R36" s="231">
        <v>1813.4</v>
      </c>
      <c r="S36" s="231">
        <v>1869.6</v>
      </c>
      <c r="T36" s="228">
        <v>-56.2</v>
      </c>
      <c r="U36" s="229">
        <v>-3.0099999999999998E-2</v>
      </c>
      <c r="V36" s="231">
        <v>1804.1</v>
      </c>
      <c r="W36" s="231">
        <v>1850</v>
      </c>
      <c r="X36" s="228">
        <v>-45.9</v>
      </c>
      <c r="Y36" s="229">
        <v>-2.4799999999999999E-2</v>
      </c>
      <c r="Z36" s="228">
        <v>5</v>
      </c>
      <c r="AA36" s="228">
        <v>3.1</v>
      </c>
      <c r="AB36" s="228">
        <v>1.9</v>
      </c>
      <c r="AC36" s="229">
        <v>2.7000000000000001E-3</v>
      </c>
      <c r="AD36" s="228">
        <v>5</v>
      </c>
      <c r="AE36" s="228">
        <v>3.1</v>
      </c>
      <c r="AF36" s="228">
        <v>1.9</v>
      </c>
      <c r="AG36" s="229">
        <v>2.7000000000000001E-3</v>
      </c>
      <c r="AH36" s="228">
        <v>-16.399999999999999</v>
      </c>
      <c r="AI36" s="228">
        <v>-19</v>
      </c>
      <c r="AJ36" s="228">
        <v>2.6</v>
      </c>
      <c r="AK36" s="229">
        <v>-8.9999999999999993E-3</v>
      </c>
      <c r="AL36" s="228">
        <v>-25.7</v>
      </c>
      <c r="AM36" s="228">
        <v>-38.6</v>
      </c>
      <c r="AN36" s="228">
        <v>12.9</v>
      </c>
      <c r="AO36" s="229">
        <v>-1.4E-2</v>
      </c>
      <c r="AP36" s="231">
        <v>1847.94</v>
      </c>
      <c r="AQ36" s="231">
        <v>1824.78</v>
      </c>
      <c r="AR36" s="228">
        <v>0</v>
      </c>
      <c r="AS36" s="228">
        <v>602</v>
      </c>
      <c r="AT36" s="228">
        <v>186</v>
      </c>
      <c r="AU36" s="228">
        <v>417</v>
      </c>
      <c r="AV36" s="229">
        <v>2.242</v>
      </c>
      <c r="AW36" s="228">
        <v>312</v>
      </c>
      <c r="AX36" s="228">
        <v>119</v>
      </c>
      <c r="AY36" s="228">
        <v>193</v>
      </c>
      <c r="AZ36" s="229">
        <v>1.6249</v>
      </c>
      <c r="BA36" s="228">
        <v>290</v>
      </c>
      <c r="BB36" s="228">
        <v>66</v>
      </c>
      <c r="BC36" s="228">
        <v>224</v>
      </c>
      <c r="BD36" s="229">
        <v>3.3740999999999999</v>
      </c>
      <c r="BE36" s="228">
        <v>0</v>
      </c>
      <c r="BF36" s="228">
        <v>1</v>
      </c>
      <c r="BG36" s="228">
        <v>0</v>
      </c>
      <c r="BH36" s="229">
        <v>-0.6</v>
      </c>
      <c r="BI36" s="228">
        <v>308</v>
      </c>
      <c r="BJ36" s="228">
        <v>302</v>
      </c>
      <c r="BK36" s="228">
        <v>6</v>
      </c>
      <c r="BL36" s="229">
        <v>2.0899999999999998E-2</v>
      </c>
      <c r="BM36" s="228">
        <v>196</v>
      </c>
      <c r="BN36" s="228">
        <v>100</v>
      </c>
      <c r="BO36" s="228">
        <v>96</v>
      </c>
      <c r="BP36" s="229">
        <v>0.95469999999999999</v>
      </c>
      <c r="BQ36" s="230">
        <v>1106</v>
      </c>
      <c r="BR36" s="228">
        <v>588</v>
      </c>
      <c r="BS36" s="228">
        <v>518</v>
      </c>
      <c r="BT36" s="229">
        <v>0.88219999999999998</v>
      </c>
      <c r="BU36" s="230">
        <v>802515</v>
      </c>
      <c r="BV36" s="230">
        <v>519556</v>
      </c>
      <c r="BW36" s="230">
        <v>282959</v>
      </c>
      <c r="BX36" s="229">
        <v>0.54459999999999997</v>
      </c>
      <c r="BY36" s="228">
        <v>645</v>
      </c>
      <c r="BZ36" s="228">
        <v>736</v>
      </c>
      <c r="CA36" s="228">
        <v>-91</v>
      </c>
      <c r="CB36" s="229">
        <v>-0.1236</v>
      </c>
      <c r="CC36" s="228">
        <v>314</v>
      </c>
      <c r="CD36" s="228">
        <v>504</v>
      </c>
      <c r="CE36" s="228">
        <v>-191</v>
      </c>
      <c r="CF36" s="229">
        <v>-0.37780000000000002</v>
      </c>
      <c r="CG36" s="228">
        <v>329</v>
      </c>
      <c r="CH36" s="228">
        <v>230</v>
      </c>
      <c r="CI36" s="228">
        <v>100</v>
      </c>
      <c r="CJ36" s="229">
        <v>0.43340000000000001</v>
      </c>
      <c r="CK36" s="228">
        <v>2</v>
      </c>
      <c r="CL36" s="228">
        <v>2</v>
      </c>
      <c r="CM36" s="228">
        <v>0</v>
      </c>
      <c r="CN36" s="229">
        <v>3.1300000000000001E-2</v>
      </c>
      <c r="CO36" s="228">
        <v>304</v>
      </c>
      <c r="CP36" s="228">
        <v>324</v>
      </c>
      <c r="CQ36" s="228">
        <v>-19</v>
      </c>
      <c r="CR36" s="229">
        <v>-5.9900000000000002E-2</v>
      </c>
      <c r="CS36" s="228">
        <v>231</v>
      </c>
      <c r="CT36" s="228">
        <v>229</v>
      </c>
      <c r="CU36" s="228">
        <v>2</v>
      </c>
      <c r="CV36" s="229">
        <v>9.1000000000000004E-3</v>
      </c>
      <c r="CW36" s="230">
        <v>1181</v>
      </c>
      <c r="CX36" s="230">
        <v>1289</v>
      </c>
      <c r="CY36" s="228">
        <v>-108</v>
      </c>
      <c r="CZ36" s="229">
        <v>-8.4000000000000005E-2</v>
      </c>
      <c r="DA36" s="228">
        <v>40.549999999999997</v>
      </c>
      <c r="DB36" s="228">
        <v>35.76</v>
      </c>
      <c r="DC36" s="228">
        <v>4.79</v>
      </c>
      <c r="DD36" s="228">
        <v>4.79</v>
      </c>
      <c r="DE36" s="228">
        <v>42.5</v>
      </c>
      <c r="DF36" s="228">
        <v>42.4</v>
      </c>
      <c r="DG36" s="228">
        <v>-1.95</v>
      </c>
      <c r="DH36" s="228">
        <v>0.1</v>
      </c>
      <c r="DI36" s="228">
        <v>40.72</v>
      </c>
      <c r="DJ36" s="228">
        <v>34.83</v>
      </c>
      <c r="DK36" s="228">
        <v>5.89</v>
      </c>
      <c r="DL36" s="228">
        <v>5.89</v>
      </c>
      <c r="DM36" s="228">
        <v>40.159999999999997</v>
      </c>
      <c r="DN36" s="228">
        <v>38.549999999999997</v>
      </c>
      <c r="DO36" s="228">
        <v>1.61</v>
      </c>
      <c r="DP36" s="228">
        <v>1.61</v>
      </c>
      <c r="DQ36" s="228">
        <v>0.76</v>
      </c>
      <c r="DR36" s="228">
        <v>0.71</v>
      </c>
      <c r="DS36" s="228">
        <v>0.05</v>
      </c>
      <c r="DT36" s="229">
        <v>7.0400000000000004E-2</v>
      </c>
      <c r="DU36" s="231">
        <v>1900</v>
      </c>
      <c r="DV36" s="231">
        <v>1780</v>
      </c>
      <c r="DW36" s="228">
        <v>0.63</v>
      </c>
      <c r="DX36" s="228">
        <v>0.33</v>
      </c>
      <c r="DY36" s="228">
        <v>0.3</v>
      </c>
      <c r="DZ36" s="229">
        <v>0.90910000000000002</v>
      </c>
      <c r="EA36" s="229">
        <v>0.51349999999999996</v>
      </c>
      <c r="EB36" s="230">
        <v>1261975</v>
      </c>
      <c r="EC36" s="229">
        <v>-1.17E-2</v>
      </c>
      <c r="ED36" s="229">
        <v>0.51349999999999996</v>
      </c>
      <c r="EE36" s="228">
        <v>-23.16</v>
      </c>
      <c r="EF36" s="229">
        <v>-1.2500000000000001E-2</v>
      </c>
      <c r="EG36" s="230">
        <v>428388</v>
      </c>
      <c r="EH36" s="230">
        <v>213224</v>
      </c>
      <c r="EI36" s="229">
        <v>1.0091000000000001</v>
      </c>
      <c r="EJ36" s="229">
        <v>0.53380000000000005</v>
      </c>
      <c r="EK36" s="228">
        <v>324.69</v>
      </c>
      <c r="EL36" s="228">
        <v>193.48</v>
      </c>
      <c r="EM36" s="228">
        <v>603.04</v>
      </c>
      <c r="EN36" s="228">
        <v>37.94</v>
      </c>
      <c r="EO36" s="231">
        <v>1121.2</v>
      </c>
      <c r="EP36" s="228">
        <v>610.92999999999995</v>
      </c>
      <c r="EQ36" s="228">
        <v>510.27</v>
      </c>
      <c r="ER36" s="229">
        <v>0.83520000000000005</v>
      </c>
      <c r="ES36" s="228">
        <v>304.29000000000002</v>
      </c>
      <c r="ET36" s="228">
        <v>216.61</v>
      </c>
      <c r="EU36" s="228">
        <v>641.04</v>
      </c>
      <c r="EV36" s="231">
        <v>15745076</v>
      </c>
      <c r="EW36" s="231">
        <v>1161.94</v>
      </c>
      <c r="EX36" s="231">
        <v>1296.23</v>
      </c>
      <c r="EY36" s="228">
        <v>-134.29</v>
      </c>
      <c r="EZ36" s="229">
        <v>-0.1036</v>
      </c>
      <c r="FA36" s="229">
        <v>0.40870000000000001</v>
      </c>
      <c r="FB36" s="227" t="s">
        <v>567</v>
      </c>
      <c r="FC36">
        <f t="shared" si="0"/>
        <v>331</v>
      </c>
    </row>
    <row r="37" spans="1:159" ht="17.25" thickBot="1" x14ac:dyDescent="0.3">
      <c r="A37" s="226">
        <v>46135</v>
      </c>
      <c r="B37" s="227" t="s">
        <v>162</v>
      </c>
      <c r="C37" s="227" t="s">
        <v>192</v>
      </c>
      <c r="D37" s="228">
        <v>25</v>
      </c>
      <c r="E37" s="228">
        <v>5</v>
      </c>
      <c r="F37" s="231">
        <v>37350</v>
      </c>
      <c r="G37" s="231">
        <v>37965</v>
      </c>
      <c r="H37" s="228">
        <v>-615</v>
      </c>
      <c r="I37" s="229">
        <v>-1.6199999999999999E-2</v>
      </c>
      <c r="J37" s="231">
        <v>37380</v>
      </c>
      <c r="K37" s="231">
        <v>37885</v>
      </c>
      <c r="L37" s="228">
        <v>-505</v>
      </c>
      <c r="M37" s="229">
        <v>-1.3299999999999999E-2</v>
      </c>
      <c r="N37" s="231">
        <v>37350</v>
      </c>
      <c r="O37" s="231">
        <v>37965</v>
      </c>
      <c r="P37" s="228">
        <v>-615</v>
      </c>
      <c r="Q37" s="229">
        <v>-1.6199999999999999E-2</v>
      </c>
      <c r="R37" s="231">
        <v>37535</v>
      </c>
      <c r="S37" s="231">
        <v>38100</v>
      </c>
      <c r="T37" s="228">
        <v>-565</v>
      </c>
      <c r="U37" s="229">
        <v>-1.4800000000000001E-2</v>
      </c>
      <c r="V37" s="231">
        <v>37575</v>
      </c>
      <c r="W37" s="231">
        <v>38220</v>
      </c>
      <c r="X37" s="228">
        <v>-645</v>
      </c>
      <c r="Y37" s="229">
        <v>-1.6899999999999998E-2</v>
      </c>
      <c r="Z37" s="228">
        <v>-30</v>
      </c>
      <c r="AA37" s="228">
        <v>80</v>
      </c>
      <c r="AB37" s="228">
        <v>-110</v>
      </c>
      <c r="AC37" s="229">
        <v>-8.0000000000000004E-4</v>
      </c>
      <c r="AD37" s="228">
        <v>-30</v>
      </c>
      <c r="AE37" s="228">
        <v>80</v>
      </c>
      <c r="AF37" s="228">
        <v>-110</v>
      </c>
      <c r="AG37" s="229">
        <v>-8.0000000000000004E-4</v>
      </c>
      <c r="AH37" s="228">
        <v>155</v>
      </c>
      <c r="AI37" s="228">
        <v>215</v>
      </c>
      <c r="AJ37" s="228">
        <v>-60</v>
      </c>
      <c r="AK37" s="229">
        <v>4.1000000000000003E-3</v>
      </c>
      <c r="AL37" s="228">
        <v>195</v>
      </c>
      <c r="AM37" s="228">
        <v>335</v>
      </c>
      <c r="AN37" s="228">
        <v>-140</v>
      </c>
      <c r="AO37" s="229">
        <v>5.1999999999999998E-3</v>
      </c>
      <c r="AP37" s="231">
        <v>37562.39</v>
      </c>
      <c r="AQ37" s="231">
        <v>37723.879999999997</v>
      </c>
      <c r="AR37" s="228">
        <v>0</v>
      </c>
      <c r="AS37" s="228">
        <v>641</v>
      </c>
      <c r="AT37" s="228">
        <v>155</v>
      </c>
      <c r="AU37" s="228">
        <v>486</v>
      </c>
      <c r="AV37" s="229">
        <v>3.1255999999999999</v>
      </c>
      <c r="AW37" s="228">
        <v>365</v>
      </c>
      <c r="AX37" s="228">
        <v>105</v>
      </c>
      <c r="AY37" s="228">
        <v>260</v>
      </c>
      <c r="AZ37" s="229">
        <v>2.4750999999999999</v>
      </c>
      <c r="BA37" s="228">
        <v>274</v>
      </c>
      <c r="BB37" s="228">
        <v>45</v>
      </c>
      <c r="BC37" s="228">
        <v>229</v>
      </c>
      <c r="BD37" s="229">
        <v>5.0266999999999999</v>
      </c>
      <c r="BE37" s="228">
        <v>2</v>
      </c>
      <c r="BF37" s="228">
        <v>5</v>
      </c>
      <c r="BG37" s="228">
        <v>-3</v>
      </c>
      <c r="BH37" s="229">
        <v>-0.66669999999999996</v>
      </c>
      <c r="BI37" s="228">
        <v>812</v>
      </c>
      <c r="BJ37" s="228">
        <v>752</v>
      </c>
      <c r="BK37" s="228">
        <v>60</v>
      </c>
      <c r="BL37" s="229">
        <v>8.0399999999999999E-2</v>
      </c>
      <c r="BM37" s="230">
        <v>5344</v>
      </c>
      <c r="BN37" s="230">
        <v>4308</v>
      </c>
      <c r="BO37" s="230">
        <v>1037</v>
      </c>
      <c r="BP37" s="229">
        <v>0.24060000000000001</v>
      </c>
      <c r="BQ37" s="230">
        <v>6797</v>
      </c>
      <c r="BR37" s="230">
        <v>5215</v>
      </c>
      <c r="BS37" s="230">
        <v>1583</v>
      </c>
      <c r="BT37" s="229">
        <v>0.30349999999999999</v>
      </c>
      <c r="BU37" s="230">
        <v>21547</v>
      </c>
      <c r="BV37" s="230">
        <v>28308</v>
      </c>
      <c r="BW37" s="230">
        <v>-6761</v>
      </c>
      <c r="BX37" s="229">
        <v>-0.23880000000000001</v>
      </c>
      <c r="BY37" s="230">
        <v>1015</v>
      </c>
      <c r="BZ37" s="230">
        <v>1026</v>
      </c>
      <c r="CA37" s="228">
        <v>-11</v>
      </c>
      <c r="CB37" s="229">
        <v>-1.0699999999999999E-2</v>
      </c>
      <c r="CC37" s="228">
        <v>732</v>
      </c>
      <c r="CD37" s="228">
        <v>953</v>
      </c>
      <c r="CE37" s="228">
        <v>-221</v>
      </c>
      <c r="CF37" s="229">
        <v>-0.23180000000000001</v>
      </c>
      <c r="CG37" s="228">
        <v>280</v>
      </c>
      <c r="CH37" s="228">
        <v>70</v>
      </c>
      <c r="CI37" s="228">
        <v>209</v>
      </c>
      <c r="CJ37" s="229">
        <v>2.9788000000000001</v>
      </c>
      <c r="CK37" s="228">
        <v>3</v>
      </c>
      <c r="CL37" s="228">
        <v>3</v>
      </c>
      <c r="CM37" s="228">
        <v>0</v>
      </c>
      <c r="CN37" s="229">
        <v>0.1613</v>
      </c>
      <c r="CO37" s="228">
        <v>815</v>
      </c>
      <c r="CP37" s="228">
        <v>908</v>
      </c>
      <c r="CQ37" s="228">
        <v>-93</v>
      </c>
      <c r="CR37" s="229">
        <v>-0.1026</v>
      </c>
      <c r="CS37" s="228">
        <v>811</v>
      </c>
      <c r="CT37" s="228">
        <v>846</v>
      </c>
      <c r="CU37" s="228">
        <v>-35</v>
      </c>
      <c r="CV37" s="229">
        <v>-4.1399999999999999E-2</v>
      </c>
      <c r="CW37" s="230">
        <v>2641</v>
      </c>
      <c r="CX37" s="230">
        <v>2780</v>
      </c>
      <c r="CY37" s="228">
        <v>-139</v>
      </c>
      <c r="CZ37" s="229">
        <v>-5.0099999999999999E-2</v>
      </c>
      <c r="DA37" s="228">
        <v>33.840000000000003</v>
      </c>
      <c r="DB37" s="228">
        <v>37.18</v>
      </c>
      <c r="DC37" s="228">
        <v>-3.34</v>
      </c>
      <c r="DD37" s="228">
        <v>-3.34</v>
      </c>
      <c r="DE37" s="228">
        <v>34.770000000000003</v>
      </c>
      <c r="DF37" s="228">
        <v>34.78</v>
      </c>
      <c r="DG37" s="228">
        <v>-0.93</v>
      </c>
      <c r="DH37" s="228">
        <v>-0.01</v>
      </c>
      <c r="DI37" s="228">
        <v>33.86</v>
      </c>
      <c r="DJ37" s="228">
        <v>33.24</v>
      </c>
      <c r="DK37" s="228">
        <v>0.62</v>
      </c>
      <c r="DL37" s="228">
        <v>0.62</v>
      </c>
      <c r="DM37" s="228">
        <v>33.799999999999997</v>
      </c>
      <c r="DN37" s="228">
        <v>37.869999999999997</v>
      </c>
      <c r="DO37" s="228">
        <v>-4.07</v>
      </c>
      <c r="DP37" s="228">
        <v>-4.07</v>
      </c>
      <c r="DQ37" s="228">
        <v>1</v>
      </c>
      <c r="DR37" s="228">
        <v>0.93</v>
      </c>
      <c r="DS37" s="228">
        <v>7.0000000000000007E-2</v>
      </c>
      <c r="DT37" s="229">
        <v>7.5300000000000006E-2</v>
      </c>
      <c r="DU37" s="231">
        <v>40000</v>
      </c>
      <c r="DV37" s="231">
        <v>30000</v>
      </c>
      <c r="DW37" s="228">
        <v>6.58</v>
      </c>
      <c r="DX37" s="228">
        <v>5.73</v>
      </c>
      <c r="DY37" s="228">
        <v>0.85</v>
      </c>
      <c r="DZ37" s="229">
        <v>0.14829999999999999</v>
      </c>
      <c r="EA37" s="229">
        <v>0.27889999999999998</v>
      </c>
      <c r="EB37" s="230">
        <v>19600</v>
      </c>
      <c r="EC37" s="229">
        <v>5.0000000000000001E-3</v>
      </c>
      <c r="ED37" s="229">
        <v>0.27889999999999998</v>
      </c>
      <c r="EE37" s="228">
        <v>161.49</v>
      </c>
      <c r="EF37" s="229">
        <v>4.3E-3</v>
      </c>
      <c r="EG37" s="230">
        <v>7598</v>
      </c>
      <c r="EH37" s="230">
        <v>13224</v>
      </c>
      <c r="EI37" s="229">
        <v>-0.4254</v>
      </c>
      <c r="EJ37" s="229">
        <v>0.35260000000000002</v>
      </c>
      <c r="EK37" s="228">
        <v>853.37</v>
      </c>
      <c r="EL37" s="231">
        <v>4363.58</v>
      </c>
      <c r="EM37" s="228">
        <v>645.86</v>
      </c>
      <c r="EN37" s="228">
        <v>14.71</v>
      </c>
      <c r="EO37" s="231">
        <v>5862.81</v>
      </c>
      <c r="EP37" s="231">
        <v>4447.95</v>
      </c>
      <c r="EQ37" s="231">
        <v>1414.87</v>
      </c>
      <c r="ER37" s="229">
        <v>0.31809999999999999</v>
      </c>
      <c r="ES37" s="228">
        <v>804.74</v>
      </c>
      <c r="ET37" s="228">
        <v>714.31</v>
      </c>
      <c r="EU37" s="231">
        <v>1016.58</v>
      </c>
      <c r="EV37" s="231">
        <v>868841</v>
      </c>
      <c r="EW37" s="231">
        <v>2535.63</v>
      </c>
      <c r="EX37" s="231">
        <v>2696.11</v>
      </c>
      <c r="EY37" s="228">
        <v>-160.47999999999999</v>
      </c>
      <c r="EZ37" s="229">
        <v>-5.9499999999999997E-2</v>
      </c>
      <c r="FA37" s="229">
        <v>0.81389999999999996</v>
      </c>
      <c r="FB37" s="227" t="s">
        <v>567</v>
      </c>
      <c r="FC37">
        <f t="shared" si="0"/>
        <v>283</v>
      </c>
    </row>
    <row r="38" spans="1:159" ht="17.25" thickBot="1" x14ac:dyDescent="0.3">
      <c r="A38" s="226">
        <v>46135</v>
      </c>
      <c r="B38" s="227" t="s">
        <v>193</v>
      </c>
      <c r="C38" s="227" t="s">
        <v>194</v>
      </c>
      <c r="D38" s="228">
        <v>1975</v>
      </c>
      <c r="E38" s="228">
        <v>5</v>
      </c>
      <c r="F38" s="228">
        <v>310.5</v>
      </c>
      <c r="G38" s="228">
        <v>314.5</v>
      </c>
      <c r="H38" s="228">
        <v>-4</v>
      </c>
      <c r="I38" s="229">
        <v>-1.2699999999999999E-2</v>
      </c>
      <c r="J38" s="228">
        <v>309.8</v>
      </c>
      <c r="K38" s="228">
        <v>314.39999999999998</v>
      </c>
      <c r="L38" s="228">
        <v>-4.5999999999999996</v>
      </c>
      <c r="M38" s="229">
        <v>-1.46E-2</v>
      </c>
      <c r="N38" s="228">
        <v>310.5</v>
      </c>
      <c r="O38" s="228">
        <v>314.5</v>
      </c>
      <c r="P38" s="228">
        <v>-4</v>
      </c>
      <c r="Q38" s="229">
        <v>-1.2699999999999999E-2</v>
      </c>
      <c r="R38" s="228">
        <v>311.95</v>
      </c>
      <c r="S38" s="228">
        <v>316.05</v>
      </c>
      <c r="T38" s="228">
        <v>-4.0999999999999996</v>
      </c>
      <c r="U38" s="229">
        <v>-1.2999999999999999E-2</v>
      </c>
      <c r="V38" s="228">
        <v>313.85000000000002</v>
      </c>
      <c r="W38" s="228">
        <v>317.85000000000002</v>
      </c>
      <c r="X38" s="228">
        <v>-4</v>
      </c>
      <c r="Y38" s="229">
        <v>-1.26E-2</v>
      </c>
      <c r="Z38" s="228">
        <v>0.7</v>
      </c>
      <c r="AA38" s="228">
        <v>0.1</v>
      </c>
      <c r="AB38" s="228">
        <v>0.6</v>
      </c>
      <c r="AC38" s="229">
        <v>2.3E-3</v>
      </c>
      <c r="AD38" s="228">
        <v>0.7</v>
      </c>
      <c r="AE38" s="228">
        <v>0.1</v>
      </c>
      <c r="AF38" s="228">
        <v>0.6</v>
      </c>
      <c r="AG38" s="229">
        <v>2.3E-3</v>
      </c>
      <c r="AH38" s="228">
        <v>2.15</v>
      </c>
      <c r="AI38" s="228">
        <v>1.65</v>
      </c>
      <c r="AJ38" s="228">
        <v>0.5</v>
      </c>
      <c r="AK38" s="229">
        <v>6.8999999999999999E-3</v>
      </c>
      <c r="AL38" s="228">
        <v>4.05</v>
      </c>
      <c r="AM38" s="228">
        <v>3.45</v>
      </c>
      <c r="AN38" s="228">
        <v>0.6</v>
      </c>
      <c r="AO38" s="229">
        <v>1.3100000000000001E-2</v>
      </c>
      <c r="AP38" s="228">
        <v>311.77</v>
      </c>
      <c r="AQ38" s="228">
        <v>313.37</v>
      </c>
      <c r="AR38" s="228">
        <v>0</v>
      </c>
      <c r="AS38" s="228">
        <v>821</v>
      </c>
      <c r="AT38" s="228">
        <v>398</v>
      </c>
      <c r="AU38" s="228">
        <v>423</v>
      </c>
      <c r="AV38" s="229">
        <v>1.0634999999999999</v>
      </c>
      <c r="AW38" s="228">
        <v>437</v>
      </c>
      <c r="AX38" s="228">
        <v>226</v>
      </c>
      <c r="AY38" s="228">
        <v>211</v>
      </c>
      <c r="AZ38" s="229">
        <v>0.93330000000000002</v>
      </c>
      <c r="BA38" s="228">
        <v>364</v>
      </c>
      <c r="BB38" s="228">
        <v>84</v>
      </c>
      <c r="BC38" s="228">
        <v>280</v>
      </c>
      <c r="BD38" s="229">
        <v>3.3197000000000001</v>
      </c>
      <c r="BE38" s="228">
        <v>20</v>
      </c>
      <c r="BF38" s="228">
        <v>88</v>
      </c>
      <c r="BG38" s="228">
        <v>-67</v>
      </c>
      <c r="BH38" s="229">
        <v>-0.77080000000000004</v>
      </c>
      <c r="BI38" s="228">
        <v>738</v>
      </c>
      <c r="BJ38" s="228">
        <v>773</v>
      </c>
      <c r="BK38" s="228">
        <v>-34</v>
      </c>
      <c r="BL38" s="229">
        <v>-4.4400000000000002E-2</v>
      </c>
      <c r="BM38" s="228">
        <v>629</v>
      </c>
      <c r="BN38" s="228">
        <v>409</v>
      </c>
      <c r="BO38" s="228">
        <v>220</v>
      </c>
      <c r="BP38" s="229">
        <v>0.53759999999999997</v>
      </c>
      <c r="BQ38" s="230">
        <v>2188</v>
      </c>
      <c r="BR38" s="230">
        <v>1579</v>
      </c>
      <c r="BS38" s="228">
        <v>609</v>
      </c>
      <c r="BT38" s="229">
        <v>0.38529999999999998</v>
      </c>
      <c r="BU38" s="230">
        <v>8955357</v>
      </c>
      <c r="BV38" s="230">
        <v>7673018</v>
      </c>
      <c r="BW38" s="230">
        <v>1282339</v>
      </c>
      <c r="BX38" s="229">
        <v>0.1671</v>
      </c>
      <c r="BY38" s="230">
        <v>1739</v>
      </c>
      <c r="BZ38" s="230">
        <v>1720</v>
      </c>
      <c r="CA38" s="228">
        <v>19</v>
      </c>
      <c r="CB38" s="229">
        <v>1.11E-2</v>
      </c>
      <c r="CC38" s="230">
        <v>1158</v>
      </c>
      <c r="CD38" s="230">
        <v>1440</v>
      </c>
      <c r="CE38" s="228">
        <v>-281</v>
      </c>
      <c r="CF38" s="229">
        <v>-0.19550000000000001</v>
      </c>
      <c r="CG38" s="228">
        <v>474</v>
      </c>
      <c r="CH38" s="228">
        <v>189</v>
      </c>
      <c r="CI38" s="228">
        <v>285</v>
      </c>
      <c r="CJ38" s="229">
        <v>1.5055000000000001</v>
      </c>
      <c r="CK38" s="228">
        <v>107</v>
      </c>
      <c r="CL38" s="228">
        <v>91</v>
      </c>
      <c r="CM38" s="228">
        <v>15</v>
      </c>
      <c r="CN38" s="229">
        <v>0.1696</v>
      </c>
      <c r="CO38" s="228">
        <v>929</v>
      </c>
      <c r="CP38" s="228">
        <v>918</v>
      </c>
      <c r="CQ38" s="228">
        <v>11</v>
      </c>
      <c r="CR38" s="229">
        <v>1.2500000000000001E-2</v>
      </c>
      <c r="CS38" s="228">
        <v>684</v>
      </c>
      <c r="CT38" s="228">
        <v>713</v>
      </c>
      <c r="CU38" s="228">
        <v>-29</v>
      </c>
      <c r="CV38" s="229">
        <v>-4.0800000000000003E-2</v>
      </c>
      <c r="CW38" s="230">
        <v>3353</v>
      </c>
      <c r="CX38" s="230">
        <v>3351</v>
      </c>
      <c r="CY38" s="228">
        <v>2</v>
      </c>
      <c r="CZ38" s="229">
        <v>5.0000000000000001E-4</v>
      </c>
      <c r="DA38" s="228">
        <v>40.909999999999997</v>
      </c>
      <c r="DB38" s="228">
        <v>39.18</v>
      </c>
      <c r="DC38" s="228">
        <v>1.73</v>
      </c>
      <c r="DD38" s="228">
        <v>1.73</v>
      </c>
      <c r="DE38" s="228">
        <v>37.07</v>
      </c>
      <c r="DF38" s="228">
        <v>37.130000000000003</v>
      </c>
      <c r="DG38" s="228">
        <v>3.84</v>
      </c>
      <c r="DH38" s="228">
        <v>-0.06</v>
      </c>
      <c r="DI38" s="228">
        <v>40.83</v>
      </c>
      <c r="DJ38" s="228">
        <v>39.869999999999997</v>
      </c>
      <c r="DK38" s="228">
        <v>0.96</v>
      </c>
      <c r="DL38" s="228">
        <v>0.96</v>
      </c>
      <c r="DM38" s="228">
        <v>41.08</v>
      </c>
      <c r="DN38" s="228">
        <v>37.869999999999997</v>
      </c>
      <c r="DO38" s="228">
        <v>3.21</v>
      </c>
      <c r="DP38" s="228">
        <v>3.21</v>
      </c>
      <c r="DQ38" s="228">
        <v>0.74</v>
      </c>
      <c r="DR38" s="228">
        <v>0.78</v>
      </c>
      <c r="DS38" s="228">
        <v>-0.04</v>
      </c>
      <c r="DT38" s="229">
        <v>-5.1299999999999998E-2</v>
      </c>
      <c r="DU38" s="228">
        <v>350</v>
      </c>
      <c r="DV38" s="228">
        <v>300</v>
      </c>
      <c r="DW38" s="228">
        <v>0.85</v>
      </c>
      <c r="DX38" s="228">
        <v>0.53</v>
      </c>
      <c r="DY38" s="228">
        <v>0.32</v>
      </c>
      <c r="DZ38" s="229">
        <v>0.6038</v>
      </c>
      <c r="EA38" s="229">
        <v>0.33410000000000001</v>
      </c>
      <c r="EB38" s="230">
        <v>9033650</v>
      </c>
      <c r="EC38" s="229">
        <v>4.7000000000000002E-3</v>
      </c>
      <c r="ED38" s="229">
        <v>0.33410000000000001</v>
      </c>
      <c r="EE38" s="228">
        <v>1.6</v>
      </c>
      <c r="EF38" s="229">
        <v>5.1000000000000004E-3</v>
      </c>
      <c r="EG38" s="230">
        <v>4791535</v>
      </c>
      <c r="EH38" s="230">
        <v>4170895</v>
      </c>
      <c r="EI38" s="229">
        <v>0.14879999999999999</v>
      </c>
      <c r="EJ38" s="229">
        <v>0.53500000000000003</v>
      </c>
      <c r="EK38" s="228">
        <v>782.69</v>
      </c>
      <c r="EL38" s="228">
        <v>625.64</v>
      </c>
      <c r="EM38" s="228">
        <v>826.2</v>
      </c>
      <c r="EN38" s="228">
        <v>47.18</v>
      </c>
      <c r="EO38" s="231">
        <v>2234.52</v>
      </c>
      <c r="EP38" s="231">
        <v>1639.37</v>
      </c>
      <c r="EQ38" s="228">
        <v>595.15</v>
      </c>
      <c r="ER38" s="229">
        <v>0.36299999999999999</v>
      </c>
      <c r="ES38" s="228">
        <v>971.36</v>
      </c>
      <c r="ET38" s="228">
        <v>645.71</v>
      </c>
      <c r="EU38" s="231">
        <v>1742.63</v>
      </c>
      <c r="EV38" s="231">
        <v>306020745</v>
      </c>
      <c r="EW38" s="231">
        <v>3359.7</v>
      </c>
      <c r="EX38" s="231">
        <v>3380.5</v>
      </c>
      <c r="EY38" s="228">
        <v>-20.8</v>
      </c>
      <c r="EZ38" s="229">
        <v>-6.1999999999999998E-3</v>
      </c>
      <c r="FA38" s="229">
        <v>0.3528</v>
      </c>
      <c r="FB38" s="227" t="s">
        <v>566</v>
      </c>
      <c r="FC38">
        <f t="shared" si="0"/>
        <v>581</v>
      </c>
    </row>
    <row r="39" spans="1:159" ht="17.25" thickBot="1" x14ac:dyDescent="0.3">
      <c r="A39" s="226">
        <v>46135</v>
      </c>
      <c r="B39" s="227" t="s">
        <v>168</v>
      </c>
      <c r="C39" s="227" t="s">
        <v>195</v>
      </c>
      <c r="D39" s="228">
        <v>125</v>
      </c>
      <c r="E39" s="228">
        <v>5</v>
      </c>
      <c r="F39" s="231">
        <v>5676</v>
      </c>
      <c r="G39" s="231">
        <v>5737</v>
      </c>
      <c r="H39" s="228">
        <v>-61</v>
      </c>
      <c r="I39" s="229">
        <v>-1.06E-2</v>
      </c>
      <c r="J39" s="231">
        <v>5671.5</v>
      </c>
      <c r="K39" s="231">
        <v>5729.5</v>
      </c>
      <c r="L39" s="228">
        <v>-58</v>
      </c>
      <c r="M39" s="229">
        <v>-1.01E-2</v>
      </c>
      <c r="N39" s="231">
        <v>5676</v>
      </c>
      <c r="O39" s="231">
        <v>5737</v>
      </c>
      <c r="P39" s="228">
        <v>-61</v>
      </c>
      <c r="Q39" s="229">
        <v>-1.06E-2</v>
      </c>
      <c r="R39" s="231">
        <v>5707</v>
      </c>
      <c r="S39" s="231">
        <v>5765</v>
      </c>
      <c r="T39" s="228">
        <v>-58</v>
      </c>
      <c r="U39" s="229">
        <v>-1.01E-2</v>
      </c>
      <c r="V39" s="231">
        <v>5737</v>
      </c>
      <c r="W39" s="231">
        <v>5800.5</v>
      </c>
      <c r="X39" s="228">
        <v>-63.5</v>
      </c>
      <c r="Y39" s="229">
        <v>-1.09E-2</v>
      </c>
      <c r="Z39" s="228">
        <v>4.5</v>
      </c>
      <c r="AA39" s="228">
        <v>7.5</v>
      </c>
      <c r="AB39" s="228">
        <v>-3</v>
      </c>
      <c r="AC39" s="229">
        <v>8.0000000000000004E-4</v>
      </c>
      <c r="AD39" s="228">
        <v>4.5</v>
      </c>
      <c r="AE39" s="228">
        <v>7.5</v>
      </c>
      <c r="AF39" s="228">
        <v>-3</v>
      </c>
      <c r="AG39" s="229">
        <v>8.0000000000000004E-4</v>
      </c>
      <c r="AH39" s="228">
        <v>35.5</v>
      </c>
      <c r="AI39" s="228">
        <v>35.5</v>
      </c>
      <c r="AJ39" s="228">
        <v>0</v>
      </c>
      <c r="AK39" s="229">
        <v>6.3E-3</v>
      </c>
      <c r="AL39" s="228">
        <v>65.5</v>
      </c>
      <c r="AM39" s="228">
        <v>71</v>
      </c>
      <c r="AN39" s="228">
        <v>-5.5</v>
      </c>
      <c r="AO39" s="229">
        <v>1.15E-2</v>
      </c>
      <c r="AP39" s="231">
        <v>5677.05</v>
      </c>
      <c r="AQ39" s="231">
        <v>5711.02</v>
      </c>
      <c r="AR39" s="228">
        <v>0</v>
      </c>
      <c r="AS39" s="230">
        <v>1212</v>
      </c>
      <c r="AT39" s="228">
        <v>782</v>
      </c>
      <c r="AU39" s="228">
        <v>430</v>
      </c>
      <c r="AV39" s="229">
        <v>0.55030000000000001</v>
      </c>
      <c r="AW39" s="228">
        <v>633</v>
      </c>
      <c r="AX39" s="228">
        <v>504</v>
      </c>
      <c r="AY39" s="228">
        <v>130</v>
      </c>
      <c r="AZ39" s="229">
        <v>0.25750000000000001</v>
      </c>
      <c r="BA39" s="228">
        <v>508</v>
      </c>
      <c r="BB39" s="228">
        <v>165</v>
      </c>
      <c r="BC39" s="228">
        <v>344</v>
      </c>
      <c r="BD39" s="229">
        <v>2.0851999999999999</v>
      </c>
      <c r="BE39" s="228">
        <v>70</v>
      </c>
      <c r="BF39" s="228">
        <v>113</v>
      </c>
      <c r="BG39" s="228">
        <v>-43</v>
      </c>
      <c r="BH39" s="229">
        <v>-0.38069999999999998</v>
      </c>
      <c r="BI39" s="228">
        <v>981</v>
      </c>
      <c r="BJ39" s="230">
        <v>2479</v>
      </c>
      <c r="BK39" s="230">
        <v>-1498</v>
      </c>
      <c r="BL39" s="229">
        <v>-0.60429999999999995</v>
      </c>
      <c r="BM39" s="228">
        <v>414</v>
      </c>
      <c r="BN39" s="228">
        <v>828</v>
      </c>
      <c r="BO39" s="228">
        <v>-414</v>
      </c>
      <c r="BP39" s="229">
        <v>-0.49969999999999998</v>
      </c>
      <c r="BQ39" s="230">
        <v>2607</v>
      </c>
      <c r="BR39" s="230">
        <v>4089</v>
      </c>
      <c r="BS39" s="230">
        <v>-1482</v>
      </c>
      <c r="BT39" s="229">
        <v>-0.36230000000000001</v>
      </c>
      <c r="BU39" s="230">
        <v>1028091</v>
      </c>
      <c r="BV39" s="230">
        <v>970306</v>
      </c>
      <c r="BW39" s="230">
        <v>57785</v>
      </c>
      <c r="BX39" s="229">
        <v>5.96E-2</v>
      </c>
      <c r="BY39" s="230">
        <v>1732</v>
      </c>
      <c r="BZ39" s="230">
        <v>1718</v>
      </c>
      <c r="CA39" s="228">
        <v>13</v>
      </c>
      <c r="CB39" s="229">
        <v>7.7000000000000002E-3</v>
      </c>
      <c r="CC39" s="228">
        <v>945</v>
      </c>
      <c r="CD39" s="230">
        <v>1428</v>
      </c>
      <c r="CE39" s="228">
        <v>-483</v>
      </c>
      <c r="CF39" s="229">
        <v>-0.33829999999999999</v>
      </c>
      <c r="CG39" s="228">
        <v>608</v>
      </c>
      <c r="CH39" s="228">
        <v>179</v>
      </c>
      <c r="CI39" s="228">
        <v>429</v>
      </c>
      <c r="CJ39" s="229">
        <v>2.3936999999999999</v>
      </c>
      <c r="CK39" s="228">
        <v>179</v>
      </c>
      <c r="CL39" s="228">
        <v>112</v>
      </c>
      <c r="CM39" s="228">
        <v>67</v>
      </c>
      <c r="CN39" s="229">
        <v>0.60429999999999995</v>
      </c>
      <c r="CO39" s="228">
        <v>543</v>
      </c>
      <c r="CP39" s="228">
        <v>576</v>
      </c>
      <c r="CQ39" s="228">
        <v>-33</v>
      </c>
      <c r="CR39" s="229">
        <v>-5.67E-2</v>
      </c>
      <c r="CS39" s="228">
        <v>401</v>
      </c>
      <c r="CT39" s="228">
        <v>405</v>
      </c>
      <c r="CU39" s="228">
        <v>-5</v>
      </c>
      <c r="CV39" s="229">
        <v>-1.12E-2</v>
      </c>
      <c r="CW39" s="230">
        <v>2675</v>
      </c>
      <c r="CX39" s="230">
        <v>2699</v>
      </c>
      <c r="CY39" s="228">
        <v>-24</v>
      </c>
      <c r="CZ39" s="229">
        <v>-8.8999999999999999E-3</v>
      </c>
      <c r="DA39" s="228">
        <v>30.17</v>
      </c>
      <c r="DB39" s="228">
        <v>28.64</v>
      </c>
      <c r="DC39" s="228">
        <v>1.53</v>
      </c>
      <c r="DD39" s="228">
        <v>1.53</v>
      </c>
      <c r="DE39" s="228">
        <v>24.93</v>
      </c>
      <c r="DF39" s="228">
        <v>24.96</v>
      </c>
      <c r="DG39" s="228">
        <v>5.24</v>
      </c>
      <c r="DH39" s="228">
        <v>-0.03</v>
      </c>
      <c r="DI39" s="228">
        <v>30.34</v>
      </c>
      <c r="DJ39" s="228">
        <v>29.19</v>
      </c>
      <c r="DK39" s="228">
        <v>1.1499999999999999</v>
      </c>
      <c r="DL39" s="228">
        <v>1.1499999999999999</v>
      </c>
      <c r="DM39" s="228">
        <v>29.68</v>
      </c>
      <c r="DN39" s="228">
        <v>26.98</v>
      </c>
      <c r="DO39" s="228">
        <v>2.7</v>
      </c>
      <c r="DP39" s="228">
        <v>2.7</v>
      </c>
      <c r="DQ39" s="228">
        <v>0.74</v>
      </c>
      <c r="DR39" s="228">
        <v>0.7</v>
      </c>
      <c r="DS39" s="228">
        <v>0.04</v>
      </c>
      <c r="DT39" s="229">
        <v>5.7099999999999998E-2</v>
      </c>
      <c r="DU39" s="231">
        <v>5800</v>
      </c>
      <c r="DV39" s="231">
        <v>5000</v>
      </c>
      <c r="DW39" s="228">
        <v>0.42</v>
      </c>
      <c r="DX39" s="228">
        <v>0.33</v>
      </c>
      <c r="DY39" s="228">
        <v>0.09</v>
      </c>
      <c r="DZ39" s="229">
        <v>0.2727</v>
      </c>
      <c r="EA39" s="229">
        <v>0.45450000000000002</v>
      </c>
      <c r="EB39" s="230">
        <v>512125</v>
      </c>
      <c r="EC39" s="229">
        <v>5.4999999999999997E-3</v>
      </c>
      <c r="ED39" s="229">
        <v>0.45450000000000002</v>
      </c>
      <c r="EE39" s="228">
        <v>33.97</v>
      </c>
      <c r="EF39" s="229">
        <v>6.0000000000000001E-3</v>
      </c>
      <c r="EG39" s="230">
        <v>874946</v>
      </c>
      <c r="EH39" s="230">
        <v>675782</v>
      </c>
      <c r="EI39" s="229">
        <v>0.29470000000000002</v>
      </c>
      <c r="EJ39" s="229">
        <v>0.85099999999999998</v>
      </c>
      <c r="EK39" s="231">
        <v>1021.08</v>
      </c>
      <c r="EL39" s="228">
        <v>409.17</v>
      </c>
      <c r="EM39" s="231">
        <v>1215.81</v>
      </c>
      <c r="EN39" s="228">
        <v>49.81</v>
      </c>
      <c r="EO39" s="231">
        <v>2646.07</v>
      </c>
      <c r="EP39" s="231">
        <v>4247.87</v>
      </c>
      <c r="EQ39" s="231">
        <v>-1601.8</v>
      </c>
      <c r="ER39" s="229">
        <v>-0.37709999999999999</v>
      </c>
      <c r="ES39" s="228">
        <v>563.98</v>
      </c>
      <c r="ET39" s="228">
        <v>378.49</v>
      </c>
      <c r="EU39" s="231">
        <v>1736.78</v>
      </c>
      <c r="EV39" s="231">
        <v>14553559</v>
      </c>
      <c r="EW39" s="231">
        <v>2679.25</v>
      </c>
      <c r="EX39" s="231">
        <v>2720.66</v>
      </c>
      <c r="EY39" s="228">
        <v>-41.41</v>
      </c>
      <c r="EZ39" s="229">
        <v>-1.52E-2</v>
      </c>
      <c r="FA39" s="229">
        <v>0.32390000000000002</v>
      </c>
      <c r="FB39" s="227" t="s">
        <v>566</v>
      </c>
      <c r="FC39">
        <f t="shared" si="0"/>
        <v>787</v>
      </c>
    </row>
    <row r="40" spans="1:159" ht="17.25" thickBot="1" x14ac:dyDescent="0.3">
      <c r="A40" s="226">
        <v>46135</v>
      </c>
      <c r="B40" s="227" t="s">
        <v>175</v>
      </c>
      <c r="C40" s="227" t="s">
        <v>583</v>
      </c>
      <c r="D40" s="228">
        <v>375</v>
      </c>
      <c r="E40" s="228">
        <v>5</v>
      </c>
      <c r="F40" s="231">
        <v>3471.5</v>
      </c>
      <c r="G40" s="231">
        <v>3505.6</v>
      </c>
      <c r="H40" s="228">
        <v>-34.1</v>
      </c>
      <c r="I40" s="229">
        <v>-9.7000000000000003E-3</v>
      </c>
      <c r="J40" s="231">
        <v>3463</v>
      </c>
      <c r="K40" s="231">
        <v>3499.2</v>
      </c>
      <c r="L40" s="228">
        <v>-36.200000000000003</v>
      </c>
      <c r="M40" s="229">
        <v>-1.03E-2</v>
      </c>
      <c r="N40" s="231">
        <v>3471.5</v>
      </c>
      <c r="O40" s="231">
        <v>3505.6</v>
      </c>
      <c r="P40" s="228">
        <v>-34.1</v>
      </c>
      <c r="Q40" s="229">
        <v>-9.7000000000000003E-3</v>
      </c>
      <c r="R40" s="231">
        <v>3483.8</v>
      </c>
      <c r="S40" s="231">
        <v>3518.4</v>
      </c>
      <c r="T40" s="228">
        <v>-34.6</v>
      </c>
      <c r="U40" s="229">
        <v>-9.7999999999999997E-3</v>
      </c>
      <c r="V40" s="231">
        <v>3495</v>
      </c>
      <c r="W40" s="231">
        <v>3526.3</v>
      </c>
      <c r="X40" s="228">
        <v>-31.3</v>
      </c>
      <c r="Y40" s="229">
        <v>-8.8999999999999999E-3</v>
      </c>
      <c r="Z40" s="228">
        <v>8.5</v>
      </c>
      <c r="AA40" s="228">
        <v>6.4</v>
      </c>
      <c r="AB40" s="228">
        <v>2.1</v>
      </c>
      <c r="AC40" s="229">
        <v>2.5000000000000001E-3</v>
      </c>
      <c r="AD40" s="228">
        <v>8.5</v>
      </c>
      <c r="AE40" s="228">
        <v>6.4</v>
      </c>
      <c r="AF40" s="228">
        <v>2.1</v>
      </c>
      <c r="AG40" s="229">
        <v>2.5000000000000001E-3</v>
      </c>
      <c r="AH40" s="228">
        <v>20.8</v>
      </c>
      <c r="AI40" s="228">
        <v>19.2</v>
      </c>
      <c r="AJ40" s="228">
        <v>1.6</v>
      </c>
      <c r="AK40" s="229">
        <v>6.0000000000000001E-3</v>
      </c>
      <c r="AL40" s="228">
        <v>32</v>
      </c>
      <c r="AM40" s="228">
        <v>27.1</v>
      </c>
      <c r="AN40" s="228">
        <v>4.9000000000000004</v>
      </c>
      <c r="AO40" s="229">
        <v>9.1999999999999998E-3</v>
      </c>
      <c r="AP40" s="231">
        <v>3478.79</v>
      </c>
      <c r="AQ40" s="231">
        <v>3492.88</v>
      </c>
      <c r="AR40" s="228">
        <v>0</v>
      </c>
      <c r="AS40" s="230">
        <v>1602</v>
      </c>
      <c r="AT40" s="228">
        <v>642</v>
      </c>
      <c r="AU40" s="228">
        <v>960</v>
      </c>
      <c r="AV40" s="229">
        <v>1.4950000000000001</v>
      </c>
      <c r="AW40" s="228">
        <v>882</v>
      </c>
      <c r="AX40" s="228">
        <v>438</v>
      </c>
      <c r="AY40" s="228">
        <v>444</v>
      </c>
      <c r="AZ40" s="229">
        <v>1.0137</v>
      </c>
      <c r="BA40" s="228">
        <v>708</v>
      </c>
      <c r="BB40" s="228">
        <v>183</v>
      </c>
      <c r="BC40" s="228">
        <v>525</v>
      </c>
      <c r="BD40" s="229">
        <v>2.8683999999999998</v>
      </c>
      <c r="BE40" s="228">
        <v>11</v>
      </c>
      <c r="BF40" s="228">
        <v>21</v>
      </c>
      <c r="BG40" s="228">
        <v>-9</v>
      </c>
      <c r="BH40" s="229">
        <v>-0.45</v>
      </c>
      <c r="BI40" s="230">
        <v>3952</v>
      </c>
      <c r="BJ40" s="230">
        <v>3288</v>
      </c>
      <c r="BK40" s="228">
        <v>664</v>
      </c>
      <c r="BL40" s="229">
        <v>0.2021</v>
      </c>
      <c r="BM40" s="230">
        <v>3816</v>
      </c>
      <c r="BN40" s="230">
        <v>3556</v>
      </c>
      <c r="BO40" s="228">
        <v>260</v>
      </c>
      <c r="BP40" s="229">
        <v>7.2999999999999995E-2</v>
      </c>
      <c r="BQ40" s="230">
        <v>9369</v>
      </c>
      <c r="BR40" s="230">
        <v>7486</v>
      </c>
      <c r="BS40" s="230">
        <v>1884</v>
      </c>
      <c r="BT40" s="229">
        <v>0.25159999999999999</v>
      </c>
      <c r="BU40" s="230">
        <v>2373666</v>
      </c>
      <c r="BV40" s="230">
        <v>1771183</v>
      </c>
      <c r="BW40" s="230">
        <v>602483</v>
      </c>
      <c r="BX40" s="229">
        <v>0.3402</v>
      </c>
      <c r="BY40" s="230">
        <v>2980</v>
      </c>
      <c r="BZ40" s="230">
        <v>2897</v>
      </c>
      <c r="CA40" s="228">
        <v>83</v>
      </c>
      <c r="CB40" s="229">
        <v>2.8799999999999999E-2</v>
      </c>
      <c r="CC40" s="230">
        <v>1871</v>
      </c>
      <c r="CD40" s="230">
        <v>2279</v>
      </c>
      <c r="CE40" s="228">
        <v>-408</v>
      </c>
      <c r="CF40" s="229">
        <v>-0.17910000000000001</v>
      </c>
      <c r="CG40" s="230">
        <v>1046</v>
      </c>
      <c r="CH40" s="228">
        <v>558</v>
      </c>
      <c r="CI40" s="228">
        <v>488</v>
      </c>
      <c r="CJ40" s="229">
        <v>0.87539999999999996</v>
      </c>
      <c r="CK40" s="228">
        <v>63</v>
      </c>
      <c r="CL40" s="228">
        <v>60</v>
      </c>
      <c r="CM40" s="228">
        <v>3</v>
      </c>
      <c r="CN40" s="229">
        <v>4.9700000000000001E-2</v>
      </c>
      <c r="CO40" s="230">
        <v>2804</v>
      </c>
      <c r="CP40" s="230">
        <v>2915</v>
      </c>
      <c r="CQ40" s="228">
        <v>-112</v>
      </c>
      <c r="CR40" s="229">
        <v>-3.8300000000000001E-2</v>
      </c>
      <c r="CS40" s="230">
        <v>3083</v>
      </c>
      <c r="CT40" s="230">
        <v>3322</v>
      </c>
      <c r="CU40" s="228">
        <v>-239</v>
      </c>
      <c r="CV40" s="229">
        <v>-7.1999999999999995E-2</v>
      </c>
      <c r="CW40" s="230">
        <v>8867</v>
      </c>
      <c r="CX40" s="230">
        <v>9135</v>
      </c>
      <c r="CY40" s="228">
        <v>-268</v>
      </c>
      <c r="CZ40" s="229">
        <v>-2.93E-2</v>
      </c>
      <c r="DA40" s="228">
        <v>43.39</v>
      </c>
      <c r="DB40" s="228">
        <v>39.1</v>
      </c>
      <c r="DC40" s="228">
        <v>4.29</v>
      </c>
      <c r="DD40" s="228">
        <v>4.29</v>
      </c>
      <c r="DE40" s="228">
        <v>58.72</v>
      </c>
      <c r="DF40" s="228">
        <v>58.85</v>
      </c>
      <c r="DG40" s="228">
        <v>-15.33</v>
      </c>
      <c r="DH40" s="228">
        <v>-0.13</v>
      </c>
      <c r="DI40" s="228">
        <v>42.08</v>
      </c>
      <c r="DJ40" s="228">
        <v>36.950000000000003</v>
      </c>
      <c r="DK40" s="228">
        <v>5.13</v>
      </c>
      <c r="DL40" s="228">
        <v>5.13</v>
      </c>
      <c r="DM40" s="228">
        <v>44.62</v>
      </c>
      <c r="DN40" s="228">
        <v>41.1</v>
      </c>
      <c r="DO40" s="228">
        <v>3.52</v>
      </c>
      <c r="DP40" s="228">
        <v>3.52</v>
      </c>
      <c r="DQ40" s="228">
        <v>1.1000000000000001</v>
      </c>
      <c r="DR40" s="228">
        <v>1.1399999999999999</v>
      </c>
      <c r="DS40" s="228">
        <v>-0.04</v>
      </c>
      <c r="DT40" s="229">
        <v>-3.5099999999999999E-2</v>
      </c>
      <c r="DU40" s="231">
        <v>3500</v>
      </c>
      <c r="DV40" s="231">
        <v>3200</v>
      </c>
      <c r="DW40" s="228">
        <v>0.97</v>
      </c>
      <c r="DX40" s="228">
        <v>1.08</v>
      </c>
      <c r="DY40" s="228">
        <v>-0.11</v>
      </c>
      <c r="DZ40" s="229">
        <v>-0.1019</v>
      </c>
      <c r="EA40" s="229">
        <v>0.37230000000000002</v>
      </c>
      <c r="EB40" s="230">
        <v>1780875</v>
      </c>
      <c r="EC40" s="229">
        <v>3.5000000000000001E-3</v>
      </c>
      <c r="ED40" s="229">
        <v>0.37230000000000002</v>
      </c>
      <c r="EE40" s="228">
        <v>14.09</v>
      </c>
      <c r="EF40" s="229">
        <v>4.1000000000000003E-3</v>
      </c>
      <c r="EG40" s="230">
        <v>1006041</v>
      </c>
      <c r="EH40" s="230">
        <v>437117</v>
      </c>
      <c r="EI40" s="229">
        <v>1.3015000000000001</v>
      </c>
      <c r="EJ40" s="229">
        <v>0.42380000000000001</v>
      </c>
      <c r="EK40" s="231">
        <v>4122.28</v>
      </c>
      <c r="EL40" s="231">
        <v>3697.8</v>
      </c>
      <c r="EM40" s="231">
        <v>1607.93</v>
      </c>
      <c r="EN40" s="228">
        <v>86.8</v>
      </c>
      <c r="EO40" s="231">
        <v>9428.01</v>
      </c>
      <c r="EP40" s="231">
        <v>7539.22</v>
      </c>
      <c r="EQ40" s="231">
        <v>1888.79</v>
      </c>
      <c r="ER40" s="229">
        <v>0.2505</v>
      </c>
      <c r="ES40" s="231">
        <v>2727.68</v>
      </c>
      <c r="ET40" s="231">
        <v>2738.45</v>
      </c>
      <c r="EU40" s="231">
        <v>2984.51</v>
      </c>
      <c r="EV40" s="231">
        <v>61182611</v>
      </c>
      <c r="EW40" s="231">
        <v>8450.6299999999992</v>
      </c>
      <c r="EX40" s="231">
        <v>8719.34</v>
      </c>
      <c r="EY40" s="228">
        <v>-268.70999999999998</v>
      </c>
      <c r="EZ40" s="229">
        <v>-3.0800000000000001E-2</v>
      </c>
      <c r="FA40" s="229">
        <v>0.41749999999999998</v>
      </c>
      <c r="FB40" s="227" t="s">
        <v>566</v>
      </c>
      <c r="FC40">
        <f t="shared" si="0"/>
        <v>1109</v>
      </c>
    </row>
    <row r="41" spans="1:159" ht="17.25" thickBot="1" x14ac:dyDescent="0.3">
      <c r="A41" s="226">
        <v>46135</v>
      </c>
      <c r="B41" s="227" t="s">
        <v>175</v>
      </c>
      <c r="C41" s="227" t="s">
        <v>610</v>
      </c>
      <c r="D41" s="228">
        <v>750</v>
      </c>
      <c r="E41" s="228">
        <v>5</v>
      </c>
      <c r="F41" s="228">
        <v>762.55</v>
      </c>
      <c r="G41" s="228">
        <v>757.65</v>
      </c>
      <c r="H41" s="228">
        <v>4.9000000000000004</v>
      </c>
      <c r="I41" s="229">
        <v>6.4999999999999997E-3</v>
      </c>
      <c r="J41" s="228">
        <v>770.4</v>
      </c>
      <c r="K41" s="228">
        <v>755.6</v>
      </c>
      <c r="L41" s="228">
        <v>14.8</v>
      </c>
      <c r="M41" s="229">
        <v>1.9599999999999999E-2</v>
      </c>
      <c r="N41" s="228">
        <v>762.55</v>
      </c>
      <c r="O41" s="228">
        <v>757.65</v>
      </c>
      <c r="P41" s="228">
        <v>4.9000000000000004</v>
      </c>
      <c r="Q41" s="229">
        <v>6.4999999999999997E-3</v>
      </c>
      <c r="R41" s="228">
        <v>755.55</v>
      </c>
      <c r="S41" s="228">
        <v>754.55</v>
      </c>
      <c r="T41" s="228">
        <v>1</v>
      </c>
      <c r="U41" s="229">
        <v>1.2999999999999999E-3</v>
      </c>
      <c r="V41" s="228">
        <v>755.9</v>
      </c>
      <c r="W41" s="228">
        <v>753.15</v>
      </c>
      <c r="X41" s="228">
        <v>2.75</v>
      </c>
      <c r="Y41" s="229">
        <v>3.7000000000000002E-3</v>
      </c>
      <c r="Z41" s="228">
        <v>-7.85</v>
      </c>
      <c r="AA41" s="228">
        <v>2.0499999999999998</v>
      </c>
      <c r="AB41" s="228">
        <v>-9.9</v>
      </c>
      <c r="AC41" s="229">
        <v>-1.0200000000000001E-2</v>
      </c>
      <c r="AD41" s="228">
        <v>-7.85</v>
      </c>
      <c r="AE41" s="228">
        <v>2.0499999999999998</v>
      </c>
      <c r="AF41" s="228">
        <v>-9.9</v>
      </c>
      <c r="AG41" s="229">
        <v>-1.0200000000000001E-2</v>
      </c>
      <c r="AH41" s="228">
        <v>-14.85</v>
      </c>
      <c r="AI41" s="228">
        <v>-1.05</v>
      </c>
      <c r="AJ41" s="228">
        <v>-13.8</v>
      </c>
      <c r="AK41" s="229">
        <v>-1.9300000000000001E-2</v>
      </c>
      <c r="AL41" s="228">
        <v>-14.5</v>
      </c>
      <c r="AM41" s="228">
        <v>-2.4500000000000002</v>
      </c>
      <c r="AN41" s="228">
        <v>-12.05</v>
      </c>
      <c r="AO41" s="229">
        <v>-1.8800000000000001E-2</v>
      </c>
      <c r="AP41" s="228">
        <v>767.24</v>
      </c>
      <c r="AQ41" s="228">
        <v>760.51</v>
      </c>
      <c r="AR41" s="228">
        <v>0</v>
      </c>
      <c r="AS41" s="228">
        <v>589</v>
      </c>
      <c r="AT41" s="228">
        <v>94</v>
      </c>
      <c r="AU41" s="228">
        <v>494</v>
      </c>
      <c r="AV41" s="229">
        <v>5.2367999999999997</v>
      </c>
      <c r="AW41" s="228">
        <v>306</v>
      </c>
      <c r="AX41" s="228">
        <v>52</v>
      </c>
      <c r="AY41" s="228">
        <v>254</v>
      </c>
      <c r="AZ41" s="229">
        <v>4.9028</v>
      </c>
      <c r="BA41" s="228">
        <v>279</v>
      </c>
      <c r="BB41" s="228">
        <v>37</v>
      </c>
      <c r="BC41" s="228">
        <v>242</v>
      </c>
      <c r="BD41" s="229">
        <v>6.5807000000000002</v>
      </c>
      <c r="BE41" s="228">
        <v>4</v>
      </c>
      <c r="BF41" s="228">
        <v>6</v>
      </c>
      <c r="BG41" s="228">
        <v>-2</v>
      </c>
      <c r="BH41" s="229">
        <v>-0.2843</v>
      </c>
      <c r="BI41" s="228">
        <v>675</v>
      </c>
      <c r="BJ41" s="228">
        <v>177</v>
      </c>
      <c r="BK41" s="228">
        <v>498</v>
      </c>
      <c r="BL41" s="229">
        <v>2.8157000000000001</v>
      </c>
      <c r="BM41" s="228">
        <v>228</v>
      </c>
      <c r="BN41" s="228">
        <v>86</v>
      </c>
      <c r="BO41" s="228">
        <v>142</v>
      </c>
      <c r="BP41" s="229">
        <v>1.6527000000000001</v>
      </c>
      <c r="BQ41" s="230">
        <v>1492</v>
      </c>
      <c r="BR41" s="228">
        <v>357</v>
      </c>
      <c r="BS41" s="230">
        <v>1135</v>
      </c>
      <c r="BT41" s="229">
        <v>3.1758000000000002</v>
      </c>
      <c r="BU41" s="230">
        <v>3234137</v>
      </c>
      <c r="BV41" s="230">
        <v>1011183</v>
      </c>
      <c r="BW41" s="230">
        <v>2222954</v>
      </c>
      <c r="BX41" s="229">
        <v>2.1983999999999999</v>
      </c>
      <c r="BY41" s="228">
        <v>604</v>
      </c>
      <c r="BZ41" s="228">
        <v>606</v>
      </c>
      <c r="CA41" s="228">
        <v>-2</v>
      </c>
      <c r="CB41" s="229">
        <v>-2.8E-3</v>
      </c>
      <c r="CC41" s="228">
        <v>317</v>
      </c>
      <c r="CD41" s="228">
        <v>475</v>
      </c>
      <c r="CE41" s="228">
        <v>-157</v>
      </c>
      <c r="CF41" s="229">
        <v>-0.33129999999999998</v>
      </c>
      <c r="CG41" s="228">
        <v>273</v>
      </c>
      <c r="CH41" s="228">
        <v>119</v>
      </c>
      <c r="CI41" s="228">
        <v>155</v>
      </c>
      <c r="CJ41" s="229">
        <v>1.3001</v>
      </c>
      <c r="CK41" s="228">
        <v>13</v>
      </c>
      <c r="CL41" s="228">
        <v>12</v>
      </c>
      <c r="CM41" s="228">
        <v>1</v>
      </c>
      <c r="CN41" s="229">
        <v>8.0600000000000005E-2</v>
      </c>
      <c r="CO41" s="228">
        <v>284</v>
      </c>
      <c r="CP41" s="228">
        <v>253</v>
      </c>
      <c r="CQ41" s="228">
        <v>32</v>
      </c>
      <c r="CR41" s="229">
        <v>0.12470000000000001</v>
      </c>
      <c r="CS41" s="228">
        <v>223</v>
      </c>
      <c r="CT41" s="228">
        <v>199</v>
      </c>
      <c r="CU41" s="228">
        <v>24</v>
      </c>
      <c r="CV41" s="229">
        <v>0.12180000000000001</v>
      </c>
      <c r="CW41" s="230">
        <v>1112</v>
      </c>
      <c r="CX41" s="230">
        <v>1058</v>
      </c>
      <c r="CY41" s="228">
        <v>54</v>
      </c>
      <c r="CZ41" s="229">
        <v>5.11E-2</v>
      </c>
      <c r="DA41" s="228">
        <v>35.270000000000003</v>
      </c>
      <c r="DB41" s="228">
        <v>31.51</v>
      </c>
      <c r="DC41" s="228">
        <v>3.76</v>
      </c>
      <c r="DD41" s="228">
        <v>3.76</v>
      </c>
      <c r="DE41" s="228">
        <v>40.590000000000003</v>
      </c>
      <c r="DF41" s="228">
        <v>40.68</v>
      </c>
      <c r="DG41" s="228">
        <v>-5.32</v>
      </c>
      <c r="DH41" s="228">
        <v>-0.09</v>
      </c>
      <c r="DI41" s="228">
        <v>35.67</v>
      </c>
      <c r="DJ41" s="228">
        <v>29.31</v>
      </c>
      <c r="DK41" s="228">
        <v>6.36</v>
      </c>
      <c r="DL41" s="228">
        <v>6.36</v>
      </c>
      <c r="DM41" s="228">
        <v>34.31</v>
      </c>
      <c r="DN41" s="228">
        <v>36.04</v>
      </c>
      <c r="DO41" s="228">
        <v>-1.73</v>
      </c>
      <c r="DP41" s="228">
        <v>-1.73</v>
      </c>
      <c r="DQ41" s="228">
        <v>0.79</v>
      </c>
      <c r="DR41" s="228">
        <v>0.79</v>
      </c>
      <c r="DS41" s="228">
        <v>0</v>
      </c>
      <c r="DT41" s="229">
        <v>0</v>
      </c>
      <c r="DU41" s="228">
        <v>800</v>
      </c>
      <c r="DV41" s="228">
        <v>750</v>
      </c>
      <c r="DW41" s="228">
        <v>0.34</v>
      </c>
      <c r="DX41" s="228">
        <v>0.49</v>
      </c>
      <c r="DY41" s="228">
        <v>-0.15</v>
      </c>
      <c r="DZ41" s="229">
        <v>-0.30609999999999998</v>
      </c>
      <c r="EA41" s="229">
        <v>0.47439999999999999</v>
      </c>
      <c r="EB41" s="230">
        <v>1717500</v>
      </c>
      <c r="EC41" s="229">
        <v>-9.1999999999999998E-3</v>
      </c>
      <c r="ED41" s="229">
        <v>0.47439999999999999</v>
      </c>
      <c r="EE41" s="228">
        <v>-6.73</v>
      </c>
      <c r="EF41" s="229">
        <v>-8.8000000000000005E-3</v>
      </c>
      <c r="EG41" s="230">
        <v>1664907</v>
      </c>
      <c r="EH41" s="230">
        <v>526210</v>
      </c>
      <c r="EI41" s="229">
        <v>2.1640000000000001</v>
      </c>
      <c r="EJ41" s="229">
        <v>0.51480000000000004</v>
      </c>
      <c r="EK41" s="228">
        <v>700.35</v>
      </c>
      <c r="EL41" s="228">
        <v>221.46</v>
      </c>
      <c r="EM41" s="228">
        <v>590.01</v>
      </c>
      <c r="EN41" s="228">
        <v>21.18</v>
      </c>
      <c r="EO41" s="231">
        <v>1511.82</v>
      </c>
      <c r="EP41" s="228">
        <v>355.64</v>
      </c>
      <c r="EQ41" s="231">
        <v>1156.18</v>
      </c>
      <c r="ER41" s="229">
        <v>3.2509999999999999</v>
      </c>
      <c r="ES41" s="228">
        <v>283.33999999999997</v>
      </c>
      <c r="ET41" s="228">
        <v>205.67</v>
      </c>
      <c r="EU41" s="228">
        <v>601.37</v>
      </c>
      <c r="EV41" s="231">
        <v>37147595</v>
      </c>
      <c r="EW41" s="231">
        <v>1090.3800000000001</v>
      </c>
      <c r="EX41" s="231">
        <v>1030.25</v>
      </c>
      <c r="EY41" s="228">
        <v>60.13</v>
      </c>
      <c r="EZ41" s="229">
        <v>5.8400000000000001E-2</v>
      </c>
      <c r="FA41" s="229">
        <v>0.39240000000000003</v>
      </c>
      <c r="FB41" s="227" t="s">
        <v>693</v>
      </c>
      <c r="FC41">
        <f t="shared" si="0"/>
        <v>287</v>
      </c>
    </row>
    <row r="42" spans="1:159" ht="17.25" thickBot="1" x14ac:dyDescent="0.3">
      <c r="A42" s="226">
        <v>46135</v>
      </c>
      <c r="B42" s="227" t="s">
        <v>172</v>
      </c>
      <c r="C42" s="227" t="s">
        <v>196</v>
      </c>
      <c r="D42" s="228">
        <v>6750</v>
      </c>
      <c r="E42" s="228">
        <v>5</v>
      </c>
      <c r="F42" s="228">
        <v>140.93</v>
      </c>
      <c r="G42" s="228">
        <v>145.38999999999999</v>
      </c>
      <c r="H42" s="228">
        <v>-4.46</v>
      </c>
      <c r="I42" s="229">
        <v>-3.0700000000000002E-2</v>
      </c>
      <c r="J42" s="228">
        <v>140.87</v>
      </c>
      <c r="K42" s="228">
        <v>145.22999999999999</v>
      </c>
      <c r="L42" s="228">
        <v>-4.3600000000000003</v>
      </c>
      <c r="M42" s="229">
        <v>-0.03</v>
      </c>
      <c r="N42" s="228">
        <v>140.93</v>
      </c>
      <c r="O42" s="228">
        <v>145.38999999999999</v>
      </c>
      <c r="P42" s="228">
        <v>-4.46</v>
      </c>
      <c r="Q42" s="229">
        <v>-3.0700000000000002E-2</v>
      </c>
      <c r="R42" s="228">
        <v>141.66999999999999</v>
      </c>
      <c r="S42" s="228">
        <v>146.22</v>
      </c>
      <c r="T42" s="228">
        <v>-4.55</v>
      </c>
      <c r="U42" s="229">
        <v>-3.1099999999999999E-2</v>
      </c>
      <c r="V42" s="228">
        <v>142.65</v>
      </c>
      <c r="W42" s="228">
        <v>147.07</v>
      </c>
      <c r="X42" s="228">
        <v>-4.42</v>
      </c>
      <c r="Y42" s="229">
        <v>-3.0099999999999998E-2</v>
      </c>
      <c r="Z42" s="228">
        <v>0.06</v>
      </c>
      <c r="AA42" s="228">
        <v>0.16</v>
      </c>
      <c r="AB42" s="228">
        <v>-0.1</v>
      </c>
      <c r="AC42" s="229">
        <v>4.0000000000000002E-4</v>
      </c>
      <c r="AD42" s="228">
        <v>0.06</v>
      </c>
      <c r="AE42" s="228">
        <v>0.16</v>
      </c>
      <c r="AF42" s="228">
        <v>-0.1</v>
      </c>
      <c r="AG42" s="229">
        <v>4.0000000000000002E-4</v>
      </c>
      <c r="AH42" s="228">
        <v>0.8</v>
      </c>
      <c r="AI42" s="228">
        <v>0.99</v>
      </c>
      <c r="AJ42" s="228">
        <v>-0.19</v>
      </c>
      <c r="AK42" s="229">
        <v>5.7000000000000002E-3</v>
      </c>
      <c r="AL42" s="228">
        <v>1.78</v>
      </c>
      <c r="AM42" s="228">
        <v>1.84</v>
      </c>
      <c r="AN42" s="228">
        <v>-0.06</v>
      </c>
      <c r="AO42" s="229">
        <v>1.26E-2</v>
      </c>
      <c r="AP42" s="228">
        <v>142.44</v>
      </c>
      <c r="AQ42" s="228">
        <v>143.21</v>
      </c>
      <c r="AR42" s="228">
        <v>0</v>
      </c>
      <c r="AS42" s="230">
        <v>1969</v>
      </c>
      <c r="AT42" s="228">
        <v>663</v>
      </c>
      <c r="AU42" s="230">
        <v>1306</v>
      </c>
      <c r="AV42" s="229">
        <v>1.9713000000000001</v>
      </c>
      <c r="AW42" s="228">
        <v>982</v>
      </c>
      <c r="AX42" s="228">
        <v>397</v>
      </c>
      <c r="AY42" s="228">
        <v>586</v>
      </c>
      <c r="AZ42" s="229">
        <v>1.4771000000000001</v>
      </c>
      <c r="BA42" s="228">
        <v>945</v>
      </c>
      <c r="BB42" s="228">
        <v>252</v>
      </c>
      <c r="BC42" s="228">
        <v>693</v>
      </c>
      <c r="BD42" s="229">
        <v>2.7553000000000001</v>
      </c>
      <c r="BE42" s="228">
        <v>42</v>
      </c>
      <c r="BF42" s="228">
        <v>15</v>
      </c>
      <c r="BG42" s="228">
        <v>27</v>
      </c>
      <c r="BH42" s="229">
        <v>1.8889</v>
      </c>
      <c r="BI42" s="230">
        <v>1907</v>
      </c>
      <c r="BJ42" s="230">
        <v>1610</v>
      </c>
      <c r="BK42" s="228">
        <v>297</v>
      </c>
      <c r="BL42" s="229">
        <v>0.18479999999999999</v>
      </c>
      <c r="BM42" s="230">
        <v>1678</v>
      </c>
      <c r="BN42" s="230">
        <v>1411</v>
      </c>
      <c r="BO42" s="228">
        <v>267</v>
      </c>
      <c r="BP42" s="229">
        <v>0.18890000000000001</v>
      </c>
      <c r="BQ42" s="230">
        <v>5554</v>
      </c>
      <c r="BR42" s="230">
        <v>3683</v>
      </c>
      <c r="BS42" s="230">
        <v>1870</v>
      </c>
      <c r="BT42" s="229">
        <v>0.50780000000000003</v>
      </c>
      <c r="BU42" s="230">
        <v>24378107</v>
      </c>
      <c r="BV42" s="230">
        <v>19699100</v>
      </c>
      <c r="BW42" s="230">
        <v>4679007</v>
      </c>
      <c r="BX42" s="229">
        <v>0.23749999999999999</v>
      </c>
      <c r="BY42" s="230">
        <v>2940</v>
      </c>
      <c r="BZ42" s="230">
        <v>2854</v>
      </c>
      <c r="CA42" s="228">
        <v>86</v>
      </c>
      <c r="CB42" s="229">
        <v>3.0200000000000001E-2</v>
      </c>
      <c r="CC42" s="230">
        <v>1450</v>
      </c>
      <c r="CD42" s="230">
        <v>2078</v>
      </c>
      <c r="CE42" s="228">
        <v>-629</v>
      </c>
      <c r="CF42" s="229">
        <v>-0.3024</v>
      </c>
      <c r="CG42" s="230">
        <v>1256</v>
      </c>
      <c r="CH42" s="228">
        <v>576</v>
      </c>
      <c r="CI42" s="228">
        <v>680</v>
      </c>
      <c r="CJ42" s="229">
        <v>1.181</v>
      </c>
      <c r="CK42" s="228">
        <v>234</v>
      </c>
      <c r="CL42" s="228">
        <v>200</v>
      </c>
      <c r="CM42" s="228">
        <v>34</v>
      </c>
      <c r="CN42" s="229">
        <v>0.1724</v>
      </c>
      <c r="CO42" s="230">
        <v>1261</v>
      </c>
      <c r="CP42" s="230">
        <v>1202</v>
      </c>
      <c r="CQ42" s="228">
        <v>60</v>
      </c>
      <c r="CR42" s="229">
        <v>4.9700000000000001E-2</v>
      </c>
      <c r="CS42" s="230">
        <v>1110</v>
      </c>
      <c r="CT42" s="230">
        <v>1132</v>
      </c>
      <c r="CU42" s="228">
        <v>-22</v>
      </c>
      <c r="CV42" s="229">
        <v>-1.9400000000000001E-2</v>
      </c>
      <c r="CW42" s="230">
        <v>5312</v>
      </c>
      <c r="CX42" s="230">
        <v>5188</v>
      </c>
      <c r="CY42" s="228">
        <v>124</v>
      </c>
      <c r="CZ42" s="229">
        <v>2.3900000000000001E-2</v>
      </c>
      <c r="DA42" s="228">
        <v>36.01</v>
      </c>
      <c r="DB42" s="228">
        <v>34.450000000000003</v>
      </c>
      <c r="DC42" s="228">
        <v>1.56</v>
      </c>
      <c r="DD42" s="228">
        <v>1.56</v>
      </c>
      <c r="DE42" s="228">
        <v>39.01</v>
      </c>
      <c r="DF42" s="228">
        <v>38.880000000000003</v>
      </c>
      <c r="DG42" s="228">
        <v>-3</v>
      </c>
      <c r="DH42" s="228">
        <v>0.13</v>
      </c>
      <c r="DI42" s="228">
        <v>35.869999999999997</v>
      </c>
      <c r="DJ42" s="228">
        <v>32.159999999999997</v>
      </c>
      <c r="DK42" s="228">
        <v>3.71</v>
      </c>
      <c r="DL42" s="228">
        <v>3.71</v>
      </c>
      <c r="DM42" s="228">
        <v>36.19</v>
      </c>
      <c r="DN42" s="228">
        <v>37.07</v>
      </c>
      <c r="DO42" s="228">
        <v>-0.88</v>
      </c>
      <c r="DP42" s="228">
        <v>-0.88</v>
      </c>
      <c r="DQ42" s="228">
        <v>0.88</v>
      </c>
      <c r="DR42" s="228">
        <v>0.94</v>
      </c>
      <c r="DS42" s="228">
        <v>-0.06</v>
      </c>
      <c r="DT42" s="229">
        <v>-6.3799999999999996E-2</v>
      </c>
      <c r="DU42" s="228">
        <v>150</v>
      </c>
      <c r="DV42" s="228">
        <v>135</v>
      </c>
      <c r="DW42" s="228">
        <v>0.88</v>
      </c>
      <c r="DX42" s="228">
        <v>0.88</v>
      </c>
      <c r="DY42" s="228">
        <v>0</v>
      </c>
      <c r="DZ42" s="229">
        <v>0</v>
      </c>
      <c r="EA42" s="229">
        <v>0.50690000000000002</v>
      </c>
      <c r="EB42" s="230">
        <v>55053000</v>
      </c>
      <c r="EC42" s="229">
        <v>5.3E-3</v>
      </c>
      <c r="ED42" s="229">
        <v>0.50690000000000002</v>
      </c>
      <c r="EE42" s="228">
        <v>0.77</v>
      </c>
      <c r="EF42" s="229">
        <v>5.4000000000000003E-3</v>
      </c>
      <c r="EG42" s="230">
        <v>10714444</v>
      </c>
      <c r="EH42" s="230">
        <v>8732022</v>
      </c>
      <c r="EI42" s="229">
        <v>0.22700000000000001</v>
      </c>
      <c r="EJ42" s="229">
        <v>0.4395</v>
      </c>
      <c r="EK42" s="231">
        <v>2007.62</v>
      </c>
      <c r="EL42" s="231">
        <v>1677.32</v>
      </c>
      <c r="EM42" s="231">
        <v>1995.35</v>
      </c>
      <c r="EN42" s="228">
        <v>64.61</v>
      </c>
      <c r="EO42" s="231">
        <v>5680.29</v>
      </c>
      <c r="EP42" s="231">
        <v>3817.78</v>
      </c>
      <c r="EQ42" s="231">
        <v>1862.5</v>
      </c>
      <c r="ER42" s="229">
        <v>0.48780000000000001</v>
      </c>
      <c r="ES42" s="231">
        <v>1298.5999999999999</v>
      </c>
      <c r="ET42" s="231">
        <v>1081.33</v>
      </c>
      <c r="EU42" s="231">
        <v>2949.95</v>
      </c>
      <c r="EV42" s="231">
        <v>504315430</v>
      </c>
      <c r="EW42" s="231">
        <v>5329.88</v>
      </c>
      <c r="EX42" s="231">
        <v>5293.29</v>
      </c>
      <c r="EY42" s="228">
        <v>36.590000000000003</v>
      </c>
      <c r="EZ42" s="229">
        <v>6.8999999999999999E-3</v>
      </c>
      <c r="FA42" s="229">
        <v>0.74739999999999995</v>
      </c>
      <c r="FB42" s="227" t="s">
        <v>566</v>
      </c>
      <c r="FC42">
        <f t="shared" si="0"/>
        <v>1490</v>
      </c>
    </row>
    <row r="43" spans="1:159" ht="17.25" thickBot="1" x14ac:dyDescent="0.3">
      <c r="A43" s="226">
        <v>46135</v>
      </c>
      <c r="B43" s="227" t="s">
        <v>175</v>
      </c>
      <c r="C43" s="227" t="s">
        <v>596</v>
      </c>
      <c r="D43" s="228">
        <v>475</v>
      </c>
      <c r="E43" s="228">
        <v>5</v>
      </c>
      <c r="F43" s="231">
        <v>1321.6</v>
      </c>
      <c r="G43" s="231">
        <v>1319.2</v>
      </c>
      <c r="H43" s="228">
        <v>2.4</v>
      </c>
      <c r="I43" s="229">
        <v>1.8E-3</v>
      </c>
      <c r="J43" s="231">
        <v>1323.6</v>
      </c>
      <c r="K43" s="231">
        <v>1321.2</v>
      </c>
      <c r="L43" s="228">
        <v>2.4</v>
      </c>
      <c r="M43" s="229">
        <v>1.8E-3</v>
      </c>
      <c r="N43" s="231">
        <v>1321.6</v>
      </c>
      <c r="O43" s="231">
        <v>1319.2</v>
      </c>
      <c r="P43" s="228">
        <v>2.4</v>
      </c>
      <c r="Q43" s="229">
        <v>1.8E-3</v>
      </c>
      <c r="R43" s="231">
        <v>1307.0999999999999</v>
      </c>
      <c r="S43" s="231">
        <v>1310.8</v>
      </c>
      <c r="T43" s="228">
        <v>-3.7</v>
      </c>
      <c r="U43" s="229">
        <v>-2.8E-3</v>
      </c>
      <c r="V43" s="231">
        <v>1302.8</v>
      </c>
      <c r="W43" s="231">
        <v>1308.5</v>
      </c>
      <c r="X43" s="228">
        <v>-5.7</v>
      </c>
      <c r="Y43" s="229">
        <v>-4.4000000000000003E-3</v>
      </c>
      <c r="Z43" s="228">
        <v>-2</v>
      </c>
      <c r="AA43" s="228">
        <v>-2</v>
      </c>
      <c r="AB43" s="228">
        <v>0</v>
      </c>
      <c r="AC43" s="229">
        <v>-1.5E-3</v>
      </c>
      <c r="AD43" s="228">
        <v>-2</v>
      </c>
      <c r="AE43" s="228">
        <v>-2</v>
      </c>
      <c r="AF43" s="228">
        <v>0</v>
      </c>
      <c r="AG43" s="229">
        <v>-1.5E-3</v>
      </c>
      <c r="AH43" s="228">
        <v>-16.5</v>
      </c>
      <c r="AI43" s="228">
        <v>-10.4</v>
      </c>
      <c r="AJ43" s="228">
        <v>-6.1</v>
      </c>
      <c r="AK43" s="229">
        <v>-1.2500000000000001E-2</v>
      </c>
      <c r="AL43" s="228">
        <v>-20.8</v>
      </c>
      <c r="AM43" s="228">
        <v>-12.7</v>
      </c>
      <c r="AN43" s="228">
        <v>-8.1</v>
      </c>
      <c r="AO43" s="229">
        <v>-1.5699999999999999E-2</v>
      </c>
      <c r="AP43" s="231">
        <v>1321.59</v>
      </c>
      <c r="AQ43" s="231">
        <v>1309.25</v>
      </c>
      <c r="AR43" s="228">
        <v>0</v>
      </c>
      <c r="AS43" s="230">
        <v>1118</v>
      </c>
      <c r="AT43" s="228">
        <v>686</v>
      </c>
      <c r="AU43" s="228">
        <v>432</v>
      </c>
      <c r="AV43" s="229">
        <v>0.63070000000000004</v>
      </c>
      <c r="AW43" s="228">
        <v>545</v>
      </c>
      <c r="AX43" s="228">
        <v>372</v>
      </c>
      <c r="AY43" s="228">
        <v>173</v>
      </c>
      <c r="AZ43" s="229">
        <v>0.46450000000000002</v>
      </c>
      <c r="BA43" s="228">
        <v>557</v>
      </c>
      <c r="BB43" s="228">
        <v>284</v>
      </c>
      <c r="BC43" s="228">
        <v>273</v>
      </c>
      <c r="BD43" s="229">
        <v>0.96040000000000003</v>
      </c>
      <c r="BE43" s="228">
        <v>16</v>
      </c>
      <c r="BF43" s="228">
        <v>29</v>
      </c>
      <c r="BG43" s="228">
        <v>-13</v>
      </c>
      <c r="BH43" s="229">
        <v>-0.45810000000000001</v>
      </c>
      <c r="BI43" s="230">
        <v>1146</v>
      </c>
      <c r="BJ43" s="230">
        <v>1873</v>
      </c>
      <c r="BK43" s="228">
        <v>-727</v>
      </c>
      <c r="BL43" s="229">
        <v>-0.38819999999999999</v>
      </c>
      <c r="BM43" s="228">
        <v>568</v>
      </c>
      <c r="BN43" s="230">
        <v>1262</v>
      </c>
      <c r="BO43" s="228">
        <v>-695</v>
      </c>
      <c r="BP43" s="229">
        <v>-0.55020000000000002</v>
      </c>
      <c r="BQ43" s="230">
        <v>2832</v>
      </c>
      <c r="BR43" s="230">
        <v>3821</v>
      </c>
      <c r="BS43" s="228">
        <v>-989</v>
      </c>
      <c r="BT43" s="229">
        <v>-0.25890000000000002</v>
      </c>
      <c r="BU43" s="230">
        <v>1334615</v>
      </c>
      <c r="BV43" s="230">
        <v>3311575</v>
      </c>
      <c r="BW43" s="230">
        <v>-1976960</v>
      </c>
      <c r="BX43" s="229">
        <v>-0.59699999999999998</v>
      </c>
      <c r="BY43" s="230">
        <v>1663</v>
      </c>
      <c r="BZ43" s="230">
        <v>1881</v>
      </c>
      <c r="CA43" s="228">
        <v>-218</v>
      </c>
      <c r="CB43" s="229">
        <v>-0.1157</v>
      </c>
      <c r="CC43" s="228">
        <v>743</v>
      </c>
      <c r="CD43" s="230">
        <v>1153</v>
      </c>
      <c r="CE43" s="228">
        <v>-410</v>
      </c>
      <c r="CF43" s="229">
        <v>-0.35589999999999999</v>
      </c>
      <c r="CG43" s="228">
        <v>836</v>
      </c>
      <c r="CH43" s="228">
        <v>652</v>
      </c>
      <c r="CI43" s="228">
        <v>184</v>
      </c>
      <c r="CJ43" s="229">
        <v>0.28199999999999997</v>
      </c>
      <c r="CK43" s="228">
        <v>84</v>
      </c>
      <c r="CL43" s="228">
        <v>75</v>
      </c>
      <c r="CM43" s="228">
        <v>9</v>
      </c>
      <c r="CN43" s="229">
        <v>0.11890000000000001</v>
      </c>
      <c r="CO43" s="228">
        <v>824</v>
      </c>
      <c r="CP43" s="228">
        <v>834</v>
      </c>
      <c r="CQ43" s="228">
        <v>-10</v>
      </c>
      <c r="CR43" s="229">
        <v>-1.2E-2</v>
      </c>
      <c r="CS43" s="228">
        <v>670</v>
      </c>
      <c r="CT43" s="228">
        <v>671</v>
      </c>
      <c r="CU43" s="228">
        <v>-1</v>
      </c>
      <c r="CV43" s="229">
        <v>-1.5E-3</v>
      </c>
      <c r="CW43" s="230">
        <v>3158</v>
      </c>
      <c r="CX43" s="230">
        <v>3386</v>
      </c>
      <c r="CY43" s="228">
        <v>-229</v>
      </c>
      <c r="CZ43" s="229">
        <v>-6.7500000000000004E-2</v>
      </c>
      <c r="DA43" s="228">
        <v>37.090000000000003</v>
      </c>
      <c r="DB43" s="228">
        <v>38.86</v>
      </c>
      <c r="DC43" s="228">
        <v>-1.77</v>
      </c>
      <c r="DD43" s="228">
        <v>-1.77</v>
      </c>
      <c r="DE43" s="228">
        <v>46.62</v>
      </c>
      <c r="DF43" s="228">
        <v>46.74</v>
      </c>
      <c r="DG43" s="228">
        <v>-9.5299999999999994</v>
      </c>
      <c r="DH43" s="228">
        <v>-0.12</v>
      </c>
      <c r="DI43" s="228">
        <v>36.909999999999997</v>
      </c>
      <c r="DJ43" s="228">
        <v>39.22</v>
      </c>
      <c r="DK43" s="228">
        <v>-2.31</v>
      </c>
      <c r="DL43" s="228">
        <v>-2.31</v>
      </c>
      <c r="DM43" s="228">
        <v>37.340000000000003</v>
      </c>
      <c r="DN43" s="228">
        <v>38.33</v>
      </c>
      <c r="DO43" s="228">
        <v>-0.99</v>
      </c>
      <c r="DP43" s="228">
        <v>-0.99</v>
      </c>
      <c r="DQ43" s="228">
        <v>0.81</v>
      </c>
      <c r="DR43" s="228">
        <v>0.8</v>
      </c>
      <c r="DS43" s="228">
        <v>0.01</v>
      </c>
      <c r="DT43" s="229">
        <v>1.2500000000000001E-2</v>
      </c>
      <c r="DU43" s="231">
        <v>1400</v>
      </c>
      <c r="DV43" s="231">
        <v>1300</v>
      </c>
      <c r="DW43" s="228">
        <v>0.5</v>
      </c>
      <c r="DX43" s="228">
        <v>0.67</v>
      </c>
      <c r="DY43" s="228">
        <v>-0.17</v>
      </c>
      <c r="DZ43" s="229">
        <v>-0.25369999999999998</v>
      </c>
      <c r="EA43" s="229">
        <v>0.55330000000000001</v>
      </c>
      <c r="EB43" s="230">
        <v>5502875</v>
      </c>
      <c r="EC43" s="229">
        <v>-1.0999999999999999E-2</v>
      </c>
      <c r="ED43" s="229">
        <v>0.55330000000000001</v>
      </c>
      <c r="EE43" s="228">
        <v>-12.34</v>
      </c>
      <c r="EF43" s="229">
        <v>-9.2999999999999992E-3</v>
      </c>
      <c r="EG43" s="230">
        <v>425230</v>
      </c>
      <c r="EH43" s="230">
        <v>1434235</v>
      </c>
      <c r="EI43" s="229">
        <v>-0.70350000000000001</v>
      </c>
      <c r="EJ43" s="229">
        <v>0.31859999999999999</v>
      </c>
      <c r="EK43" s="231">
        <v>1199.03</v>
      </c>
      <c r="EL43" s="228">
        <v>565.16999999999996</v>
      </c>
      <c r="EM43" s="231">
        <v>1112.76</v>
      </c>
      <c r="EN43" s="228">
        <v>66.77</v>
      </c>
      <c r="EO43" s="231">
        <v>2876.96</v>
      </c>
      <c r="EP43" s="231">
        <v>3938.32</v>
      </c>
      <c r="EQ43" s="231">
        <v>-1061.3499999999999</v>
      </c>
      <c r="ER43" s="229">
        <v>-0.26950000000000002</v>
      </c>
      <c r="ES43" s="228">
        <v>842.63</v>
      </c>
      <c r="ET43" s="228">
        <v>647.66</v>
      </c>
      <c r="EU43" s="231">
        <v>1652.57</v>
      </c>
      <c r="EV43" s="231">
        <v>26647500</v>
      </c>
      <c r="EW43" s="231">
        <v>3142.86</v>
      </c>
      <c r="EX43" s="231">
        <v>3374.58</v>
      </c>
      <c r="EY43" s="228">
        <v>-231.72</v>
      </c>
      <c r="EZ43" s="229">
        <v>-6.8699999999999997E-2</v>
      </c>
      <c r="FA43" s="229">
        <v>0.89659999999999995</v>
      </c>
      <c r="FB43" s="227" t="s">
        <v>693</v>
      </c>
      <c r="FC43">
        <f t="shared" si="0"/>
        <v>920</v>
      </c>
    </row>
    <row r="44" spans="1:159" ht="17.25" thickBot="1" x14ac:dyDescent="0.3">
      <c r="A44" s="226">
        <v>46135</v>
      </c>
      <c r="B44" s="227" t="s">
        <v>161</v>
      </c>
      <c r="C44" s="227" t="s">
        <v>611</v>
      </c>
      <c r="D44" s="228">
        <v>850</v>
      </c>
      <c r="E44" s="228">
        <v>5</v>
      </c>
      <c r="F44" s="228">
        <v>837</v>
      </c>
      <c r="G44" s="228">
        <v>826.65</v>
      </c>
      <c r="H44" s="228">
        <v>10.35</v>
      </c>
      <c r="I44" s="229">
        <v>1.2500000000000001E-2</v>
      </c>
      <c r="J44" s="228">
        <v>837.8</v>
      </c>
      <c r="K44" s="228">
        <v>824.35</v>
      </c>
      <c r="L44" s="228">
        <v>13.45</v>
      </c>
      <c r="M44" s="229">
        <v>1.6299999999999999E-2</v>
      </c>
      <c r="N44" s="228">
        <v>837</v>
      </c>
      <c r="O44" s="228">
        <v>826.65</v>
      </c>
      <c r="P44" s="228">
        <v>10.35</v>
      </c>
      <c r="Q44" s="229">
        <v>1.2500000000000001E-2</v>
      </c>
      <c r="R44" s="228">
        <v>841.45</v>
      </c>
      <c r="S44" s="228">
        <v>831.2</v>
      </c>
      <c r="T44" s="228">
        <v>10.25</v>
      </c>
      <c r="U44" s="229">
        <v>1.23E-2</v>
      </c>
      <c r="V44" s="228">
        <v>848.4</v>
      </c>
      <c r="W44" s="228">
        <v>836.1</v>
      </c>
      <c r="X44" s="228">
        <v>12.3</v>
      </c>
      <c r="Y44" s="229">
        <v>1.47E-2</v>
      </c>
      <c r="Z44" s="228">
        <v>-0.8</v>
      </c>
      <c r="AA44" s="228">
        <v>2.2999999999999998</v>
      </c>
      <c r="AB44" s="228">
        <v>-3.1</v>
      </c>
      <c r="AC44" s="229">
        <v>-1E-3</v>
      </c>
      <c r="AD44" s="228">
        <v>-0.8</v>
      </c>
      <c r="AE44" s="228">
        <v>2.2999999999999998</v>
      </c>
      <c r="AF44" s="228">
        <v>-3.1</v>
      </c>
      <c r="AG44" s="229">
        <v>-1E-3</v>
      </c>
      <c r="AH44" s="228">
        <v>3.65</v>
      </c>
      <c r="AI44" s="228">
        <v>6.85</v>
      </c>
      <c r="AJ44" s="228">
        <v>-3.2</v>
      </c>
      <c r="AK44" s="229">
        <v>4.4000000000000003E-3</v>
      </c>
      <c r="AL44" s="228">
        <v>10.6</v>
      </c>
      <c r="AM44" s="228">
        <v>11.75</v>
      </c>
      <c r="AN44" s="228">
        <v>-1.1499999999999999</v>
      </c>
      <c r="AO44" s="229">
        <v>1.2699999999999999E-2</v>
      </c>
      <c r="AP44" s="228">
        <v>835.6</v>
      </c>
      <c r="AQ44" s="228">
        <v>840.41</v>
      </c>
      <c r="AR44" s="228">
        <v>0</v>
      </c>
      <c r="AS44" s="230">
        <v>1161</v>
      </c>
      <c r="AT44" s="228">
        <v>549</v>
      </c>
      <c r="AU44" s="228">
        <v>613</v>
      </c>
      <c r="AV44" s="229">
        <v>1.1171</v>
      </c>
      <c r="AW44" s="228">
        <v>630</v>
      </c>
      <c r="AX44" s="228">
        <v>346</v>
      </c>
      <c r="AY44" s="228">
        <v>284</v>
      </c>
      <c r="AZ44" s="229">
        <v>0.82240000000000002</v>
      </c>
      <c r="BA44" s="228">
        <v>527</v>
      </c>
      <c r="BB44" s="228">
        <v>195</v>
      </c>
      <c r="BC44" s="228">
        <v>332</v>
      </c>
      <c r="BD44" s="229">
        <v>1.7067000000000001</v>
      </c>
      <c r="BE44" s="228">
        <v>4</v>
      </c>
      <c r="BF44" s="228">
        <v>8</v>
      </c>
      <c r="BG44" s="228">
        <v>-4</v>
      </c>
      <c r="BH44" s="229">
        <v>-0.49559999999999998</v>
      </c>
      <c r="BI44" s="230">
        <v>1914</v>
      </c>
      <c r="BJ44" s="230">
        <v>1927</v>
      </c>
      <c r="BK44" s="228">
        <v>-13</v>
      </c>
      <c r="BL44" s="229">
        <v>-6.7000000000000002E-3</v>
      </c>
      <c r="BM44" s="228">
        <v>739</v>
      </c>
      <c r="BN44" s="228">
        <v>772</v>
      </c>
      <c r="BO44" s="228">
        <v>-33</v>
      </c>
      <c r="BP44" s="229">
        <v>-4.3200000000000002E-2</v>
      </c>
      <c r="BQ44" s="230">
        <v>3814</v>
      </c>
      <c r="BR44" s="230">
        <v>3248</v>
      </c>
      <c r="BS44" s="228">
        <v>566</v>
      </c>
      <c r="BT44" s="229">
        <v>0.1744</v>
      </c>
      <c r="BU44" s="230">
        <v>4104832</v>
      </c>
      <c r="BV44" s="230">
        <v>5081007</v>
      </c>
      <c r="BW44" s="230">
        <v>-976175</v>
      </c>
      <c r="BX44" s="229">
        <v>-0.19209999999999999</v>
      </c>
      <c r="BY44" s="230">
        <v>1752</v>
      </c>
      <c r="BZ44" s="230">
        <v>1767</v>
      </c>
      <c r="CA44" s="228">
        <v>-16</v>
      </c>
      <c r="CB44" s="229">
        <v>-8.8000000000000005E-3</v>
      </c>
      <c r="CC44" s="230">
        <v>1008</v>
      </c>
      <c r="CD44" s="230">
        <v>1448</v>
      </c>
      <c r="CE44" s="228">
        <v>-440</v>
      </c>
      <c r="CF44" s="229">
        <v>-0.3039</v>
      </c>
      <c r="CG44" s="228">
        <v>618</v>
      </c>
      <c r="CH44" s="228">
        <v>194</v>
      </c>
      <c r="CI44" s="228">
        <v>424</v>
      </c>
      <c r="CJ44" s="229">
        <v>2.1911999999999998</v>
      </c>
      <c r="CK44" s="228">
        <v>126</v>
      </c>
      <c r="CL44" s="228">
        <v>125</v>
      </c>
      <c r="CM44" s="228">
        <v>0</v>
      </c>
      <c r="CN44" s="229">
        <v>4.0000000000000001E-3</v>
      </c>
      <c r="CO44" s="228">
        <v>523</v>
      </c>
      <c r="CP44" s="228">
        <v>476</v>
      </c>
      <c r="CQ44" s="228">
        <v>47</v>
      </c>
      <c r="CR44" s="229">
        <v>9.9099999999999994E-2</v>
      </c>
      <c r="CS44" s="228">
        <v>385</v>
      </c>
      <c r="CT44" s="228">
        <v>372</v>
      </c>
      <c r="CU44" s="228">
        <v>12</v>
      </c>
      <c r="CV44" s="229">
        <v>3.3099999999999997E-2</v>
      </c>
      <c r="CW44" s="230">
        <v>2659</v>
      </c>
      <c r="CX44" s="230">
        <v>2616</v>
      </c>
      <c r="CY44" s="228">
        <v>44</v>
      </c>
      <c r="CZ44" s="229">
        <v>1.6799999999999999E-2</v>
      </c>
      <c r="DA44" s="228">
        <v>39.6</v>
      </c>
      <c r="DB44" s="228">
        <v>34.46</v>
      </c>
      <c r="DC44" s="228">
        <v>5.14</v>
      </c>
      <c r="DD44" s="228">
        <v>5.14</v>
      </c>
      <c r="DE44" s="228">
        <v>42.38</v>
      </c>
      <c r="DF44" s="228">
        <v>42.46</v>
      </c>
      <c r="DG44" s="228">
        <v>-2.78</v>
      </c>
      <c r="DH44" s="228">
        <v>-0.08</v>
      </c>
      <c r="DI44" s="228">
        <v>39.409999999999997</v>
      </c>
      <c r="DJ44" s="228">
        <v>34.020000000000003</v>
      </c>
      <c r="DK44" s="228">
        <v>5.39</v>
      </c>
      <c r="DL44" s="228">
        <v>5.39</v>
      </c>
      <c r="DM44" s="228">
        <v>40.24</v>
      </c>
      <c r="DN44" s="228">
        <v>35.57</v>
      </c>
      <c r="DO44" s="228">
        <v>4.67</v>
      </c>
      <c r="DP44" s="228">
        <v>4.67</v>
      </c>
      <c r="DQ44" s="228">
        <v>0.74</v>
      </c>
      <c r="DR44" s="228">
        <v>0.78</v>
      </c>
      <c r="DS44" s="228">
        <v>-0.04</v>
      </c>
      <c r="DT44" s="229">
        <v>-5.1299999999999998E-2</v>
      </c>
      <c r="DU44" s="228">
        <v>820</v>
      </c>
      <c r="DV44" s="228">
        <v>810</v>
      </c>
      <c r="DW44" s="228">
        <v>0.39</v>
      </c>
      <c r="DX44" s="228">
        <v>0.4</v>
      </c>
      <c r="DY44" s="228">
        <v>-0.01</v>
      </c>
      <c r="DZ44" s="229">
        <v>-2.5000000000000001E-2</v>
      </c>
      <c r="EA44" s="229">
        <v>0.4244</v>
      </c>
      <c r="EB44" s="230">
        <v>3809700</v>
      </c>
      <c r="EC44" s="229">
        <v>5.3E-3</v>
      </c>
      <c r="ED44" s="229">
        <v>0.4244</v>
      </c>
      <c r="EE44" s="228">
        <v>4.8099999999999996</v>
      </c>
      <c r="EF44" s="229">
        <v>5.7999999999999996E-3</v>
      </c>
      <c r="EG44" s="230">
        <v>1678812</v>
      </c>
      <c r="EH44" s="230">
        <v>2176756</v>
      </c>
      <c r="EI44" s="229">
        <v>-0.2288</v>
      </c>
      <c r="EJ44" s="229">
        <v>0.40899999999999997</v>
      </c>
      <c r="EK44" s="231">
        <v>1960.01</v>
      </c>
      <c r="EL44" s="228">
        <v>723.75</v>
      </c>
      <c r="EM44" s="231">
        <v>1162.43</v>
      </c>
      <c r="EN44" s="228">
        <v>59.57</v>
      </c>
      <c r="EO44" s="231">
        <v>3846.19</v>
      </c>
      <c r="EP44" s="231">
        <v>3234.23</v>
      </c>
      <c r="EQ44" s="228">
        <v>611.96</v>
      </c>
      <c r="ER44" s="229">
        <v>0.18920000000000001</v>
      </c>
      <c r="ES44" s="228">
        <v>501.54</v>
      </c>
      <c r="ET44" s="228">
        <v>350.41</v>
      </c>
      <c r="EU44" s="231">
        <v>1756.66</v>
      </c>
      <c r="EV44" s="231">
        <v>103080397</v>
      </c>
      <c r="EW44" s="231">
        <v>2608.61</v>
      </c>
      <c r="EX44" s="231">
        <v>2535.1</v>
      </c>
      <c r="EY44" s="228">
        <v>73.510000000000005</v>
      </c>
      <c r="EZ44" s="229">
        <v>2.9000000000000001E-2</v>
      </c>
      <c r="FA44" s="229">
        <v>0.30819999999999997</v>
      </c>
      <c r="FB44" s="227" t="s">
        <v>693</v>
      </c>
      <c r="FC44">
        <f t="shared" si="0"/>
        <v>744</v>
      </c>
    </row>
    <row r="45" spans="1:159" ht="17.25" thickBot="1" x14ac:dyDescent="0.3">
      <c r="A45" s="226">
        <v>46135</v>
      </c>
      <c r="B45" s="227" t="s">
        <v>175</v>
      </c>
      <c r="C45" s="227" t="s">
        <v>198</v>
      </c>
      <c r="D45" s="228">
        <v>625</v>
      </c>
      <c r="E45" s="228">
        <v>5</v>
      </c>
      <c r="F45" s="231">
        <v>1541.3</v>
      </c>
      <c r="G45" s="231">
        <v>1565.9</v>
      </c>
      <c r="H45" s="228">
        <v>-24.6</v>
      </c>
      <c r="I45" s="229">
        <v>-1.5699999999999999E-2</v>
      </c>
      <c r="J45" s="231">
        <v>1543.4</v>
      </c>
      <c r="K45" s="231">
        <v>1565.6</v>
      </c>
      <c r="L45" s="228">
        <v>-22.2</v>
      </c>
      <c r="M45" s="229">
        <v>-1.4200000000000001E-2</v>
      </c>
      <c r="N45" s="231">
        <v>1541.3</v>
      </c>
      <c r="O45" s="231">
        <v>1565.9</v>
      </c>
      <c r="P45" s="228">
        <v>-24.6</v>
      </c>
      <c r="Q45" s="229">
        <v>-1.5699999999999999E-2</v>
      </c>
      <c r="R45" s="231">
        <v>1550</v>
      </c>
      <c r="S45" s="231">
        <v>1573.7</v>
      </c>
      <c r="T45" s="228">
        <v>-23.7</v>
      </c>
      <c r="U45" s="229">
        <v>-1.5100000000000001E-2</v>
      </c>
      <c r="V45" s="231">
        <v>1555.7</v>
      </c>
      <c r="W45" s="231">
        <v>1582.5</v>
      </c>
      <c r="X45" s="228">
        <v>-26.8</v>
      </c>
      <c r="Y45" s="229">
        <v>-1.6899999999999998E-2</v>
      </c>
      <c r="Z45" s="228">
        <v>-2.1</v>
      </c>
      <c r="AA45" s="228">
        <v>0.3</v>
      </c>
      <c r="AB45" s="228">
        <v>-2.4</v>
      </c>
      <c r="AC45" s="229">
        <v>-1.4E-3</v>
      </c>
      <c r="AD45" s="228">
        <v>-2.1</v>
      </c>
      <c r="AE45" s="228">
        <v>0.3</v>
      </c>
      <c r="AF45" s="228">
        <v>-2.4</v>
      </c>
      <c r="AG45" s="229">
        <v>-1.4E-3</v>
      </c>
      <c r="AH45" s="228">
        <v>6.6</v>
      </c>
      <c r="AI45" s="228">
        <v>8.1</v>
      </c>
      <c r="AJ45" s="228">
        <v>-1.5</v>
      </c>
      <c r="AK45" s="229">
        <v>4.3E-3</v>
      </c>
      <c r="AL45" s="228">
        <v>12.3</v>
      </c>
      <c r="AM45" s="228">
        <v>16.899999999999999</v>
      </c>
      <c r="AN45" s="228">
        <v>-4.5999999999999996</v>
      </c>
      <c r="AO45" s="229">
        <v>8.0000000000000002E-3</v>
      </c>
      <c r="AP45" s="231">
        <v>1541.83</v>
      </c>
      <c r="AQ45" s="231">
        <v>1550.47</v>
      </c>
      <c r="AR45" s="228">
        <v>0</v>
      </c>
      <c r="AS45" s="230">
        <v>1803</v>
      </c>
      <c r="AT45" s="228">
        <v>479</v>
      </c>
      <c r="AU45" s="230">
        <v>1324</v>
      </c>
      <c r="AV45" s="229">
        <v>2.7671000000000001</v>
      </c>
      <c r="AW45" s="228">
        <v>984</v>
      </c>
      <c r="AX45" s="228">
        <v>329</v>
      </c>
      <c r="AY45" s="228">
        <v>655</v>
      </c>
      <c r="AZ45" s="229">
        <v>1.9908999999999999</v>
      </c>
      <c r="BA45" s="228">
        <v>817</v>
      </c>
      <c r="BB45" s="228">
        <v>148</v>
      </c>
      <c r="BC45" s="228">
        <v>669</v>
      </c>
      <c r="BD45" s="229">
        <v>4.5214999999999996</v>
      </c>
      <c r="BE45" s="228">
        <v>2</v>
      </c>
      <c r="BF45" s="228">
        <v>2</v>
      </c>
      <c r="BG45" s="228">
        <v>0</v>
      </c>
      <c r="BH45" s="229">
        <v>6.25E-2</v>
      </c>
      <c r="BI45" s="230">
        <v>1201</v>
      </c>
      <c r="BJ45" s="230">
        <v>1110</v>
      </c>
      <c r="BK45" s="228">
        <v>91</v>
      </c>
      <c r="BL45" s="229">
        <v>8.1600000000000006E-2</v>
      </c>
      <c r="BM45" s="228">
        <v>684</v>
      </c>
      <c r="BN45" s="228">
        <v>547</v>
      </c>
      <c r="BO45" s="228">
        <v>137</v>
      </c>
      <c r="BP45" s="229">
        <v>0.25109999999999999</v>
      </c>
      <c r="BQ45" s="230">
        <v>3687</v>
      </c>
      <c r="BR45" s="230">
        <v>2135</v>
      </c>
      <c r="BS45" s="230">
        <v>1552</v>
      </c>
      <c r="BT45" s="229">
        <v>0.72689999999999999</v>
      </c>
      <c r="BU45" s="230">
        <v>2406777</v>
      </c>
      <c r="BV45" s="230">
        <v>1761127</v>
      </c>
      <c r="BW45" s="230">
        <v>645650</v>
      </c>
      <c r="BX45" s="229">
        <v>0.36659999999999998</v>
      </c>
      <c r="BY45" s="230">
        <v>3004</v>
      </c>
      <c r="BZ45" s="230">
        <v>2990</v>
      </c>
      <c r="CA45" s="228">
        <v>14</v>
      </c>
      <c r="CB45" s="229">
        <v>4.7000000000000002E-3</v>
      </c>
      <c r="CC45" s="230">
        <v>1956</v>
      </c>
      <c r="CD45" s="230">
        <v>2648</v>
      </c>
      <c r="CE45" s="228">
        <v>-692</v>
      </c>
      <c r="CF45" s="229">
        <v>-0.26140000000000002</v>
      </c>
      <c r="CG45" s="228">
        <v>929</v>
      </c>
      <c r="CH45" s="228">
        <v>223</v>
      </c>
      <c r="CI45" s="228">
        <v>706</v>
      </c>
      <c r="CJ45" s="229">
        <v>3.1690999999999998</v>
      </c>
      <c r="CK45" s="228">
        <v>120</v>
      </c>
      <c r="CL45" s="228">
        <v>120</v>
      </c>
      <c r="CM45" s="228">
        <v>0</v>
      </c>
      <c r="CN45" s="229">
        <v>4.0000000000000001E-3</v>
      </c>
      <c r="CO45" s="228">
        <v>840</v>
      </c>
      <c r="CP45" s="228">
        <v>884</v>
      </c>
      <c r="CQ45" s="228">
        <v>-44</v>
      </c>
      <c r="CR45" s="229">
        <v>-4.9700000000000001E-2</v>
      </c>
      <c r="CS45" s="228">
        <v>596</v>
      </c>
      <c r="CT45" s="228">
        <v>627</v>
      </c>
      <c r="CU45" s="228">
        <v>-31</v>
      </c>
      <c r="CV45" s="229">
        <v>-4.87E-2</v>
      </c>
      <c r="CW45" s="230">
        <v>4441</v>
      </c>
      <c r="CX45" s="230">
        <v>4501</v>
      </c>
      <c r="CY45" s="228">
        <v>-60</v>
      </c>
      <c r="CZ45" s="229">
        <v>-1.34E-2</v>
      </c>
      <c r="DA45" s="228">
        <v>34.6</v>
      </c>
      <c r="DB45" s="228">
        <v>33.39</v>
      </c>
      <c r="DC45" s="228">
        <v>1.21</v>
      </c>
      <c r="DD45" s="228">
        <v>1.21</v>
      </c>
      <c r="DE45" s="228">
        <v>40.74</v>
      </c>
      <c r="DF45" s="228">
        <v>40.799999999999997</v>
      </c>
      <c r="DG45" s="228">
        <v>-6.14</v>
      </c>
      <c r="DH45" s="228">
        <v>-0.06</v>
      </c>
      <c r="DI45" s="228">
        <v>34.270000000000003</v>
      </c>
      <c r="DJ45" s="228">
        <v>32.53</v>
      </c>
      <c r="DK45" s="228">
        <v>1.74</v>
      </c>
      <c r="DL45" s="228">
        <v>1.74</v>
      </c>
      <c r="DM45" s="228">
        <v>35.31</v>
      </c>
      <c r="DN45" s="228">
        <v>35.14</v>
      </c>
      <c r="DO45" s="228">
        <v>0.17</v>
      </c>
      <c r="DP45" s="228">
        <v>0.17</v>
      </c>
      <c r="DQ45" s="228">
        <v>0.71</v>
      </c>
      <c r="DR45" s="228">
        <v>0.71</v>
      </c>
      <c r="DS45" s="228">
        <v>0</v>
      </c>
      <c r="DT45" s="229">
        <v>0</v>
      </c>
      <c r="DU45" s="231">
        <v>1600</v>
      </c>
      <c r="DV45" s="231">
        <v>1500</v>
      </c>
      <c r="DW45" s="228">
        <v>0.56999999999999995</v>
      </c>
      <c r="DX45" s="228">
        <v>0.49</v>
      </c>
      <c r="DY45" s="228">
        <v>0.08</v>
      </c>
      <c r="DZ45" s="229">
        <v>0.1633</v>
      </c>
      <c r="EA45" s="229">
        <v>0.34910000000000002</v>
      </c>
      <c r="EB45" s="230">
        <v>2222500</v>
      </c>
      <c r="EC45" s="229">
        <v>5.5999999999999999E-3</v>
      </c>
      <c r="ED45" s="229">
        <v>0.34910000000000002</v>
      </c>
      <c r="EE45" s="228">
        <v>8.64</v>
      </c>
      <c r="EF45" s="229">
        <v>5.5999999999999999E-3</v>
      </c>
      <c r="EG45" s="230">
        <v>1630795</v>
      </c>
      <c r="EH45" s="230">
        <v>1212119</v>
      </c>
      <c r="EI45" s="229">
        <v>0.34539999999999998</v>
      </c>
      <c r="EJ45" s="229">
        <v>0.67759999999999998</v>
      </c>
      <c r="EK45" s="231">
        <v>1258.0899999999999</v>
      </c>
      <c r="EL45" s="228">
        <v>679.19</v>
      </c>
      <c r="EM45" s="231">
        <v>1808.06</v>
      </c>
      <c r="EN45" s="228">
        <v>40.82</v>
      </c>
      <c r="EO45" s="231">
        <v>3745.35</v>
      </c>
      <c r="EP45" s="231">
        <v>2214.7199999999998</v>
      </c>
      <c r="EQ45" s="231">
        <v>1530.63</v>
      </c>
      <c r="ER45" s="229">
        <v>0.69110000000000005</v>
      </c>
      <c r="ES45" s="228">
        <v>856.51</v>
      </c>
      <c r="ET45" s="228">
        <v>573.78</v>
      </c>
      <c r="EU45" s="231">
        <v>3010.84</v>
      </c>
      <c r="EV45" s="231">
        <v>63646863</v>
      </c>
      <c r="EW45" s="231">
        <v>4441.13</v>
      </c>
      <c r="EX45" s="231">
        <v>4550.74</v>
      </c>
      <c r="EY45" s="228">
        <v>-109.61</v>
      </c>
      <c r="EZ45" s="229">
        <v>-2.41E-2</v>
      </c>
      <c r="FA45" s="229">
        <v>0.45269999999999999</v>
      </c>
      <c r="FB45" s="227" t="s">
        <v>566</v>
      </c>
      <c r="FC45">
        <f t="shared" si="0"/>
        <v>1048</v>
      </c>
    </row>
    <row r="46" spans="1:159" ht="17.25" thickBot="1" x14ac:dyDescent="0.3">
      <c r="A46" s="226">
        <v>46135</v>
      </c>
      <c r="B46" s="227" t="s">
        <v>170</v>
      </c>
      <c r="C46" s="227" t="s">
        <v>199</v>
      </c>
      <c r="D46" s="228">
        <v>375</v>
      </c>
      <c r="E46" s="228">
        <v>5</v>
      </c>
      <c r="F46" s="231">
        <v>1304.7</v>
      </c>
      <c r="G46" s="231">
        <v>1238.4000000000001</v>
      </c>
      <c r="H46" s="228">
        <v>66.3</v>
      </c>
      <c r="I46" s="229">
        <v>5.3499999999999999E-2</v>
      </c>
      <c r="J46" s="231">
        <v>1305.9000000000001</v>
      </c>
      <c r="K46" s="231">
        <v>1236.3</v>
      </c>
      <c r="L46" s="228">
        <v>69.599999999999994</v>
      </c>
      <c r="M46" s="229">
        <v>5.6300000000000003E-2</v>
      </c>
      <c r="N46" s="231">
        <v>1304.7</v>
      </c>
      <c r="O46" s="231">
        <v>1238.4000000000001</v>
      </c>
      <c r="P46" s="228">
        <v>66.3</v>
      </c>
      <c r="Q46" s="229">
        <v>5.3499999999999999E-2</v>
      </c>
      <c r="R46" s="231">
        <v>1311.9</v>
      </c>
      <c r="S46" s="231">
        <v>1245</v>
      </c>
      <c r="T46" s="228">
        <v>66.900000000000006</v>
      </c>
      <c r="U46" s="229">
        <v>5.3699999999999998E-2</v>
      </c>
      <c r="V46" s="231">
        <v>1316.3</v>
      </c>
      <c r="W46" s="231">
        <v>1250.7</v>
      </c>
      <c r="X46" s="228">
        <v>65.599999999999994</v>
      </c>
      <c r="Y46" s="229">
        <v>5.2499999999999998E-2</v>
      </c>
      <c r="Z46" s="228">
        <v>-1.2</v>
      </c>
      <c r="AA46" s="228">
        <v>2.1</v>
      </c>
      <c r="AB46" s="228">
        <v>-3.3</v>
      </c>
      <c r="AC46" s="229">
        <v>-8.9999999999999998E-4</v>
      </c>
      <c r="AD46" s="228">
        <v>-1.2</v>
      </c>
      <c r="AE46" s="228">
        <v>2.1</v>
      </c>
      <c r="AF46" s="228">
        <v>-3.3</v>
      </c>
      <c r="AG46" s="229">
        <v>-8.9999999999999998E-4</v>
      </c>
      <c r="AH46" s="228">
        <v>6</v>
      </c>
      <c r="AI46" s="228">
        <v>8.6999999999999993</v>
      </c>
      <c r="AJ46" s="228">
        <v>-2.7</v>
      </c>
      <c r="AK46" s="229">
        <v>4.5999999999999999E-3</v>
      </c>
      <c r="AL46" s="228">
        <v>10.4</v>
      </c>
      <c r="AM46" s="228">
        <v>14.4</v>
      </c>
      <c r="AN46" s="228">
        <v>-4</v>
      </c>
      <c r="AO46" s="229">
        <v>8.0000000000000002E-3</v>
      </c>
      <c r="AP46" s="231">
        <v>1284.27</v>
      </c>
      <c r="AQ46" s="231">
        <v>1291.7</v>
      </c>
      <c r="AR46" s="228">
        <v>0</v>
      </c>
      <c r="AS46" s="230">
        <v>1633</v>
      </c>
      <c r="AT46" s="228">
        <v>187</v>
      </c>
      <c r="AU46" s="230">
        <v>1446</v>
      </c>
      <c r="AV46" s="229">
        <v>7.7499000000000002</v>
      </c>
      <c r="AW46" s="228">
        <v>872</v>
      </c>
      <c r="AX46" s="228">
        <v>120</v>
      </c>
      <c r="AY46" s="228">
        <v>752</v>
      </c>
      <c r="AZ46" s="229">
        <v>6.2721999999999998</v>
      </c>
      <c r="BA46" s="228">
        <v>744</v>
      </c>
      <c r="BB46" s="228">
        <v>62</v>
      </c>
      <c r="BC46" s="228">
        <v>682</v>
      </c>
      <c r="BD46" s="229">
        <v>10.9201</v>
      </c>
      <c r="BE46" s="228">
        <v>17</v>
      </c>
      <c r="BF46" s="228">
        <v>4</v>
      </c>
      <c r="BG46" s="228">
        <v>13</v>
      </c>
      <c r="BH46" s="229">
        <v>2.9205000000000001</v>
      </c>
      <c r="BI46" s="230">
        <v>7305</v>
      </c>
      <c r="BJ46" s="228">
        <v>564</v>
      </c>
      <c r="BK46" s="230">
        <v>6741</v>
      </c>
      <c r="BL46" s="229">
        <v>11.9628</v>
      </c>
      <c r="BM46" s="230">
        <v>1879</v>
      </c>
      <c r="BN46" s="228">
        <v>232</v>
      </c>
      <c r="BO46" s="230">
        <v>1647</v>
      </c>
      <c r="BP46" s="229">
        <v>7.0991</v>
      </c>
      <c r="BQ46" s="230">
        <v>10816</v>
      </c>
      <c r="BR46" s="228">
        <v>982</v>
      </c>
      <c r="BS46" s="230">
        <v>9834</v>
      </c>
      <c r="BT46" s="229">
        <v>10.0136</v>
      </c>
      <c r="BU46" s="230">
        <v>5598007</v>
      </c>
      <c r="BV46" s="230">
        <v>2237994</v>
      </c>
      <c r="BW46" s="230">
        <v>3360013</v>
      </c>
      <c r="BX46" s="229">
        <v>1.5014000000000001</v>
      </c>
      <c r="BY46" s="230">
        <v>2062</v>
      </c>
      <c r="BZ46" s="230">
        <v>2114</v>
      </c>
      <c r="CA46" s="228">
        <v>-52</v>
      </c>
      <c r="CB46" s="229">
        <v>-2.4400000000000002E-2</v>
      </c>
      <c r="CC46" s="230">
        <v>1033</v>
      </c>
      <c r="CD46" s="230">
        <v>1611</v>
      </c>
      <c r="CE46" s="228">
        <v>-579</v>
      </c>
      <c r="CF46" s="229">
        <v>-0.35920000000000002</v>
      </c>
      <c r="CG46" s="230">
        <v>1008</v>
      </c>
      <c r="CH46" s="228">
        <v>483</v>
      </c>
      <c r="CI46" s="228">
        <v>525</v>
      </c>
      <c r="CJ46" s="229">
        <v>1.0863</v>
      </c>
      <c r="CK46" s="228">
        <v>21</v>
      </c>
      <c r="CL46" s="228">
        <v>19</v>
      </c>
      <c r="CM46" s="228">
        <v>2</v>
      </c>
      <c r="CN46" s="229">
        <v>0.1211</v>
      </c>
      <c r="CO46" s="228">
        <v>667</v>
      </c>
      <c r="CP46" s="228">
        <v>590</v>
      </c>
      <c r="CQ46" s="228">
        <v>77</v>
      </c>
      <c r="CR46" s="229">
        <v>0.13020000000000001</v>
      </c>
      <c r="CS46" s="228">
        <v>651</v>
      </c>
      <c r="CT46" s="228">
        <v>517</v>
      </c>
      <c r="CU46" s="228">
        <v>134</v>
      </c>
      <c r="CV46" s="229">
        <v>0.25850000000000001</v>
      </c>
      <c r="CW46" s="230">
        <v>3380</v>
      </c>
      <c r="CX46" s="230">
        <v>3221</v>
      </c>
      <c r="CY46" s="228">
        <v>159</v>
      </c>
      <c r="CZ46" s="229">
        <v>4.9399999999999999E-2</v>
      </c>
      <c r="DA46" s="228">
        <v>27.36</v>
      </c>
      <c r="DB46" s="228">
        <v>22.32</v>
      </c>
      <c r="DC46" s="228">
        <v>5.04</v>
      </c>
      <c r="DD46" s="228">
        <v>5.04</v>
      </c>
      <c r="DE46" s="228">
        <v>25.85</v>
      </c>
      <c r="DF46" s="228">
        <v>24.9</v>
      </c>
      <c r="DG46" s="228">
        <v>1.51</v>
      </c>
      <c r="DH46" s="228">
        <v>0.95</v>
      </c>
      <c r="DI46" s="228">
        <v>27.16</v>
      </c>
      <c r="DJ46" s="228">
        <v>21.58</v>
      </c>
      <c r="DK46" s="228">
        <v>5.58</v>
      </c>
      <c r="DL46" s="228">
        <v>5.58</v>
      </c>
      <c r="DM46" s="228">
        <v>27.93</v>
      </c>
      <c r="DN46" s="228">
        <v>24.11</v>
      </c>
      <c r="DO46" s="228">
        <v>3.82</v>
      </c>
      <c r="DP46" s="228">
        <v>3.82</v>
      </c>
      <c r="DQ46" s="228">
        <v>0.98</v>
      </c>
      <c r="DR46" s="228">
        <v>0.88</v>
      </c>
      <c r="DS46" s="228">
        <v>0.1</v>
      </c>
      <c r="DT46" s="229">
        <v>0.11360000000000001</v>
      </c>
      <c r="DU46" s="231">
        <v>1280</v>
      </c>
      <c r="DV46" s="231">
        <v>1160</v>
      </c>
      <c r="DW46" s="228">
        <v>0.26</v>
      </c>
      <c r="DX46" s="228">
        <v>0.41</v>
      </c>
      <c r="DY46" s="228">
        <v>-0.15</v>
      </c>
      <c r="DZ46" s="229">
        <v>-0.3659</v>
      </c>
      <c r="EA46" s="229">
        <v>0.49930000000000002</v>
      </c>
      <c r="EB46" s="230">
        <v>3849750</v>
      </c>
      <c r="EC46" s="229">
        <v>5.4999999999999997E-3</v>
      </c>
      <c r="ED46" s="229">
        <v>0.49930000000000002</v>
      </c>
      <c r="EE46" s="228">
        <v>7.43</v>
      </c>
      <c r="EF46" s="229">
        <v>5.7999999999999996E-3</v>
      </c>
      <c r="EG46" s="230">
        <v>2233329</v>
      </c>
      <c r="EH46" s="230">
        <v>1811014</v>
      </c>
      <c r="EI46" s="229">
        <v>0.23319999999999999</v>
      </c>
      <c r="EJ46" s="229">
        <v>0.39900000000000002</v>
      </c>
      <c r="EK46" s="231">
        <v>7363.91</v>
      </c>
      <c r="EL46" s="231">
        <v>1821.76</v>
      </c>
      <c r="EM46" s="231">
        <v>1611.49</v>
      </c>
      <c r="EN46" s="228">
        <v>52.39</v>
      </c>
      <c r="EO46" s="231">
        <v>10797.16</v>
      </c>
      <c r="EP46" s="228">
        <v>938.99</v>
      </c>
      <c r="EQ46" s="231">
        <v>9858.17</v>
      </c>
      <c r="ER46" s="229">
        <v>10.4986</v>
      </c>
      <c r="ES46" s="228">
        <v>665.89</v>
      </c>
      <c r="ET46" s="228">
        <v>604.17999999999995</v>
      </c>
      <c r="EU46" s="231">
        <v>2067.9499999999998</v>
      </c>
      <c r="EV46" s="231">
        <v>76385219</v>
      </c>
      <c r="EW46" s="231">
        <v>3338.02</v>
      </c>
      <c r="EX46" s="231">
        <v>3057.18</v>
      </c>
      <c r="EY46" s="228">
        <v>280.83999999999997</v>
      </c>
      <c r="EZ46" s="229">
        <v>9.1899999999999996E-2</v>
      </c>
      <c r="FA46" s="229">
        <v>0.3392</v>
      </c>
      <c r="FB46" s="227" t="s">
        <v>693</v>
      </c>
      <c r="FC46">
        <f t="shared" si="0"/>
        <v>1029</v>
      </c>
    </row>
    <row r="47" spans="1:159" ht="17.25" thickBot="1" x14ac:dyDescent="0.3">
      <c r="A47" s="226">
        <v>46135</v>
      </c>
      <c r="B47" s="227" t="s">
        <v>227</v>
      </c>
      <c r="C47" s="227" t="s">
        <v>200</v>
      </c>
      <c r="D47" s="228">
        <v>1350</v>
      </c>
      <c r="E47" s="228">
        <v>5</v>
      </c>
      <c r="F47" s="228">
        <v>452.2</v>
      </c>
      <c r="G47" s="228">
        <v>445.25</v>
      </c>
      <c r="H47" s="228">
        <v>6.95</v>
      </c>
      <c r="I47" s="229">
        <v>1.5599999999999999E-2</v>
      </c>
      <c r="J47" s="228">
        <v>450.65</v>
      </c>
      <c r="K47" s="228">
        <v>444.15</v>
      </c>
      <c r="L47" s="228">
        <v>6.5</v>
      </c>
      <c r="M47" s="229">
        <v>1.46E-2</v>
      </c>
      <c r="N47" s="228">
        <v>452.2</v>
      </c>
      <c r="O47" s="228">
        <v>445.25</v>
      </c>
      <c r="P47" s="228">
        <v>6.95</v>
      </c>
      <c r="Q47" s="229">
        <v>1.5599999999999999E-2</v>
      </c>
      <c r="R47" s="228">
        <v>448.5</v>
      </c>
      <c r="S47" s="228">
        <v>442.45</v>
      </c>
      <c r="T47" s="228">
        <v>6.05</v>
      </c>
      <c r="U47" s="229">
        <v>1.37E-2</v>
      </c>
      <c r="V47" s="228">
        <v>445.95</v>
      </c>
      <c r="W47" s="228">
        <v>441.4</v>
      </c>
      <c r="X47" s="228">
        <v>4.55</v>
      </c>
      <c r="Y47" s="229">
        <v>1.03E-2</v>
      </c>
      <c r="Z47" s="228">
        <v>1.55</v>
      </c>
      <c r="AA47" s="228">
        <v>1.1000000000000001</v>
      </c>
      <c r="AB47" s="228">
        <v>0.45</v>
      </c>
      <c r="AC47" s="229">
        <v>3.3999999999999998E-3</v>
      </c>
      <c r="AD47" s="228">
        <v>1.55</v>
      </c>
      <c r="AE47" s="228">
        <v>1.1000000000000001</v>
      </c>
      <c r="AF47" s="228">
        <v>0.45</v>
      </c>
      <c r="AG47" s="229">
        <v>3.3999999999999998E-3</v>
      </c>
      <c r="AH47" s="228">
        <v>-2.15</v>
      </c>
      <c r="AI47" s="228">
        <v>-1.7</v>
      </c>
      <c r="AJ47" s="228">
        <v>-0.45</v>
      </c>
      <c r="AK47" s="229">
        <v>-4.7999999999999996E-3</v>
      </c>
      <c r="AL47" s="228">
        <v>-4.7</v>
      </c>
      <c r="AM47" s="228">
        <v>-2.75</v>
      </c>
      <c r="AN47" s="228">
        <v>-1.95</v>
      </c>
      <c r="AO47" s="229">
        <v>-1.04E-2</v>
      </c>
      <c r="AP47" s="228">
        <v>449.16</v>
      </c>
      <c r="AQ47" s="228">
        <v>445.01</v>
      </c>
      <c r="AR47" s="228">
        <v>0</v>
      </c>
      <c r="AS47" s="230">
        <v>2345</v>
      </c>
      <c r="AT47" s="228">
        <v>510</v>
      </c>
      <c r="AU47" s="230">
        <v>1835</v>
      </c>
      <c r="AV47" s="229">
        <v>3.5964999999999998</v>
      </c>
      <c r="AW47" s="230">
        <v>1240</v>
      </c>
      <c r="AX47" s="228">
        <v>318</v>
      </c>
      <c r="AY47" s="228">
        <v>922</v>
      </c>
      <c r="AZ47" s="229">
        <v>2.9011</v>
      </c>
      <c r="BA47" s="230">
        <v>1088</v>
      </c>
      <c r="BB47" s="228">
        <v>181</v>
      </c>
      <c r="BC47" s="228">
        <v>907</v>
      </c>
      <c r="BD47" s="229">
        <v>4.9955999999999996</v>
      </c>
      <c r="BE47" s="228">
        <v>17</v>
      </c>
      <c r="BF47" s="228">
        <v>11</v>
      </c>
      <c r="BG47" s="228">
        <v>6</v>
      </c>
      <c r="BH47" s="229">
        <v>0.56740000000000002</v>
      </c>
      <c r="BI47" s="230">
        <v>3056</v>
      </c>
      <c r="BJ47" s="230">
        <v>2647</v>
      </c>
      <c r="BK47" s="228">
        <v>410</v>
      </c>
      <c r="BL47" s="229">
        <v>0.15479999999999999</v>
      </c>
      <c r="BM47" s="230">
        <v>1767</v>
      </c>
      <c r="BN47" s="230">
        <v>1454</v>
      </c>
      <c r="BO47" s="228">
        <v>313</v>
      </c>
      <c r="BP47" s="229">
        <v>0.21529999999999999</v>
      </c>
      <c r="BQ47" s="230">
        <v>7168</v>
      </c>
      <c r="BR47" s="230">
        <v>4611</v>
      </c>
      <c r="BS47" s="230">
        <v>2557</v>
      </c>
      <c r="BT47" s="229">
        <v>0.55469999999999997</v>
      </c>
      <c r="BU47" s="230">
        <v>9176692</v>
      </c>
      <c r="BV47" s="230">
        <v>7386423</v>
      </c>
      <c r="BW47" s="230">
        <v>1790269</v>
      </c>
      <c r="BX47" s="229">
        <v>0.2424</v>
      </c>
      <c r="BY47" s="230">
        <v>2931</v>
      </c>
      <c r="BZ47" s="230">
        <v>3296</v>
      </c>
      <c r="CA47" s="228">
        <v>-364</v>
      </c>
      <c r="CB47" s="229">
        <v>-0.1106</v>
      </c>
      <c r="CC47" s="230">
        <v>1840</v>
      </c>
      <c r="CD47" s="230">
        <v>2767</v>
      </c>
      <c r="CE47" s="228">
        <v>-927</v>
      </c>
      <c r="CF47" s="229">
        <v>-0.33500000000000002</v>
      </c>
      <c r="CG47" s="230">
        <v>1044</v>
      </c>
      <c r="CH47" s="228">
        <v>484</v>
      </c>
      <c r="CI47" s="228">
        <v>560</v>
      </c>
      <c r="CJ47" s="229">
        <v>1.1551</v>
      </c>
      <c r="CK47" s="228">
        <v>47</v>
      </c>
      <c r="CL47" s="228">
        <v>45</v>
      </c>
      <c r="CM47" s="228">
        <v>3</v>
      </c>
      <c r="CN47" s="229">
        <v>6.0400000000000002E-2</v>
      </c>
      <c r="CO47" s="230">
        <v>1764</v>
      </c>
      <c r="CP47" s="230">
        <v>1941</v>
      </c>
      <c r="CQ47" s="228">
        <v>-178</v>
      </c>
      <c r="CR47" s="229">
        <v>-9.1499999999999998E-2</v>
      </c>
      <c r="CS47" s="230">
        <v>1201</v>
      </c>
      <c r="CT47" s="230">
        <v>1208</v>
      </c>
      <c r="CU47" s="228">
        <v>-7</v>
      </c>
      <c r="CV47" s="229">
        <v>-5.8999999999999999E-3</v>
      </c>
      <c r="CW47" s="230">
        <v>5896</v>
      </c>
      <c r="CX47" s="230">
        <v>6445</v>
      </c>
      <c r="CY47" s="228">
        <v>-549</v>
      </c>
      <c r="CZ47" s="229">
        <v>-8.5199999999999998E-2</v>
      </c>
      <c r="DA47" s="228">
        <v>28.1</v>
      </c>
      <c r="DB47" s="228">
        <v>27.25</v>
      </c>
      <c r="DC47" s="228">
        <v>0.85</v>
      </c>
      <c r="DD47" s="228">
        <v>0.85</v>
      </c>
      <c r="DE47" s="228">
        <v>30.81</v>
      </c>
      <c r="DF47" s="228">
        <v>30.82</v>
      </c>
      <c r="DG47" s="228">
        <v>-2.71</v>
      </c>
      <c r="DH47" s="228">
        <v>-0.01</v>
      </c>
      <c r="DI47" s="228">
        <v>28.31</v>
      </c>
      <c r="DJ47" s="228">
        <v>27.18</v>
      </c>
      <c r="DK47" s="228">
        <v>1.1299999999999999</v>
      </c>
      <c r="DL47" s="228">
        <v>1.1299999999999999</v>
      </c>
      <c r="DM47" s="228">
        <v>27.82</v>
      </c>
      <c r="DN47" s="228">
        <v>27.37</v>
      </c>
      <c r="DO47" s="228">
        <v>0.45</v>
      </c>
      <c r="DP47" s="228">
        <v>0.45</v>
      </c>
      <c r="DQ47" s="228">
        <v>0.68</v>
      </c>
      <c r="DR47" s="228">
        <v>0.62</v>
      </c>
      <c r="DS47" s="228">
        <v>0.06</v>
      </c>
      <c r="DT47" s="229">
        <v>9.6799999999999997E-2</v>
      </c>
      <c r="DU47" s="228">
        <v>460</v>
      </c>
      <c r="DV47" s="228">
        <v>400</v>
      </c>
      <c r="DW47" s="228">
        <v>0.57999999999999996</v>
      </c>
      <c r="DX47" s="228">
        <v>0.55000000000000004</v>
      </c>
      <c r="DY47" s="228">
        <v>0.03</v>
      </c>
      <c r="DZ47" s="229">
        <v>5.45E-2</v>
      </c>
      <c r="EA47" s="229">
        <v>0.37230000000000002</v>
      </c>
      <c r="EB47" s="230">
        <v>11696400</v>
      </c>
      <c r="EC47" s="229">
        <v>-8.2000000000000007E-3</v>
      </c>
      <c r="ED47" s="229">
        <v>0.37230000000000002</v>
      </c>
      <c r="EE47" s="228">
        <v>-4.1500000000000004</v>
      </c>
      <c r="EF47" s="229">
        <v>-9.1999999999999998E-3</v>
      </c>
      <c r="EG47" s="230">
        <v>5255644</v>
      </c>
      <c r="EH47" s="230">
        <v>3849608</v>
      </c>
      <c r="EI47" s="229">
        <v>0.36520000000000002</v>
      </c>
      <c r="EJ47" s="229">
        <v>0.57269999999999999</v>
      </c>
      <c r="EK47" s="231">
        <v>3121.38</v>
      </c>
      <c r="EL47" s="231">
        <v>1733.37</v>
      </c>
      <c r="EM47" s="231">
        <v>2319.02</v>
      </c>
      <c r="EN47" s="228">
        <v>72.819999999999993</v>
      </c>
      <c r="EO47" s="231">
        <v>7173.77</v>
      </c>
      <c r="EP47" s="231">
        <v>4605.8900000000003</v>
      </c>
      <c r="EQ47" s="231">
        <v>2567.88</v>
      </c>
      <c r="ER47" s="229">
        <v>0.5575</v>
      </c>
      <c r="ES47" s="231">
        <v>1823.86</v>
      </c>
      <c r="ET47" s="231">
        <v>1141.07</v>
      </c>
      <c r="EU47" s="231">
        <v>2921.92</v>
      </c>
      <c r="EV47" s="231">
        <v>320531323</v>
      </c>
      <c r="EW47" s="231">
        <v>5886.84</v>
      </c>
      <c r="EX47" s="231">
        <v>6386.45</v>
      </c>
      <c r="EY47" s="228">
        <v>-499.61</v>
      </c>
      <c r="EZ47" s="229">
        <v>-7.8200000000000006E-2</v>
      </c>
      <c r="FA47" s="229">
        <v>0.40679999999999999</v>
      </c>
      <c r="FB47" s="227" t="s">
        <v>693</v>
      </c>
      <c r="FC47">
        <f t="shared" si="0"/>
        <v>1091</v>
      </c>
    </row>
    <row r="48" spans="1:159" ht="17.25" thickBot="1" x14ac:dyDescent="0.3">
      <c r="A48" s="226">
        <v>46135</v>
      </c>
      <c r="B48" s="227" t="s">
        <v>215</v>
      </c>
      <c r="C48" s="227" t="s">
        <v>696</v>
      </c>
      <c r="D48" s="228">
        <v>400</v>
      </c>
      <c r="E48" s="228">
        <v>5</v>
      </c>
      <c r="F48" s="231">
        <v>1593.5</v>
      </c>
      <c r="G48" s="231">
        <v>1584.5</v>
      </c>
      <c r="H48" s="228">
        <v>9</v>
      </c>
      <c r="I48" s="229">
        <v>5.7000000000000002E-3</v>
      </c>
      <c r="J48" s="231">
        <v>1592.8</v>
      </c>
      <c r="K48" s="231">
        <v>1583.1</v>
      </c>
      <c r="L48" s="228">
        <v>9.6999999999999993</v>
      </c>
      <c r="M48" s="229">
        <v>6.1000000000000004E-3</v>
      </c>
      <c r="N48" s="231">
        <v>1593.5</v>
      </c>
      <c r="O48" s="231">
        <v>1584.5</v>
      </c>
      <c r="P48" s="228">
        <v>9</v>
      </c>
      <c r="Q48" s="229">
        <v>5.7000000000000002E-3</v>
      </c>
      <c r="R48" s="231">
        <v>1594.1</v>
      </c>
      <c r="S48" s="231">
        <v>1589.5</v>
      </c>
      <c r="T48" s="228">
        <v>4.5999999999999996</v>
      </c>
      <c r="U48" s="229">
        <v>2.8999999999999998E-3</v>
      </c>
      <c r="V48" s="231">
        <v>1592.9</v>
      </c>
      <c r="W48" s="231">
        <v>1593</v>
      </c>
      <c r="X48" s="228">
        <v>-0.1</v>
      </c>
      <c r="Y48" s="229">
        <v>-1E-4</v>
      </c>
      <c r="Z48" s="228">
        <v>0.7</v>
      </c>
      <c r="AA48" s="228">
        <v>1.4</v>
      </c>
      <c r="AB48" s="228">
        <v>-0.7</v>
      </c>
      <c r="AC48" s="229">
        <v>4.0000000000000002E-4</v>
      </c>
      <c r="AD48" s="228">
        <v>0.7</v>
      </c>
      <c r="AE48" s="228">
        <v>1.4</v>
      </c>
      <c r="AF48" s="228">
        <v>-0.7</v>
      </c>
      <c r="AG48" s="229">
        <v>4.0000000000000002E-4</v>
      </c>
      <c r="AH48" s="228">
        <v>1.3</v>
      </c>
      <c r="AI48" s="228">
        <v>6.4</v>
      </c>
      <c r="AJ48" s="228">
        <v>-5.0999999999999996</v>
      </c>
      <c r="AK48" s="229">
        <v>8.0000000000000004E-4</v>
      </c>
      <c r="AL48" s="228">
        <v>0.1</v>
      </c>
      <c r="AM48" s="228">
        <v>9.9</v>
      </c>
      <c r="AN48" s="228">
        <v>-9.8000000000000007</v>
      </c>
      <c r="AO48" s="229">
        <v>1E-4</v>
      </c>
      <c r="AP48" s="231">
        <v>1597.06</v>
      </c>
      <c r="AQ48" s="231">
        <v>1599.04</v>
      </c>
      <c r="AR48" s="228">
        <v>0</v>
      </c>
      <c r="AS48" s="228">
        <v>253</v>
      </c>
      <c r="AT48" s="228">
        <v>128</v>
      </c>
      <c r="AU48" s="228">
        <v>125</v>
      </c>
      <c r="AV48" s="229">
        <v>0.97660000000000002</v>
      </c>
      <c r="AW48" s="228">
        <v>128</v>
      </c>
      <c r="AX48" s="228">
        <v>86</v>
      </c>
      <c r="AY48" s="228">
        <v>42</v>
      </c>
      <c r="AZ48" s="229">
        <v>0.49149999999999999</v>
      </c>
      <c r="BA48" s="228">
        <v>123</v>
      </c>
      <c r="BB48" s="228">
        <v>41</v>
      </c>
      <c r="BC48" s="228">
        <v>82</v>
      </c>
      <c r="BD48" s="229">
        <v>2.0078</v>
      </c>
      <c r="BE48" s="228">
        <v>2</v>
      </c>
      <c r="BF48" s="228">
        <v>1</v>
      </c>
      <c r="BG48" s="228">
        <v>1</v>
      </c>
      <c r="BH48" s="229">
        <v>0.59089999999999998</v>
      </c>
      <c r="BI48" s="228">
        <v>577</v>
      </c>
      <c r="BJ48" s="228">
        <v>368</v>
      </c>
      <c r="BK48" s="228">
        <v>209</v>
      </c>
      <c r="BL48" s="229">
        <v>0.56879999999999997</v>
      </c>
      <c r="BM48" s="228">
        <v>165</v>
      </c>
      <c r="BN48" s="228">
        <v>102</v>
      </c>
      <c r="BO48" s="228">
        <v>63</v>
      </c>
      <c r="BP48" s="229">
        <v>0.62019999999999997</v>
      </c>
      <c r="BQ48" s="228">
        <v>996</v>
      </c>
      <c r="BR48" s="228">
        <v>598</v>
      </c>
      <c r="BS48" s="228">
        <v>398</v>
      </c>
      <c r="BT48" s="229">
        <v>0.66500000000000004</v>
      </c>
      <c r="BU48" s="230">
        <v>2196390</v>
      </c>
      <c r="BV48" s="230">
        <v>1732569</v>
      </c>
      <c r="BW48" s="230">
        <v>463821</v>
      </c>
      <c r="BX48" s="229">
        <v>0.26769999999999999</v>
      </c>
      <c r="BY48" s="228">
        <v>322</v>
      </c>
      <c r="BZ48" s="228">
        <v>323</v>
      </c>
      <c r="CA48" s="228">
        <v>-1</v>
      </c>
      <c r="CB48" s="229">
        <v>-3.0000000000000001E-3</v>
      </c>
      <c r="CC48" s="228">
        <v>179</v>
      </c>
      <c r="CD48" s="228">
        <v>228</v>
      </c>
      <c r="CE48" s="228">
        <v>-49</v>
      </c>
      <c r="CF48" s="229">
        <v>-0.2147</v>
      </c>
      <c r="CG48" s="228">
        <v>138</v>
      </c>
      <c r="CH48" s="228">
        <v>89</v>
      </c>
      <c r="CI48" s="228">
        <v>48</v>
      </c>
      <c r="CJ48" s="229">
        <v>0.54179999999999995</v>
      </c>
      <c r="CK48" s="228">
        <v>5</v>
      </c>
      <c r="CL48" s="228">
        <v>6</v>
      </c>
      <c r="CM48" s="228">
        <v>0</v>
      </c>
      <c r="CN48" s="229">
        <v>-7.5300000000000006E-2</v>
      </c>
      <c r="CO48" s="228">
        <v>177</v>
      </c>
      <c r="CP48" s="228">
        <v>192</v>
      </c>
      <c r="CQ48" s="228">
        <v>-15</v>
      </c>
      <c r="CR48" s="229">
        <v>-7.5800000000000006E-2</v>
      </c>
      <c r="CS48" s="228">
        <v>119</v>
      </c>
      <c r="CT48" s="228">
        <v>120</v>
      </c>
      <c r="CU48" s="228">
        <v>-1</v>
      </c>
      <c r="CV48" s="229">
        <v>-4.7999999999999996E-3</v>
      </c>
      <c r="CW48" s="228">
        <v>619</v>
      </c>
      <c r="CX48" s="228">
        <v>635</v>
      </c>
      <c r="CY48" s="228">
        <v>-16</v>
      </c>
      <c r="CZ48" s="229">
        <v>-2.53E-2</v>
      </c>
      <c r="DA48" s="228">
        <v>53.48</v>
      </c>
      <c r="DB48" s="228">
        <v>52.95</v>
      </c>
      <c r="DC48" s="228">
        <v>0.53</v>
      </c>
      <c r="DD48" s="228">
        <v>0.53</v>
      </c>
      <c r="DE48" s="228">
        <v>54.45</v>
      </c>
      <c r="DF48" s="228">
        <v>54.58</v>
      </c>
      <c r="DG48" s="228">
        <v>-0.97</v>
      </c>
      <c r="DH48" s="228">
        <v>-0.13</v>
      </c>
      <c r="DI48" s="228">
        <v>53.29</v>
      </c>
      <c r="DJ48" s="228">
        <v>52.58</v>
      </c>
      <c r="DK48" s="228">
        <v>0.71</v>
      </c>
      <c r="DL48" s="228">
        <v>0.71</v>
      </c>
      <c r="DM48" s="228">
        <v>53.98</v>
      </c>
      <c r="DN48" s="228">
        <v>54.28</v>
      </c>
      <c r="DO48" s="228">
        <v>-0.3</v>
      </c>
      <c r="DP48" s="228">
        <v>-0.3</v>
      </c>
      <c r="DQ48" s="228">
        <v>0.67</v>
      </c>
      <c r="DR48" s="228">
        <v>0.63</v>
      </c>
      <c r="DS48" s="228">
        <v>0.04</v>
      </c>
      <c r="DT48" s="229">
        <v>6.3500000000000001E-2</v>
      </c>
      <c r="DU48" s="231">
        <v>1600</v>
      </c>
      <c r="DV48" s="231">
        <v>1420</v>
      </c>
      <c r="DW48" s="228">
        <v>0.28999999999999998</v>
      </c>
      <c r="DX48" s="228">
        <v>0.28000000000000003</v>
      </c>
      <c r="DY48" s="228">
        <v>0.01</v>
      </c>
      <c r="DZ48" s="229">
        <v>3.5700000000000003E-2</v>
      </c>
      <c r="EA48" s="229">
        <v>0.4446</v>
      </c>
      <c r="EB48" s="230">
        <v>597600</v>
      </c>
      <c r="EC48" s="229">
        <v>4.0000000000000002E-4</v>
      </c>
      <c r="ED48" s="229">
        <v>0.4446</v>
      </c>
      <c r="EE48" s="228">
        <v>1.98</v>
      </c>
      <c r="EF48" s="229">
        <v>1.1999999999999999E-3</v>
      </c>
      <c r="EG48" s="230">
        <v>582744</v>
      </c>
      <c r="EH48" s="230">
        <v>515809</v>
      </c>
      <c r="EI48" s="229">
        <v>0.1298</v>
      </c>
      <c r="EJ48" s="229">
        <v>0.26529999999999998</v>
      </c>
      <c r="EK48" s="228">
        <v>598.91</v>
      </c>
      <c r="EL48" s="228">
        <v>157.84</v>
      </c>
      <c r="EM48" s="228">
        <v>254.09</v>
      </c>
      <c r="EN48" s="228">
        <v>27.15</v>
      </c>
      <c r="EO48" s="231">
        <v>1010.85</v>
      </c>
      <c r="EP48" s="228">
        <v>602.62</v>
      </c>
      <c r="EQ48" s="228">
        <v>408.23</v>
      </c>
      <c r="ER48" s="229">
        <v>0.6774</v>
      </c>
      <c r="ES48" s="228">
        <v>174.12</v>
      </c>
      <c r="ET48" s="228">
        <v>106.62</v>
      </c>
      <c r="EU48" s="228">
        <v>322.06</v>
      </c>
      <c r="EV48" s="231">
        <v>12661431</v>
      </c>
      <c r="EW48" s="228">
        <v>602.79999999999995</v>
      </c>
      <c r="EX48" s="228">
        <v>614.32000000000005</v>
      </c>
      <c r="EY48" s="228">
        <v>-11.52</v>
      </c>
      <c r="EZ48" s="229">
        <v>-1.8800000000000001E-2</v>
      </c>
      <c r="FA48" s="229">
        <v>0.30659999999999998</v>
      </c>
      <c r="FB48" s="227" t="s">
        <v>693</v>
      </c>
      <c r="FC48">
        <f t="shared" si="0"/>
        <v>143</v>
      </c>
    </row>
    <row r="49" spans="1:159" ht="17.25" thickBot="1" x14ac:dyDescent="0.3">
      <c r="A49" s="226">
        <v>46135</v>
      </c>
      <c r="B49" s="227" t="s">
        <v>221</v>
      </c>
      <c r="C49" s="227" t="s">
        <v>470</v>
      </c>
      <c r="D49" s="228">
        <v>375</v>
      </c>
      <c r="E49" s="228">
        <v>5</v>
      </c>
      <c r="F49" s="231">
        <v>1219.5</v>
      </c>
      <c r="G49" s="231">
        <v>1240.9000000000001</v>
      </c>
      <c r="H49" s="228">
        <v>-21.4</v>
      </c>
      <c r="I49" s="229">
        <v>-1.72E-2</v>
      </c>
      <c r="J49" s="231">
        <v>1220.5999999999999</v>
      </c>
      <c r="K49" s="231">
        <v>1235.8</v>
      </c>
      <c r="L49" s="228">
        <v>-15.2</v>
      </c>
      <c r="M49" s="229">
        <v>-1.23E-2</v>
      </c>
      <c r="N49" s="231">
        <v>1219.5</v>
      </c>
      <c r="O49" s="231">
        <v>1240.9000000000001</v>
      </c>
      <c r="P49" s="228">
        <v>-21.4</v>
      </c>
      <c r="Q49" s="229">
        <v>-1.72E-2</v>
      </c>
      <c r="R49" s="231">
        <v>1222.4000000000001</v>
      </c>
      <c r="S49" s="231">
        <v>1241.7</v>
      </c>
      <c r="T49" s="228">
        <v>-19.3</v>
      </c>
      <c r="U49" s="229">
        <v>-1.55E-2</v>
      </c>
      <c r="V49" s="231">
        <v>1229.4000000000001</v>
      </c>
      <c r="W49" s="231">
        <v>1249.2</v>
      </c>
      <c r="X49" s="228">
        <v>-19.8</v>
      </c>
      <c r="Y49" s="229">
        <v>-1.5900000000000001E-2</v>
      </c>
      <c r="Z49" s="228">
        <v>-1.1000000000000001</v>
      </c>
      <c r="AA49" s="228">
        <v>5.0999999999999996</v>
      </c>
      <c r="AB49" s="228">
        <v>-6.2</v>
      </c>
      <c r="AC49" s="229">
        <v>-8.9999999999999998E-4</v>
      </c>
      <c r="AD49" s="228">
        <v>-1.1000000000000001</v>
      </c>
      <c r="AE49" s="228">
        <v>5.0999999999999996</v>
      </c>
      <c r="AF49" s="228">
        <v>-6.2</v>
      </c>
      <c r="AG49" s="229">
        <v>-8.9999999999999998E-4</v>
      </c>
      <c r="AH49" s="228">
        <v>1.8</v>
      </c>
      <c r="AI49" s="228">
        <v>5.9</v>
      </c>
      <c r="AJ49" s="228">
        <v>-4.0999999999999996</v>
      </c>
      <c r="AK49" s="229">
        <v>1.5E-3</v>
      </c>
      <c r="AL49" s="228">
        <v>8.8000000000000007</v>
      </c>
      <c r="AM49" s="228">
        <v>13.4</v>
      </c>
      <c r="AN49" s="228">
        <v>-4.5999999999999996</v>
      </c>
      <c r="AO49" s="229">
        <v>7.1999999999999998E-3</v>
      </c>
      <c r="AP49" s="231">
        <v>1230.6400000000001</v>
      </c>
      <c r="AQ49" s="231">
        <v>1233.69</v>
      </c>
      <c r="AR49" s="228">
        <v>0</v>
      </c>
      <c r="AS49" s="230">
        <v>1496</v>
      </c>
      <c r="AT49" s="228">
        <v>874</v>
      </c>
      <c r="AU49" s="228">
        <v>622</v>
      </c>
      <c r="AV49" s="229">
        <v>0.71189999999999998</v>
      </c>
      <c r="AW49" s="228">
        <v>752</v>
      </c>
      <c r="AX49" s="228">
        <v>505</v>
      </c>
      <c r="AY49" s="228">
        <v>247</v>
      </c>
      <c r="AZ49" s="229">
        <v>0.4894</v>
      </c>
      <c r="BA49" s="228">
        <v>738</v>
      </c>
      <c r="BB49" s="228">
        <v>350</v>
      </c>
      <c r="BC49" s="228">
        <v>388</v>
      </c>
      <c r="BD49" s="229">
        <v>1.107</v>
      </c>
      <c r="BE49" s="228">
        <v>5</v>
      </c>
      <c r="BF49" s="228">
        <v>18</v>
      </c>
      <c r="BG49" s="228">
        <v>-13</v>
      </c>
      <c r="BH49" s="229">
        <v>-0.72040000000000004</v>
      </c>
      <c r="BI49" s="230">
        <v>1199</v>
      </c>
      <c r="BJ49" s="230">
        <v>2790</v>
      </c>
      <c r="BK49" s="230">
        <v>-1591</v>
      </c>
      <c r="BL49" s="229">
        <v>-0.57030000000000003</v>
      </c>
      <c r="BM49" s="228">
        <v>674</v>
      </c>
      <c r="BN49" s="230">
        <v>1734</v>
      </c>
      <c r="BO49" s="230">
        <v>-1060</v>
      </c>
      <c r="BP49" s="229">
        <v>-0.61129999999999995</v>
      </c>
      <c r="BQ49" s="230">
        <v>3369</v>
      </c>
      <c r="BR49" s="230">
        <v>5398</v>
      </c>
      <c r="BS49" s="230">
        <v>-2029</v>
      </c>
      <c r="BT49" s="229">
        <v>-0.37590000000000001</v>
      </c>
      <c r="BU49" s="230">
        <v>2239646</v>
      </c>
      <c r="BV49" s="230">
        <v>6574411</v>
      </c>
      <c r="BW49" s="230">
        <v>-4334765</v>
      </c>
      <c r="BX49" s="229">
        <v>-0.6593</v>
      </c>
      <c r="BY49" s="230">
        <v>2463</v>
      </c>
      <c r="BZ49" s="230">
        <v>2449</v>
      </c>
      <c r="CA49" s="228">
        <v>14</v>
      </c>
      <c r="CB49" s="229">
        <v>5.5999999999999999E-3</v>
      </c>
      <c r="CC49" s="230">
        <v>1457</v>
      </c>
      <c r="CD49" s="230">
        <v>2024</v>
      </c>
      <c r="CE49" s="228">
        <v>-567</v>
      </c>
      <c r="CF49" s="229">
        <v>-0.28010000000000002</v>
      </c>
      <c r="CG49" s="228">
        <v>981</v>
      </c>
      <c r="CH49" s="228">
        <v>402</v>
      </c>
      <c r="CI49" s="228">
        <v>579</v>
      </c>
      <c r="CJ49" s="229">
        <v>1.4407000000000001</v>
      </c>
      <c r="CK49" s="228">
        <v>24</v>
      </c>
      <c r="CL49" s="228">
        <v>23</v>
      </c>
      <c r="CM49" s="228">
        <v>2</v>
      </c>
      <c r="CN49" s="229">
        <v>6.5699999999999995E-2</v>
      </c>
      <c r="CO49" s="230">
        <v>1182</v>
      </c>
      <c r="CP49" s="230">
        <v>1140</v>
      </c>
      <c r="CQ49" s="228">
        <v>43</v>
      </c>
      <c r="CR49" s="229">
        <v>3.7400000000000003E-2</v>
      </c>
      <c r="CS49" s="228">
        <v>637</v>
      </c>
      <c r="CT49" s="228">
        <v>658</v>
      </c>
      <c r="CU49" s="228">
        <v>-21</v>
      </c>
      <c r="CV49" s="229">
        <v>-3.27E-2</v>
      </c>
      <c r="CW49" s="230">
        <v>4282</v>
      </c>
      <c r="CX49" s="230">
        <v>4247</v>
      </c>
      <c r="CY49" s="228">
        <v>35</v>
      </c>
      <c r="CZ49" s="229">
        <v>8.2000000000000007E-3</v>
      </c>
      <c r="DA49" s="228">
        <v>49.18</v>
      </c>
      <c r="DB49" s="228">
        <v>44.39</v>
      </c>
      <c r="DC49" s="228">
        <v>4.79</v>
      </c>
      <c r="DD49" s="228">
        <v>4.79</v>
      </c>
      <c r="DE49" s="228">
        <v>43.34</v>
      </c>
      <c r="DF49" s="228">
        <v>43.41</v>
      </c>
      <c r="DG49" s="228">
        <v>5.84</v>
      </c>
      <c r="DH49" s="228">
        <v>-7.0000000000000007E-2</v>
      </c>
      <c r="DI49" s="228">
        <v>49.1</v>
      </c>
      <c r="DJ49" s="228">
        <v>44.92</v>
      </c>
      <c r="DK49" s="228">
        <v>4.18</v>
      </c>
      <c r="DL49" s="228">
        <v>4.18</v>
      </c>
      <c r="DM49" s="228">
        <v>49.35</v>
      </c>
      <c r="DN49" s="228">
        <v>43.53</v>
      </c>
      <c r="DO49" s="228">
        <v>5.82</v>
      </c>
      <c r="DP49" s="228">
        <v>5.82</v>
      </c>
      <c r="DQ49" s="228">
        <v>0.54</v>
      </c>
      <c r="DR49" s="228">
        <v>0.57999999999999996</v>
      </c>
      <c r="DS49" s="228">
        <v>-0.04</v>
      </c>
      <c r="DT49" s="229">
        <v>-6.9000000000000006E-2</v>
      </c>
      <c r="DU49" s="231">
        <v>1300</v>
      </c>
      <c r="DV49" s="231">
        <v>1100</v>
      </c>
      <c r="DW49" s="228">
        <v>0.56000000000000005</v>
      </c>
      <c r="DX49" s="228">
        <v>0.62</v>
      </c>
      <c r="DY49" s="228">
        <v>-0.06</v>
      </c>
      <c r="DZ49" s="229">
        <v>-9.6799999999999997E-2</v>
      </c>
      <c r="EA49" s="229">
        <v>0.40839999999999999</v>
      </c>
      <c r="EB49" s="230">
        <v>3485250</v>
      </c>
      <c r="EC49" s="229">
        <v>2.3999999999999998E-3</v>
      </c>
      <c r="ED49" s="229">
        <v>0.40839999999999999</v>
      </c>
      <c r="EE49" s="228">
        <v>3.05</v>
      </c>
      <c r="EF49" s="229">
        <v>2.5000000000000001E-3</v>
      </c>
      <c r="EG49" s="230">
        <v>993218</v>
      </c>
      <c r="EH49" s="230">
        <v>3138548</v>
      </c>
      <c r="EI49" s="229">
        <v>-0.6835</v>
      </c>
      <c r="EJ49" s="229">
        <v>0.44350000000000001</v>
      </c>
      <c r="EK49" s="231">
        <v>1286.1600000000001</v>
      </c>
      <c r="EL49" s="228">
        <v>670.09</v>
      </c>
      <c r="EM49" s="231">
        <v>1511.32</v>
      </c>
      <c r="EN49" s="228">
        <v>98.09</v>
      </c>
      <c r="EO49" s="231">
        <v>3467.57</v>
      </c>
      <c r="EP49" s="231">
        <v>5658.49</v>
      </c>
      <c r="EQ49" s="231">
        <v>-2190.92</v>
      </c>
      <c r="ER49" s="229">
        <v>-0.38719999999999999</v>
      </c>
      <c r="ES49" s="231">
        <v>1232.1500000000001</v>
      </c>
      <c r="ET49" s="228">
        <v>627.35</v>
      </c>
      <c r="EU49" s="231">
        <v>2465.5700000000002</v>
      </c>
      <c r="EV49" s="231">
        <v>50256271</v>
      </c>
      <c r="EW49" s="231">
        <v>4325.07</v>
      </c>
      <c r="EX49" s="231">
        <v>4329.29</v>
      </c>
      <c r="EY49" s="228">
        <v>-4.22</v>
      </c>
      <c r="EZ49" s="229">
        <v>-1E-3</v>
      </c>
      <c r="FA49" s="229">
        <v>0.69869999999999999</v>
      </c>
      <c r="FB49" s="227" t="s">
        <v>566</v>
      </c>
      <c r="FC49">
        <f t="shared" si="0"/>
        <v>1006</v>
      </c>
    </row>
    <row r="50" spans="1:159" ht="17.25" thickBot="1" x14ac:dyDescent="0.3">
      <c r="A50" s="226">
        <v>46135</v>
      </c>
      <c r="B50" s="227" t="s">
        <v>168</v>
      </c>
      <c r="C50" s="227" t="s">
        <v>201</v>
      </c>
      <c r="D50" s="228">
        <v>225</v>
      </c>
      <c r="E50" s="228">
        <v>5</v>
      </c>
      <c r="F50" s="231">
        <v>2148.4</v>
      </c>
      <c r="G50" s="231">
        <v>2105.6</v>
      </c>
      <c r="H50" s="228">
        <v>42.8</v>
      </c>
      <c r="I50" s="229">
        <v>2.0299999999999999E-2</v>
      </c>
      <c r="J50" s="231">
        <v>2150.1999999999998</v>
      </c>
      <c r="K50" s="231">
        <v>2118.3000000000002</v>
      </c>
      <c r="L50" s="228">
        <v>31.9</v>
      </c>
      <c r="M50" s="229">
        <v>1.5100000000000001E-2</v>
      </c>
      <c r="N50" s="231">
        <v>2148.4</v>
      </c>
      <c r="O50" s="231">
        <v>2105.6</v>
      </c>
      <c r="P50" s="228">
        <v>42.8</v>
      </c>
      <c r="Q50" s="229">
        <v>2.0299999999999999E-2</v>
      </c>
      <c r="R50" s="231">
        <v>2135.6</v>
      </c>
      <c r="S50" s="231">
        <v>2097.3000000000002</v>
      </c>
      <c r="T50" s="228">
        <v>38.299999999999997</v>
      </c>
      <c r="U50" s="229">
        <v>1.83E-2</v>
      </c>
      <c r="V50" s="231">
        <v>2138.3000000000002</v>
      </c>
      <c r="W50" s="231">
        <v>2102.6</v>
      </c>
      <c r="X50" s="228">
        <v>35.700000000000003</v>
      </c>
      <c r="Y50" s="229">
        <v>1.7000000000000001E-2</v>
      </c>
      <c r="Z50" s="228">
        <v>-1.8</v>
      </c>
      <c r="AA50" s="228">
        <v>-12.7</v>
      </c>
      <c r="AB50" s="228">
        <v>10.9</v>
      </c>
      <c r="AC50" s="229">
        <v>-8.0000000000000004E-4</v>
      </c>
      <c r="AD50" s="228">
        <v>-1.8</v>
      </c>
      <c r="AE50" s="228">
        <v>-12.7</v>
      </c>
      <c r="AF50" s="228">
        <v>10.9</v>
      </c>
      <c r="AG50" s="229">
        <v>-8.0000000000000004E-4</v>
      </c>
      <c r="AH50" s="228">
        <v>-14.6</v>
      </c>
      <c r="AI50" s="228">
        <v>-21</v>
      </c>
      <c r="AJ50" s="228">
        <v>6.4</v>
      </c>
      <c r="AK50" s="229">
        <v>-6.7999999999999996E-3</v>
      </c>
      <c r="AL50" s="228">
        <v>-11.9</v>
      </c>
      <c r="AM50" s="228">
        <v>-15.7</v>
      </c>
      <c r="AN50" s="228">
        <v>3.8</v>
      </c>
      <c r="AO50" s="229">
        <v>-5.4999999999999997E-3</v>
      </c>
      <c r="AP50" s="231">
        <v>2104.23</v>
      </c>
      <c r="AQ50" s="231">
        <v>2094.2600000000002</v>
      </c>
      <c r="AR50" s="228">
        <v>0</v>
      </c>
      <c r="AS50" s="228">
        <v>992</v>
      </c>
      <c r="AT50" s="228">
        <v>336</v>
      </c>
      <c r="AU50" s="228">
        <v>656</v>
      </c>
      <c r="AV50" s="229">
        <v>1.9531000000000001</v>
      </c>
      <c r="AW50" s="228">
        <v>518</v>
      </c>
      <c r="AX50" s="228">
        <v>254</v>
      </c>
      <c r="AY50" s="228">
        <v>264</v>
      </c>
      <c r="AZ50" s="229">
        <v>1.038</v>
      </c>
      <c r="BA50" s="228">
        <v>467</v>
      </c>
      <c r="BB50" s="228">
        <v>78</v>
      </c>
      <c r="BC50" s="228">
        <v>389</v>
      </c>
      <c r="BD50" s="229">
        <v>4.9938000000000002</v>
      </c>
      <c r="BE50" s="228">
        <v>7</v>
      </c>
      <c r="BF50" s="228">
        <v>4</v>
      </c>
      <c r="BG50" s="228">
        <v>3</v>
      </c>
      <c r="BH50" s="229">
        <v>0.84809999999999997</v>
      </c>
      <c r="BI50" s="228">
        <v>999</v>
      </c>
      <c r="BJ50" s="228">
        <v>814</v>
      </c>
      <c r="BK50" s="228">
        <v>185</v>
      </c>
      <c r="BL50" s="229">
        <v>0.22750000000000001</v>
      </c>
      <c r="BM50" s="228">
        <v>509</v>
      </c>
      <c r="BN50" s="228">
        <v>348</v>
      </c>
      <c r="BO50" s="228">
        <v>162</v>
      </c>
      <c r="BP50" s="229">
        <v>0.46539999999999998</v>
      </c>
      <c r="BQ50" s="230">
        <v>2501</v>
      </c>
      <c r="BR50" s="230">
        <v>1497</v>
      </c>
      <c r="BS50" s="230">
        <v>1003</v>
      </c>
      <c r="BT50" s="229">
        <v>0.67</v>
      </c>
      <c r="BU50" s="230">
        <v>669661</v>
      </c>
      <c r="BV50" s="230">
        <v>462529</v>
      </c>
      <c r="BW50" s="230">
        <v>207132</v>
      </c>
      <c r="BX50" s="229">
        <v>0.44779999999999998</v>
      </c>
      <c r="BY50" s="230">
        <v>1152</v>
      </c>
      <c r="BZ50" s="230">
        <v>1236</v>
      </c>
      <c r="CA50" s="228">
        <v>-84</v>
      </c>
      <c r="CB50" s="229">
        <v>-6.8099999999999994E-2</v>
      </c>
      <c r="CC50" s="228">
        <v>762</v>
      </c>
      <c r="CD50" s="230">
        <v>1083</v>
      </c>
      <c r="CE50" s="228">
        <v>-321</v>
      </c>
      <c r="CF50" s="229">
        <v>-0.29609999999999997</v>
      </c>
      <c r="CG50" s="228">
        <v>377</v>
      </c>
      <c r="CH50" s="228">
        <v>143</v>
      </c>
      <c r="CI50" s="228">
        <v>234</v>
      </c>
      <c r="CJ50" s="229">
        <v>1.6396999999999999</v>
      </c>
      <c r="CK50" s="228">
        <v>12</v>
      </c>
      <c r="CL50" s="228">
        <v>10</v>
      </c>
      <c r="CM50" s="228">
        <v>2</v>
      </c>
      <c r="CN50" s="229">
        <v>0.20849999999999999</v>
      </c>
      <c r="CO50" s="228">
        <v>547</v>
      </c>
      <c r="CP50" s="228">
        <v>546</v>
      </c>
      <c r="CQ50" s="228">
        <v>1</v>
      </c>
      <c r="CR50" s="229">
        <v>1.5E-3</v>
      </c>
      <c r="CS50" s="228">
        <v>398</v>
      </c>
      <c r="CT50" s="228">
        <v>373</v>
      </c>
      <c r="CU50" s="228">
        <v>25</v>
      </c>
      <c r="CV50" s="229">
        <v>6.7500000000000004E-2</v>
      </c>
      <c r="CW50" s="230">
        <v>2096</v>
      </c>
      <c r="CX50" s="230">
        <v>2155</v>
      </c>
      <c r="CY50" s="228">
        <v>-58</v>
      </c>
      <c r="CZ50" s="229">
        <v>-2.7E-2</v>
      </c>
      <c r="DA50" s="228">
        <v>32.200000000000003</v>
      </c>
      <c r="DB50" s="228">
        <v>31.51</v>
      </c>
      <c r="DC50" s="228">
        <v>0.69</v>
      </c>
      <c r="DD50" s="228">
        <v>0.69</v>
      </c>
      <c r="DE50" s="228">
        <v>30.6</v>
      </c>
      <c r="DF50" s="228">
        <v>30.55</v>
      </c>
      <c r="DG50" s="228">
        <v>1.6</v>
      </c>
      <c r="DH50" s="228">
        <v>0.05</v>
      </c>
      <c r="DI50" s="228">
        <v>32.22</v>
      </c>
      <c r="DJ50" s="228">
        <v>30.98</v>
      </c>
      <c r="DK50" s="228">
        <v>1.24</v>
      </c>
      <c r="DL50" s="228">
        <v>1.24</v>
      </c>
      <c r="DM50" s="228">
        <v>32.08</v>
      </c>
      <c r="DN50" s="228">
        <v>32.74</v>
      </c>
      <c r="DO50" s="228">
        <v>-0.66</v>
      </c>
      <c r="DP50" s="228">
        <v>-0.66</v>
      </c>
      <c r="DQ50" s="228">
        <v>0.73</v>
      </c>
      <c r="DR50" s="228">
        <v>0.68</v>
      </c>
      <c r="DS50" s="228">
        <v>0.05</v>
      </c>
      <c r="DT50" s="229">
        <v>7.3499999999999996E-2</v>
      </c>
      <c r="DU50" s="231">
        <v>2200</v>
      </c>
      <c r="DV50" s="231">
        <v>2100</v>
      </c>
      <c r="DW50" s="228">
        <v>0.51</v>
      </c>
      <c r="DX50" s="228">
        <v>0.43</v>
      </c>
      <c r="DY50" s="228">
        <v>0.08</v>
      </c>
      <c r="DZ50" s="229">
        <v>0.186</v>
      </c>
      <c r="EA50" s="229">
        <v>0.3382</v>
      </c>
      <c r="EB50" s="230">
        <v>712575</v>
      </c>
      <c r="EC50" s="229">
        <v>-6.0000000000000001E-3</v>
      </c>
      <c r="ED50" s="229">
        <v>0.3382</v>
      </c>
      <c r="EE50" s="228">
        <v>-9.9700000000000006</v>
      </c>
      <c r="EF50" s="229">
        <v>-4.7000000000000002E-3</v>
      </c>
      <c r="EG50" s="230">
        <v>180247</v>
      </c>
      <c r="EH50" s="230">
        <v>245837</v>
      </c>
      <c r="EI50" s="229">
        <v>-0.26679999999999998</v>
      </c>
      <c r="EJ50" s="229">
        <v>0.26919999999999999</v>
      </c>
      <c r="EK50" s="231">
        <v>1020.87</v>
      </c>
      <c r="EL50" s="228">
        <v>492.34</v>
      </c>
      <c r="EM50" s="228">
        <v>969.8</v>
      </c>
      <c r="EN50" s="228">
        <v>75.400000000000006</v>
      </c>
      <c r="EO50" s="231">
        <v>2483.0100000000002</v>
      </c>
      <c r="EP50" s="231">
        <v>1488.54</v>
      </c>
      <c r="EQ50" s="228">
        <v>994.48</v>
      </c>
      <c r="ER50" s="229">
        <v>0.66810000000000003</v>
      </c>
      <c r="ES50" s="228">
        <v>542.91999999999996</v>
      </c>
      <c r="ET50" s="228">
        <v>369.15</v>
      </c>
      <c r="EU50" s="231">
        <v>1149.27</v>
      </c>
      <c r="EV50" s="231">
        <v>19054573</v>
      </c>
      <c r="EW50" s="231">
        <v>2061.35</v>
      </c>
      <c r="EX50" s="231">
        <v>2093.09</v>
      </c>
      <c r="EY50" s="228">
        <v>-31.74</v>
      </c>
      <c r="EZ50" s="229">
        <v>-1.52E-2</v>
      </c>
      <c r="FA50" s="229">
        <v>0.5121</v>
      </c>
      <c r="FB50" s="227" t="s">
        <v>693</v>
      </c>
      <c r="FC50">
        <f t="shared" si="0"/>
        <v>390</v>
      </c>
    </row>
    <row r="51" spans="1:159" ht="17.25" thickBot="1" x14ac:dyDescent="0.3">
      <c r="A51" s="226">
        <v>46135</v>
      </c>
      <c r="B51" s="227" t="s">
        <v>215</v>
      </c>
      <c r="C51" s="227" t="s">
        <v>202</v>
      </c>
      <c r="D51" s="228">
        <v>1250</v>
      </c>
      <c r="E51" s="228">
        <v>5</v>
      </c>
      <c r="F51" s="228">
        <v>504.3</v>
      </c>
      <c r="G51" s="228">
        <v>515.1</v>
      </c>
      <c r="H51" s="228">
        <v>-10.8</v>
      </c>
      <c r="I51" s="229">
        <v>-2.1000000000000001E-2</v>
      </c>
      <c r="J51" s="228">
        <v>505.05</v>
      </c>
      <c r="K51" s="228">
        <v>515.70000000000005</v>
      </c>
      <c r="L51" s="228">
        <v>-10.65</v>
      </c>
      <c r="M51" s="229">
        <v>-2.07E-2</v>
      </c>
      <c r="N51" s="228">
        <v>504.3</v>
      </c>
      <c r="O51" s="228">
        <v>515.1</v>
      </c>
      <c r="P51" s="228">
        <v>-10.8</v>
      </c>
      <c r="Q51" s="229">
        <v>-2.1000000000000001E-2</v>
      </c>
      <c r="R51" s="228">
        <v>507.15</v>
      </c>
      <c r="S51" s="228">
        <v>518.20000000000005</v>
      </c>
      <c r="T51" s="228">
        <v>-11.05</v>
      </c>
      <c r="U51" s="229">
        <v>-2.1299999999999999E-2</v>
      </c>
      <c r="V51" s="228">
        <v>509.6</v>
      </c>
      <c r="W51" s="228">
        <v>520.85</v>
      </c>
      <c r="X51" s="228">
        <v>-11.25</v>
      </c>
      <c r="Y51" s="229">
        <v>-2.1600000000000001E-2</v>
      </c>
      <c r="Z51" s="228">
        <v>-0.75</v>
      </c>
      <c r="AA51" s="228">
        <v>-0.6</v>
      </c>
      <c r="AB51" s="228">
        <v>-0.15</v>
      </c>
      <c r="AC51" s="229">
        <v>-1.5E-3</v>
      </c>
      <c r="AD51" s="228">
        <v>-0.75</v>
      </c>
      <c r="AE51" s="228">
        <v>-0.6</v>
      </c>
      <c r="AF51" s="228">
        <v>-0.15</v>
      </c>
      <c r="AG51" s="229">
        <v>-1.5E-3</v>
      </c>
      <c r="AH51" s="228">
        <v>2.1</v>
      </c>
      <c r="AI51" s="228">
        <v>2.5</v>
      </c>
      <c r="AJ51" s="228">
        <v>-0.4</v>
      </c>
      <c r="AK51" s="229">
        <v>4.1999999999999997E-3</v>
      </c>
      <c r="AL51" s="228">
        <v>4.55</v>
      </c>
      <c r="AM51" s="228">
        <v>5.15</v>
      </c>
      <c r="AN51" s="228">
        <v>-0.6</v>
      </c>
      <c r="AO51" s="229">
        <v>8.9999999999999993E-3</v>
      </c>
      <c r="AP51" s="228">
        <v>507.36</v>
      </c>
      <c r="AQ51" s="228">
        <v>510.18</v>
      </c>
      <c r="AR51" s="228">
        <v>0</v>
      </c>
      <c r="AS51" s="228">
        <v>605</v>
      </c>
      <c r="AT51" s="228">
        <v>212</v>
      </c>
      <c r="AU51" s="228">
        <v>392</v>
      </c>
      <c r="AV51" s="229">
        <v>1.8493999999999999</v>
      </c>
      <c r="AW51" s="228">
        <v>306</v>
      </c>
      <c r="AX51" s="228">
        <v>136</v>
      </c>
      <c r="AY51" s="228">
        <v>171</v>
      </c>
      <c r="AZ51" s="229">
        <v>1.2605</v>
      </c>
      <c r="BA51" s="228">
        <v>294</v>
      </c>
      <c r="BB51" s="228">
        <v>74</v>
      </c>
      <c r="BC51" s="228">
        <v>220</v>
      </c>
      <c r="BD51" s="229">
        <v>2.9542000000000002</v>
      </c>
      <c r="BE51" s="228">
        <v>4</v>
      </c>
      <c r="BF51" s="228">
        <v>2</v>
      </c>
      <c r="BG51" s="228">
        <v>2</v>
      </c>
      <c r="BH51" s="229">
        <v>0.8649</v>
      </c>
      <c r="BI51" s="228">
        <v>438</v>
      </c>
      <c r="BJ51" s="228">
        <v>816</v>
      </c>
      <c r="BK51" s="228">
        <v>-378</v>
      </c>
      <c r="BL51" s="229">
        <v>-0.46289999999999998</v>
      </c>
      <c r="BM51" s="228">
        <v>153</v>
      </c>
      <c r="BN51" s="228">
        <v>149</v>
      </c>
      <c r="BO51" s="228">
        <v>3</v>
      </c>
      <c r="BP51" s="229">
        <v>2.24E-2</v>
      </c>
      <c r="BQ51" s="230">
        <v>1196</v>
      </c>
      <c r="BR51" s="230">
        <v>1178</v>
      </c>
      <c r="BS51" s="228">
        <v>18</v>
      </c>
      <c r="BT51" s="229">
        <v>1.5299999999999999E-2</v>
      </c>
      <c r="BU51" s="230">
        <v>1109133</v>
      </c>
      <c r="BV51" s="230">
        <v>1324490</v>
      </c>
      <c r="BW51" s="230">
        <v>-215357</v>
      </c>
      <c r="BX51" s="229">
        <v>-0.16259999999999999</v>
      </c>
      <c r="BY51" s="230">
        <v>1297</v>
      </c>
      <c r="BZ51" s="230">
        <v>1296</v>
      </c>
      <c r="CA51" s="228">
        <v>1</v>
      </c>
      <c r="CB51" s="229">
        <v>6.9999999999999999E-4</v>
      </c>
      <c r="CC51" s="228">
        <v>877</v>
      </c>
      <c r="CD51" s="230">
        <v>1108</v>
      </c>
      <c r="CE51" s="228">
        <v>-231</v>
      </c>
      <c r="CF51" s="229">
        <v>-0.2087</v>
      </c>
      <c r="CG51" s="228">
        <v>409</v>
      </c>
      <c r="CH51" s="228">
        <v>180</v>
      </c>
      <c r="CI51" s="228">
        <v>229</v>
      </c>
      <c r="CJ51" s="229">
        <v>1.2727999999999999</v>
      </c>
      <c r="CK51" s="228">
        <v>11</v>
      </c>
      <c r="CL51" s="228">
        <v>8</v>
      </c>
      <c r="CM51" s="228">
        <v>3</v>
      </c>
      <c r="CN51" s="229">
        <v>0.3664</v>
      </c>
      <c r="CO51" s="228">
        <v>408</v>
      </c>
      <c r="CP51" s="228">
        <v>426</v>
      </c>
      <c r="CQ51" s="228">
        <v>-18</v>
      </c>
      <c r="CR51" s="229">
        <v>-4.1700000000000001E-2</v>
      </c>
      <c r="CS51" s="228">
        <v>272</v>
      </c>
      <c r="CT51" s="228">
        <v>272</v>
      </c>
      <c r="CU51" s="228">
        <v>0</v>
      </c>
      <c r="CV51" s="229">
        <v>2.0000000000000001E-4</v>
      </c>
      <c r="CW51" s="230">
        <v>1977</v>
      </c>
      <c r="CX51" s="230">
        <v>1994</v>
      </c>
      <c r="CY51" s="228">
        <v>-17</v>
      </c>
      <c r="CZ51" s="229">
        <v>-8.3999999999999995E-3</v>
      </c>
      <c r="DA51" s="228">
        <v>33.86</v>
      </c>
      <c r="DB51" s="228">
        <v>34.229999999999997</v>
      </c>
      <c r="DC51" s="228">
        <v>-0.37</v>
      </c>
      <c r="DD51" s="228">
        <v>-0.37</v>
      </c>
      <c r="DE51" s="228">
        <v>34.909999999999997</v>
      </c>
      <c r="DF51" s="228">
        <v>34.880000000000003</v>
      </c>
      <c r="DG51" s="228">
        <v>-1.05</v>
      </c>
      <c r="DH51" s="228">
        <v>0.03</v>
      </c>
      <c r="DI51" s="228">
        <v>33.85</v>
      </c>
      <c r="DJ51" s="228">
        <v>33.799999999999997</v>
      </c>
      <c r="DK51" s="228">
        <v>0.05</v>
      </c>
      <c r="DL51" s="228">
        <v>0.05</v>
      </c>
      <c r="DM51" s="228">
        <v>33.869999999999997</v>
      </c>
      <c r="DN51" s="228">
        <v>36.57</v>
      </c>
      <c r="DO51" s="228">
        <v>-2.7</v>
      </c>
      <c r="DP51" s="228">
        <v>-2.7</v>
      </c>
      <c r="DQ51" s="228">
        <v>0.67</v>
      </c>
      <c r="DR51" s="228">
        <v>0.64</v>
      </c>
      <c r="DS51" s="228">
        <v>0.03</v>
      </c>
      <c r="DT51" s="229">
        <v>4.6899999999999997E-2</v>
      </c>
      <c r="DU51" s="228">
        <v>530</v>
      </c>
      <c r="DV51" s="228">
        <v>500</v>
      </c>
      <c r="DW51" s="228">
        <v>0.35</v>
      </c>
      <c r="DX51" s="228">
        <v>0.18</v>
      </c>
      <c r="DY51" s="228">
        <v>0.17</v>
      </c>
      <c r="DZ51" s="229">
        <v>0.94440000000000002</v>
      </c>
      <c r="EA51" s="229">
        <v>0.3241</v>
      </c>
      <c r="EB51" s="230">
        <v>3733750</v>
      </c>
      <c r="EC51" s="229">
        <v>5.7000000000000002E-3</v>
      </c>
      <c r="ED51" s="229">
        <v>0.3241</v>
      </c>
      <c r="EE51" s="228">
        <v>2.82</v>
      </c>
      <c r="EF51" s="229">
        <v>5.5999999999999999E-3</v>
      </c>
      <c r="EG51" s="230">
        <v>494948</v>
      </c>
      <c r="EH51" s="230">
        <v>615677</v>
      </c>
      <c r="EI51" s="229">
        <v>-0.1961</v>
      </c>
      <c r="EJ51" s="229">
        <v>0.44619999999999999</v>
      </c>
      <c r="EK51" s="228">
        <v>461.2</v>
      </c>
      <c r="EL51" s="228">
        <v>157.08000000000001</v>
      </c>
      <c r="EM51" s="228">
        <v>609.95000000000005</v>
      </c>
      <c r="EN51" s="228">
        <v>29.26</v>
      </c>
      <c r="EO51" s="231">
        <v>1228.23</v>
      </c>
      <c r="EP51" s="231">
        <v>1220.71</v>
      </c>
      <c r="EQ51" s="228">
        <v>7.52</v>
      </c>
      <c r="ER51" s="229">
        <v>6.1999999999999998E-3</v>
      </c>
      <c r="ES51" s="228">
        <v>412.57</v>
      </c>
      <c r="ET51" s="228">
        <v>261.11</v>
      </c>
      <c r="EU51" s="231">
        <v>1299.68</v>
      </c>
      <c r="EV51" s="231">
        <v>51639257</v>
      </c>
      <c r="EW51" s="231">
        <v>1973.36</v>
      </c>
      <c r="EX51" s="231">
        <v>2016.41</v>
      </c>
      <c r="EY51" s="228">
        <v>-43.05</v>
      </c>
      <c r="EZ51" s="229">
        <v>-2.1299999999999999E-2</v>
      </c>
      <c r="FA51" s="229">
        <v>0.75929999999999997</v>
      </c>
      <c r="FB51" s="227" t="s">
        <v>566</v>
      </c>
      <c r="FC51">
        <f t="shared" si="0"/>
        <v>420</v>
      </c>
    </row>
    <row r="52" spans="1:159" ht="17.25" thickBot="1" x14ac:dyDescent="0.3">
      <c r="A52" s="226">
        <v>46135</v>
      </c>
      <c r="B52" s="227" t="s">
        <v>184</v>
      </c>
      <c r="C52" s="227" t="s">
        <v>523</v>
      </c>
      <c r="D52" s="228">
        <v>1800</v>
      </c>
      <c r="E52" s="228">
        <v>5</v>
      </c>
      <c r="F52" s="228">
        <v>253.05</v>
      </c>
      <c r="G52" s="228">
        <v>260.85000000000002</v>
      </c>
      <c r="H52" s="228">
        <v>-7.8</v>
      </c>
      <c r="I52" s="229">
        <v>-2.9899999999999999E-2</v>
      </c>
      <c r="J52" s="228">
        <v>253.39</v>
      </c>
      <c r="K52" s="228">
        <v>261.37</v>
      </c>
      <c r="L52" s="228">
        <v>-7.98</v>
      </c>
      <c r="M52" s="229">
        <v>-3.0499999999999999E-2</v>
      </c>
      <c r="N52" s="228">
        <v>253.05</v>
      </c>
      <c r="O52" s="228">
        <v>260.85000000000002</v>
      </c>
      <c r="P52" s="228">
        <v>-7.8</v>
      </c>
      <c r="Q52" s="229">
        <v>-2.9899999999999999E-2</v>
      </c>
      <c r="R52" s="228">
        <v>254.51</v>
      </c>
      <c r="S52" s="228">
        <v>262.14</v>
      </c>
      <c r="T52" s="228">
        <v>-7.63</v>
      </c>
      <c r="U52" s="229">
        <v>-2.9100000000000001E-2</v>
      </c>
      <c r="V52" s="228">
        <v>256.01</v>
      </c>
      <c r="W52" s="228">
        <v>265</v>
      </c>
      <c r="X52" s="228">
        <v>-8.99</v>
      </c>
      <c r="Y52" s="229">
        <v>-3.39E-2</v>
      </c>
      <c r="Z52" s="228">
        <v>-0.34</v>
      </c>
      <c r="AA52" s="228">
        <v>-0.52</v>
      </c>
      <c r="AB52" s="228">
        <v>0.18</v>
      </c>
      <c r="AC52" s="229">
        <v>-1.2999999999999999E-3</v>
      </c>
      <c r="AD52" s="228">
        <v>-0.34</v>
      </c>
      <c r="AE52" s="228">
        <v>-0.52</v>
      </c>
      <c r="AF52" s="228">
        <v>0.18</v>
      </c>
      <c r="AG52" s="229">
        <v>-1.2999999999999999E-3</v>
      </c>
      <c r="AH52" s="228">
        <v>1.1200000000000001</v>
      </c>
      <c r="AI52" s="228">
        <v>0.77</v>
      </c>
      <c r="AJ52" s="228">
        <v>0.35</v>
      </c>
      <c r="AK52" s="229">
        <v>4.4000000000000003E-3</v>
      </c>
      <c r="AL52" s="228">
        <v>2.62</v>
      </c>
      <c r="AM52" s="228">
        <v>3.63</v>
      </c>
      <c r="AN52" s="228">
        <v>-1.01</v>
      </c>
      <c r="AO52" s="229">
        <v>1.03E-2</v>
      </c>
      <c r="AP52" s="228">
        <v>254.1</v>
      </c>
      <c r="AQ52" s="228">
        <v>255.58</v>
      </c>
      <c r="AR52" s="228">
        <v>0</v>
      </c>
      <c r="AS52" s="228">
        <v>913</v>
      </c>
      <c r="AT52" s="228">
        <v>144</v>
      </c>
      <c r="AU52" s="228">
        <v>768</v>
      </c>
      <c r="AV52" s="229">
        <v>5.3322000000000003</v>
      </c>
      <c r="AW52" s="228">
        <v>490</v>
      </c>
      <c r="AX52" s="228">
        <v>101</v>
      </c>
      <c r="AY52" s="228">
        <v>389</v>
      </c>
      <c r="AZ52" s="229">
        <v>3.8336999999999999</v>
      </c>
      <c r="BA52" s="228">
        <v>419</v>
      </c>
      <c r="BB52" s="228">
        <v>42</v>
      </c>
      <c r="BC52" s="228">
        <v>377</v>
      </c>
      <c r="BD52" s="229">
        <v>9.0359999999999996</v>
      </c>
      <c r="BE52" s="228">
        <v>4</v>
      </c>
      <c r="BF52" s="228">
        <v>1</v>
      </c>
      <c r="BG52" s="228">
        <v>3</v>
      </c>
      <c r="BH52" s="229">
        <v>2.7826</v>
      </c>
      <c r="BI52" s="228">
        <v>555</v>
      </c>
      <c r="BJ52" s="228">
        <v>285</v>
      </c>
      <c r="BK52" s="228">
        <v>270</v>
      </c>
      <c r="BL52" s="229">
        <v>0.94610000000000005</v>
      </c>
      <c r="BM52" s="228">
        <v>305</v>
      </c>
      <c r="BN52" s="228">
        <v>93</v>
      </c>
      <c r="BO52" s="228">
        <v>212</v>
      </c>
      <c r="BP52" s="229">
        <v>2.2865000000000002</v>
      </c>
      <c r="BQ52" s="230">
        <v>1772</v>
      </c>
      <c r="BR52" s="228">
        <v>522</v>
      </c>
      <c r="BS52" s="230">
        <v>1250</v>
      </c>
      <c r="BT52" s="229">
        <v>2.3957000000000002</v>
      </c>
      <c r="BU52" s="230">
        <v>5474382</v>
      </c>
      <c r="BV52" s="230">
        <v>3090394</v>
      </c>
      <c r="BW52" s="230">
        <v>2383988</v>
      </c>
      <c r="BX52" s="229">
        <v>0.77139999999999997</v>
      </c>
      <c r="BY52" s="230">
        <v>1123</v>
      </c>
      <c r="BZ52" s="230">
        <v>1143</v>
      </c>
      <c r="CA52" s="228">
        <v>-20</v>
      </c>
      <c r="CB52" s="229">
        <v>-1.7600000000000001E-2</v>
      </c>
      <c r="CC52" s="228">
        <v>685</v>
      </c>
      <c r="CD52" s="230">
        <v>1053</v>
      </c>
      <c r="CE52" s="228">
        <v>-367</v>
      </c>
      <c r="CF52" s="229">
        <v>-0.34910000000000002</v>
      </c>
      <c r="CG52" s="228">
        <v>431</v>
      </c>
      <c r="CH52" s="228">
        <v>85</v>
      </c>
      <c r="CI52" s="228">
        <v>346</v>
      </c>
      <c r="CJ52" s="229">
        <v>4.0746000000000002</v>
      </c>
      <c r="CK52" s="228">
        <v>7</v>
      </c>
      <c r="CL52" s="228">
        <v>5</v>
      </c>
      <c r="CM52" s="228">
        <v>2</v>
      </c>
      <c r="CN52" s="229">
        <v>0.313</v>
      </c>
      <c r="CO52" s="228">
        <v>320</v>
      </c>
      <c r="CP52" s="228">
        <v>366</v>
      </c>
      <c r="CQ52" s="228">
        <v>-46</v>
      </c>
      <c r="CR52" s="229">
        <v>-0.12520000000000001</v>
      </c>
      <c r="CS52" s="228">
        <v>189</v>
      </c>
      <c r="CT52" s="228">
        <v>209</v>
      </c>
      <c r="CU52" s="228">
        <v>-21</v>
      </c>
      <c r="CV52" s="229">
        <v>-9.8299999999999998E-2</v>
      </c>
      <c r="CW52" s="230">
        <v>1632</v>
      </c>
      <c r="CX52" s="230">
        <v>1718</v>
      </c>
      <c r="CY52" s="228">
        <v>-87</v>
      </c>
      <c r="CZ52" s="229">
        <v>-5.04E-2</v>
      </c>
      <c r="DA52" s="228">
        <v>40.6</v>
      </c>
      <c r="DB52" s="228">
        <v>39.229999999999997</v>
      </c>
      <c r="DC52" s="228">
        <v>1.37</v>
      </c>
      <c r="DD52" s="228">
        <v>1.37</v>
      </c>
      <c r="DE52" s="228">
        <v>35.4</v>
      </c>
      <c r="DF52" s="228">
        <v>35.25</v>
      </c>
      <c r="DG52" s="228">
        <v>5.2</v>
      </c>
      <c r="DH52" s="228">
        <v>0.15</v>
      </c>
      <c r="DI52" s="228">
        <v>40.659999999999997</v>
      </c>
      <c r="DJ52" s="228">
        <v>38.4</v>
      </c>
      <c r="DK52" s="228">
        <v>2.2599999999999998</v>
      </c>
      <c r="DL52" s="228">
        <v>2.2599999999999998</v>
      </c>
      <c r="DM52" s="228">
        <v>40.340000000000003</v>
      </c>
      <c r="DN52" s="228">
        <v>41.78</v>
      </c>
      <c r="DO52" s="228">
        <v>-1.44</v>
      </c>
      <c r="DP52" s="228">
        <v>-1.44</v>
      </c>
      <c r="DQ52" s="228">
        <v>0.59</v>
      </c>
      <c r="DR52" s="228">
        <v>0.56999999999999995</v>
      </c>
      <c r="DS52" s="228">
        <v>0.02</v>
      </c>
      <c r="DT52" s="229">
        <v>3.5099999999999999E-2</v>
      </c>
      <c r="DU52" s="228">
        <v>260</v>
      </c>
      <c r="DV52" s="228">
        <v>220</v>
      </c>
      <c r="DW52" s="228">
        <v>0.55000000000000004</v>
      </c>
      <c r="DX52" s="228">
        <v>0.33</v>
      </c>
      <c r="DY52" s="228">
        <v>0.22</v>
      </c>
      <c r="DZ52" s="229">
        <v>0.66669999999999996</v>
      </c>
      <c r="EA52" s="229">
        <v>0.38969999999999999</v>
      </c>
      <c r="EB52" s="230">
        <v>3560400</v>
      </c>
      <c r="EC52" s="229">
        <v>5.7999999999999996E-3</v>
      </c>
      <c r="ED52" s="229">
        <v>0.38969999999999999</v>
      </c>
      <c r="EE52" s="228">
        <v>1.48</v>
      </c>
      <c r="EF52" s="229">
        <v>5.7999999999999996E-3</v>
      </c>
      <c r="EG52" s="230">
        <v>1932756</v>
      </c>
      <c r="EH52" s="230">
        <v>1645039</v>
      </c>
      <c r="EI52" s="229">
        <v>0.1749</v>
      </c>
      <c r="EJ52" s="229">
        <v>0.35310000000000002</v>
      </c>
      <c r="EK52" s="228">
        <v>590.72</v>
      </c>
      <c r="EL52" s="228">
        <v>301.02</v>
      </c>
      <c r="EM52" s="228">
        <v>918.84</v>
      </c>
      <c r="EN52" s="228">
        <v>35.76</v>
      </c>
      <c r="EO52" s="231">
        <v>1810.57</v>
      </c>
      <c r="EP52" s="228">
        <v>545.78</v>
      </c>
      <c r="EQ52" s="231">
        <v>1264.79</v>
      </c>
      <c r="ER52" s="229">
        <v>2.3174000000000001</v>
      </c>
      <c r="ES52" s="228">
        <v>334.02</v>
      </c>
      <c r="ET52" s="228">
        <v>183.97</v>
      </c>
      <c r="EU52" s="231">
        <v>1125.17</v>
      </c>
      <c r="EV52" s="231">
        <v>96587231</v>
      </c>
      <c r="EW52" s="231">
        <v>1643.15</v>
      </c>
      <c r="EX52" s="231">
        <v>1765.51</v>
      </c>
      <c r="EY52" s="228">
        <v>-122.36</v>
      </c>
      <c r="EZ52" s="229">
        <v>-6.93E-2</v>
      </c>
      <c r="FA52" s="229">
        <v>0.66759999999999997</v>
      </c>
      <c r="FB52" s="227" t="s">
        <v>567</v>
      </c>
      <c r="FC52">
        <f t="shared" si="0"/>
        <v>438</v>
      </c>
    </row>
    <row r="53" spans="1:159" ht="17.25" thickBot="1" x14ac:dyDescent="0.3">
      <c r="A53" s="226">
        <v>46135</v>
      </c>
      <c r="B53" s="227" t="s">
        <v>184</v>
      </c>
      <c r="C53" s="227" t="s">
        <v>203</v>
      </c>
      <c r="D53" s="228">
        <v>200</v>
      </c>
      <c r="E53" s="228">
        <v>5</v>
      </c>
      <c r="F53" s="231">
        <v>5170.2</v>
      </c>
      <c r="G53" s="231">
        <v>5219.6000000000004</v>
      </c>
      <c r="H53" s="228">
        <v>-49.4</v>
      </c>
      <c r="I53" s="229">
        <v>-9.4999999999999998E-3</v>
      </c>
      <c r="J53" s="231">
        <v>5176.8999999999996</v>
      </c>
      <c r="K53" s="231">
        <v>5211.8</v>
      </c>
      <c r="L53" s="228">
        <v>-34.9</v>
      </c>
      <c r="M53" s="229">
        <v>-6.7000000000000002E-3</v>
      </c>
      <c r="N53" s="231">
        <v>5170.2</v>
      </c>
      <c r="O53" s="231">
        <v>5219.6000000000004</v>
      </c>
      <c r="P53" s="228">
        <v>-49.4</v>
      </c>
      <c r="Q53" s="229">
        <v>-9.4999999999999998E-3</v>
      </c>
      <c r="R53" s="231">
        <v>5194.8999999999996</v>
      </c>
      <c r="S53" s="231">
        <v>5247</v>
      </c>
      <c r="T53" s="228">
        <v>-52.1</v>
      </c>
      <c r="U53" s="229">
        <v>-9.9000000000000008E-3</v>
      </c>
      <c r="V53" s="231">
        <v>5221.5</v>
      </c>
      <c r="W53" s="231">
        <v>5265.3</v>
      </c>
      <c r="X53" s="228">
        <v>-43.8</v>
      </c>
      <c r="Y53" s="229">
        <v>-8.3000000000000001E-3</v>
      </c>
      <c r="Z53" s="228">
        <v>-6.7</v>
      </c>
      <c r="AA53" s="228">
        <v>7.8</v>
      </c>
      <c r="AB53" s="228">
        <v>-14.5</v>
      </c>
      <c r="AC53" s="229">
        <v>-1.2999999999999999E-3</v>
      </c>
      <c r="AD53" s="228">
        <v>-6.7</v>
      </c>
      <c r="AE53" s="228">
        <v>7.8</v>
      </c>
      <c r="AF53" s="228">
        <v>-14.5</v>
      </c>
      <c r="AG53" s="229">
        <v>-1.2999999999999999E-3</v>
      </c>
      <c r="AH53" s="228">
        <v>18</v>
      </c>
      <c r="AI53" s="228">
        <v>35.200000000000003</v>
      </c>
      <c r="AJ53" s="228">
        <v>-17.2</v>
      </c>
      <c r="AK53" s="229">
        <v>3.5000000000000001E-3</v>
      </c>
      <c r="AL53" s="228">
        <v>44.6</v>
      </c>
      <c r="AM53" s="228">
        <v>53.5</v>
      </c>
      <c r="AN53" s="228">
        <v>-8.9</v>
      </c>
      <c r="AO53" s="229">
        <v>8.6E-3</v>
      </c>
      <c r="AP53" s="231">
        <v>5217.84</v>
      </c>
      <c r="AQ53" s="231">
        <v>5243.21</v>
      </c>
      <c r="AR53" s="228">
        <v>0</v>
      </c>
      <c r="AS53" s="230">
        <v>1392</v>
      </c>
      <c r="AT53" s="228">
        <v>670</v>
      </c>
      <c r="AU53" s="228">
        <v>723</v>
      </c>
      <c r="AV53" s="229">
        <v>1.079</v>
      </c>
      <c r="AW53" s="228">
        <v>716</v>
      </c>
      <c r="AX53" s="228">
        <v>444</v>
      </c>
      <c r="AY53" s="228">
        <v>272</v>
      </c>
      <c r="AZ53" s="229">
        <v>0.61240000000000006</v>
      </c>
      <c r="BA53" s="228">
        <v>669</v>
      </c>
      <c r="BB53" s="228">
        <v>223</v>
      </c>
      <c r="BC53" s="228">
        <v>447</v>
      </c>
      <c r="BD53" s="229">
        <v>2.0078999999999998</v>
      </c>
      <c r="BE53" s="228">
        <v>7</v>
      </c>
      <c r="BF53" s="228">
        <v>3</v>
      </c>
      <c r="BG53" s="228">
        <v>4</v>
      </c>
      <c r="BH53" s="229">
        <v>1.2759</v>
      </c>
      <c r="BI53" s="230">
        <v>1348</v>
      </c>
      <c r="BJ53" s="230">
        <v>2801</v>
      </c>
      <c r="BK53" s="230">
        <v>-1453</v>
      </c>
      <c r="BL53" s="229">
        <v>-0.51870000000000005</v>
      </c>
      <c r="BM53" s="230">
        <v>1657</v>
      </c>
      <c r="BN53" s="230">
        <v>1462</v>
      </c>
      <c r="BO53" s="228">
        <v>195</v>
      </c>
      <c r="BP53" s="229">
        <v>0.1331</v>
      </c>
      <c r="BQ53" s="230">
        <v>4397</v>
      </c>
      <c r="BR53" s="230">
        <v>4933</v>
      </c>
      <c r="BS53" s="228">
        <v>-536</v>
      </c>
      <c r="BT53" s="229">
        <v>-0.1086</v>
      </c>
      <c r="BU53" s="230">
        <v>505751</v>
      </c>
      <c r="BV53" s="230">
        <v>516893</v>
      </c>
      <c r="BW53" s="230">
        <v>-11142</v>
      </c>
      <c r="BX53" s="229">
        <v>-2.1600000000000001E-2</v>
      </c>
      <c r="BY53" s="230">
        <v>2134</v>
      </c>
      <c r="BZ53" s="230">
        <v>2144</v>
      </c>
      <c r="CA53" s="228">
        <v>-10</v>
      </c>
      <c r="CB53" s="229">
        <v>-4.7000000000000002E-3</v>
      </c>
      <c r="CC53" s="230">
        <v>1259</v>
      </c>
      <c r="CD53" s="230">
        <v>1771</v>
      </c>
      <c r="CE53" s="228">
        <v>-512</v>
      </c>
      <c r="CF53" s="229">
        <v>-0.28920000000000001</v>
      </c>
      <c r="CG53" s="228">
        <v>740</v>
      </c>
      <c r="CH53" s="228">
        <v>242</v>
      </c>
      <c r="CI53" s="228">
        <v>498</v>
      </c>
      <c r="CJ53" s="229">
        <v>2.0550000000000002</v>
      </c>
      <c r="CK53" s="228">
        <v>135</v>
      </c>
      <c r="CL53" s="228">
        <v>131</v>
      </c>
      <c r="CM53" s="228">
        <v>4</v>
      </c>
      <c r="CN53" s="229">
        <v>3.0099999999999998E-2</v>
      </c>
      <c r="CO53" s="228">
        <v>709</v>
      </c>
      <c r="CP53" s="228">
        <v>747</v>
      </c>
      <c r="CQ53" s="228">
        <v>-38</v>
      </c>
      <c r="CR53" s="229">
        <v>-5.1400000000000001E-2</v>
      </c>
      <c r="CS53" s="228">
        <v>533</v>
      </c>
      <c r="CT53" s="228">
        <v>544</v>
      </c>
      <c r="CU53" s="228">
        <v>-11</v>
      </c>
      <c r="CV53" s="229">
        <v>-0.02</v>
      </c>
      <c r="CW53" s="230">
        <v>3375</v>
      </c>
      <c r="CX53" s="230">
        <v>3434</v>
      </c>
      <c r="CY53" s="228">
        <v>-59</v>
      </c>
      <c r="CZ53" s="229">
        <v>-1.7299999999999999E-2</v>
      </c>
      <c r="DA53" s="228">
        <v>34.39</v>
      </c>
      <c r="DB53" s="228">
        <v>34.520000000000003</v>
      </c>
      <c r="DC53" s="228">
        <v>-0.13</v>
      </c>
      <c r="DD53" s="228">
        <v>-0.13</v>
      </c>
      <c r="DE53" s="228">
        <v>36.03</v>
      </c>
      <c r="DF53" s="228">
        <v>36.11</v>
      </c>
      <c r="DG53" s="228">
        <v>-1.64</v>
      </c>
      <c r="DH53" s="228">
        <v>-0.08</v>
      </c>
      <c r="DI53" s="228">
        <v>33.83</v>
      </c>
      <c r="DJ53" s="228">
        <v>29.69</v>
      </c>
      <c r="DK53" s="228">
        <v>4.1399999999999997</v>
      </c>
      <c r="DL53" s="228">
        <v>4.1399999999999997</v>
      </c>
      <c r="DM53" s="228">
        <v>35.229999999999997</v>
      </c>
      <c r="DN53" s="228">
        <v>43.79</v>
      </c>
      <c r="DO53" s="228">
        <v>-8.56</v>
      </c>
      <c r="DP53" s="228">
        <v>-8.56</v>
      </c>
      <c r="DQ53" s="228">
        <v>0.75</v>
      </c>
      <c r="DR53" s="228">
        <v>0.73</v>
      </c>
      <c r="DS53" s="228">
        <v>0.02</v>
      </c>
      <c r="DT53" s="229">
        <v>2.7400000000000001E-2</v>
      </c>
      <c r="DU53" s="231">
        <v>5200</v>
      </c>
      <c r="DV53" s="231">
        <v>4700</v>
      </c>
      <c r="DW53" s="228">
        <v>1.23</v>
      </c>
      <c r="DX53" s="228">
        <v>0.52</v>
      </c>
      <c r="DY53" s="228">
        <v>0.71</v>
      </c>
      <c r="DZ53" s="229">
        <v>1.3653999999999999</v>
      </c>
      <c r="EA53" s="229">
        <v>0.41010000000000002</v>
      </c>
      <c r="EB53" s="230">
        <v>721400</v>
      </c>
      <c r="EC53" s="229">
        <v>4.7999999999999996E-3</v>
      </c>
      <c r="ED53" s="229">
        <v>0.41010000000000002</v>
      </c>
      <c r="EE53" s="228">
        <v>25.37</v>
      </c>
      <c r="EF53" s="229">
        <v>4.8999999999999998E-3</v>
      </c>
      <c r="EG53" s="230">
        <v>282524</v>
      </c>
      <c r="EH53" s="230">
        <v>267551</v>
      </c>
      <c r="EI53" s="229">
        <v>5.6000000000000001E-2</v>
      </c>
      <c r="EJ53" s="229">
        <v>0.55859999999999999</v>
      </c>
      <c r="EK53" s="231">
        <v>1402.11</v>
      </c>
      <c r="EL53" s="231">
        <v>1553.49</v>
      </c>
      <c r="EM53" s="231">
        <v>1408.63</v>
      </c>
      <c r="EN53" s="228">
        <v>50.93</v>
      </c>
      <c r="EO53" s="231">
        <v>4364.2299999999996</v>
      </c>
      <c r="EP53" s="231">
        <v>4934.18</v>
      </c>
      <c r="EQ53" s="228">
        <v>-569.95000000000005</v>
      </c>
      <c r="ER53" s="229">
        <v>-0.11550000000000001</v>
      </c>
      <c r="ES53" s="228">
        <v>705.97</v>
      </c>
      <c r="ET53" s="228">
        <v>495.28</v>
      </c>
      <c r="EU53" s="231">
        <v>2138.5100000000002</v>
      </c>
      <c r="EV53" s="231">
        <v>20374200</v>
      </c>
      <c r="EW53" s="231">
        <v>3339.76</v>
      </c>
      <c r="EX53" s="231">
        <v>3414.18</v>
      </c>
      <c r="EY53" s="228">
        <v>-74.42</v>
      </c>
      <c r="EZ53" s="229">
        <v>-2.18E-2</v>
      </c>
      <c r="FA53" s="229">
        <v>0.32040000000000002</v>
      </c>
      <c r="FB53" s="227" t="s">
        <v>567</v>
      </c>
      <c r="FC53">
        <f t="shared" si="0"/>
        <v>875</v>
      </c>
    </row>
    <row r="54" spans="1:159" ht="17.25" thickBot="1" x14ac:dyDescent="0.3">
      <c r="A54" s="226">
        <v>46135</v>
      </c>
      <c r="B54" s="227" t="s">
        <v>168</v>
      </c>
      <c r="C54" s="227" t="s">
        <v>204</v>
      </c>
      <c r="D54" s="228">
        <v>1250</v>
      </c>
      <c r="E54" s="228">
        <v>5</v>
      </c>
      <c r="F54" s="228">
        <v>459.5</v>
      </c>
      <c r="G54" s="228">
        <v>459.7</v>
      </c>
      <c r="H54" s="228">
        <v>-0.2</v>
      </c>
      <c r="I54" s="229">
        <v>-4.0000000000000002E-4</v>
      </c>
      <c r="J54" s="228">
        <v>460</v>
      </c>
      <c r="K54" s="228">
        <v>460</v>
      </c>
      <c r="L54" s="228">
        <v>0</v>
      </c>
      <c r="M54" s="229">
        <v>0</v>
      </c>
      <c r="N54" s="228">
        <v>459.5</v>
      </c>
      <c r="O54" s="228">
        <v>459.7</v>
      </c>
      <c r="P54" s="228">
        <v>-0.2</v>
      </c>
      <c r="Q54" s="229">
        <v>-4.0000000000000002E-4</v>
      </c>
      <c r="R54" s="228">
        <v>461.9</v>
      </c>
      <c r="S54" s="228">
        <v>461.9</v>
      </c>
      <c r="T54" s="228">
        <v>0</v>
      </c>
      <c r="U54" s="229">
        <v>0</v>
      </c>
      <c r="V54" s="228">
        <v>464.6</v>
      </c>
      <c r="W54" s="228">
        <v>465.2</v>
      </c>
      <c r="X54" s="228">
        <v>-0.6</v>
      </c>
      <c r="Y54" s="229">
        <v>-1.2999999999999999E-3</v>
      </c>
      <c r="Z54" s="228">
        <v>-0.5</v>
      </c>
      <c r="AA54" s="228">
        <v>-0.3</v>
      </c>
      <c r="AB54" s="228">
        <v>-0.2</v>
      </c>
      <c r="AC54" s="229">
        <v>-1.1000000000000001E-3</v>
      </c>
      <c r="AD54" s="228">
        <v>-0.5</v>
      </c>
      <c r="AE54" s="228">
        <v>-0.3</v>
      </c>
      <c r="AF54" s="228">
        <v>-0.2</v>
      </c>
      <c r="AG54" s="229">
        <v>-1.1000000000000001E-3</v>
      </c>
      <c r="AH54" s="228">
        <v>1.9</v>
      </c>
      <c r="AI54" s="228">
        <v>1.9</v>
      </c>
      <c r="AJ54" s="228">
        <v>0</v>
      </c>
      <c r="AK54" s="229">
        <v>4.1000000000000003E-3</v>
      </c>
      <c r="AL54" s="228">
        <v>4.5999999999999996</v>
      </c>
      <c r="AM54" s="228">
        <v>5.2</v>
      </c>
      <c r="AN54" s="228">
        <v>-0.6</v>
      </c>
      <c r="AO54" s="229">
        <v>0.01</v>
      </c>
      <c r="AP54" s="228">
        <v>457.22</v>
      </c>
      <c r="AQ54" s="228">
        <v>459.62</v>
      </c>
      <c r="AR54" s="228">
        <v>0</v>
      </c>
      <c r="AS54" s="228">
        <v>887</v>
      </c>
      <c r="AT54" s="228">
        <v>238</v>
      </c>
      <c r="AU54" s="228">
        <v>649</v>
      </c>
      <c r="AV54" s="229">
        <v>2.722</v>
      </c>
      <c r="AW54" s="228">
        <v>451</v>
      </c>
      <c r="AX54" s="228">
        <v>166</v>
      </c>
      <c r="AY54" s="228">
        <v>285</v>
      </c>
      <c r="AZ54" s="229">
        <v>1.7159</v>
      </c>
      <c r="BA54" s="228">
        <v>433</v>
      </c>
      <c r="BB54" s="228">
        <v>68</v>
      </c>
      <c r="BC54" s="228">
        <v>365</v>
      </c>
      <c r="BD54" s="229">
        <v>5.3579999999999997</v>
      </c>
      <c r="BE54" s="228">
        <v>2</v>
      </c>
      <c r="BF54" s="228">
        <v>4</v>
      </c>
      <c r="BG54" s="228">
        <v>-2</v>
      </c>
      <c r="BH54" s="229">
        <v>-0.39439999999999997</v>
      </c>
      <c r="BI54" s="228">
        <v>483</v>
      </c>
      <c r="BJ54" s="230">
        <v>1276</v>
      </c>
      <c r="BK54" s="228">
        <v>-793</v>
      </c>
      <c r="BL54" s="229">
        <v>-0.62129999999999996</v>
      </c>
      <c r="BM54" s="228">
        <v>207</v>
      </c>
      <c r="BN54" s="228">
        <v>460</v>
      </c>
      <c r="BO54" s="228">
        <v>-253</v>
      </c>
      <c r="BP54" s="229">
        <v>-0.55020000000000002</v>
      </c>
      <c r="BQ54" s="230">
        <v>1577</v>
      </c>
      <c r="BR54" s="230">
        <v>1974</v>
      </c>
      <c r="BS54" s="228">
        <v>-397</v>
      </c>
      <c r="BT54" s="229">
        <v>-0.2011</v>
      </c>
      <c r="BU54" s="230">
        <v>1442820</v>
      </c>
      <c r="BV54" s="230">
        <v>2517019</v>
      </c>
      <c r="BW54" s="230">
        <v>-1074199</v>
      </c>
      <c r="BX54" s="229">
        <v>-0.42680000000000001</v>
      </c>
      <c r="BY54" s="230">
        <v>1382</v>
      </c>
      <c r="BZ54" s="230">
        <v>1361</v>
      </c>
      <c r="CA54" s="228">
        <v>21</v>
      </c>
      <c r="CB54" s="229">
        <v>1.5599999999999999E-2</v>
      </c>
      <c r="CC54" s="228">
        <v>898</v>
      </c>
      <c r="CD54" s="230">
        <v>1243</v>
      </c>
      <c r="CE54" s="228">
        <v>-345</v>
      </c>
      <c r="CF54" s="229">
        <v>-0.27760000000000001</v>
      </c>
      <c r="CG54" s="228">
        <v>470</v>
      </c>
      <c r="CH54" s="228">
        <v>104</v>
      </c>
      <c r="CI54" s="228">
        <v>366</v>
      </c>
      <c r="CJ54" s="229">
        <v>3.5022000000000002</v>
      </c>
      <c r="CK54" s="228">
        <v>14</v>
      </c>
      <c r="CL54" s="228">
        <v>13</v>
      </c>
      <c r="CM54" s="228">
        <v>1</v>
      </c>
      <c r="CN54" s="229">
        <v>3.85E-2</v>
      </c>
      <c r="CO54" s="228">
        <v>465</v>
      </c>
      <c r="CP54" s="228">
        <v>490</v>
      </c>
      <c r="CQ54" s="228">
        <v>-26</v>
      </c>
      <c r="CR54" s="229">
        <v>-5.21E-2</v>
      </c>
      <c r="CS54" s="228">
        <v>408</v>
      </c>
      <c r="CT54" s="228">
        <v>395</v>
      </c>
      <c r="CU54" s="228">
        <v>13</v>
      </c>
      <c r="CV54" s="229">
        <v>3.3599999999999998E-2</v>
      </c>
      <c r="CW54" s="230">
        <v>2255</v>
      </c>
      <c r="CX54" s="230">
        <v>2246</v>
      </c>
      <c r="CY54" s="228">
        <v>9</v>
      </c>
      <c r="CZ54" s="229">
        <v>4.0000000000000001E-3</v>
      </c>
      <c r="DA54" s="228">
        <v>29.14</v>
      </c>
      <c r="DB54" s="228">
        <v>28.08</v>
      </c>
      <c r="DC54" s="228">
        <v>1.06</v>
      </c>
      <c r="DD54" s="228">
        <v>1.06</v>
      </c>
      <c r="DE54" s="228">
        <v>27.27</v>
      </c>
      <c r="DF54" s="228">
        <v>27.34</v>
      </c>
      <c r="DG54" s="228">
        <v>1.87</v>
      </c>
      <c r="DH54" s="228">
        <v>-7.0000000000000007E-2</v>
      </c>
      <c r="DI54" s="228">
        <v>28.93</v>
      </c>
      <c r="DJ54" s="228">
        <v>27.2</v>
      </c>
      <c r="DK54" s="228">
        <v>1.73</v>
      </c>
      <c r="DL54" s="228">
        <v>1.73</v>
      </c>
      <c r="DM54" s="228">
        <v>29.59</v>
      </c>
      <c r="DN54" s="228">
        <v>30.52</v>
      </c>
      <c r="DO54" s="228">
        <v>-0.93</v>
      </c>
      <c r="DP54" s="228">
        <v>-0.93</v>
      </c>
      <c r="DQ54" s="228">
        <v>0.88</v>
      </c>
      <c r="DR54" s="228">
        <v>0.81</v>
      </c>
      <c r="DS54" s="228">
        <v>7.0000000000000007E-2</v>
      </c>
      <c r="DT54" s="229">
        <v>8.6400000000000005E-2</v>
      </c>
      <c r="DU54" s="228">
        <v>480</v>
      </c>
      <c r="DV54" s="228">
        <v>440</v>
      </c>
      <c r="DW54" s="228">
        <v>0.43</v>
      </c>
      <c r="DX54" s="228">
        <v>0.36</v>
      </c>
      <c r="DY54" s="228">
        <v>7.0000000000000007E-2</v>
      </c>
      <c r="DZ54" s="229">
        <v>0.19439999999999999</v>
      </c>
      <c r="EA54" s="229">
        <v>0.3503</v>
      </c>
      <c r="EB54" s="230">
        <v>2565000</v>
      </c>
      <c r="EC54" s="229">
        <v>5.1999999999999998E-3</v>
      </c>
      <c r="ED54" s="229">
        <v>0.3503</v>
      </c>
      <c r="EE54" s="228">
        <v>2.4</v>
      </c>
      <c r="EF54" s="229">
        <v>5.1999999999999998E-3</v>
      </c>
      <c r="EG54" s="230">
        <v>653476</v>
      </c>
      <c r="EH54" s="230">
        <v>1047609</v>
      </c>
      <c r="EI54" s="229">
        <v>-0.37619999999999998</v>
      </c>
      <c r="EJ54" s="229">
        <v>0.45290000000000002</v>
      </c>
      <c r="EK54" s="228">
        <v>498.65</v>
      </c>
      <c r="EL54" s="228">
        <v>201.39</v>
      </c>
      <c r="EM54" s="228">
        <v>884.67</v>
      </c>
      <c r="EN54" s="228">
        <v>52.26</v>
      </c>
      <c r="EO54" s="231">
        <v>1584.71</v>
      </c>
      <c r="EP54" s="231">
        <v>1999.92</v>
      </c>
      <c r="EQ54" s="228">
        <v>-415.22</v>
      </c>
      <c r="ER54" s="229">
        <v>-0.20760000000000001</v>
      </c>
      <c r="ES54" s="228">
        <v>468.77</v>
      </c>
      <c r="ET54" s="228">
        <v>377.45</v>
      </c>
      <c r="EU54" s="231">
        <v>1384.38</v>
      </c>
      <c r="EV54" s="231">
        <v>76827821</v>
      </c>
      <c r="EW54" s="231">
        <v>2230.61</v>
      </c>
      <c r="EX54" s="231">
        <v>2220.42</v>
      </c>
      <c r="EY54" s="228">
        <v>10.19</v>
      </c>
      <c r="EZ54" s="229">
        <v>4.5999999999999999E-3</v>
      </c>
      <c r="FA54" s="229">
        <v>0.63870000000000005</v>
      </c>
      <c r="FB54" s="227" t="s">
        <v>566</v>
      </c>
      <c r="FC54">
        <f t="shared" si="0"/>
        <v>484</v>
      </c>
    </row>
    <row r="55" spans="1:159" ht="17.25" thickBot="1" x14ac:dyDescent="0.3">
      <c r="A55" s="226">
        <v>46135</v>
      </c>
      <c r="B55" s="227" t="s">
        <v>157</v>
      </c>
      <c r="C55" s="227" t="s">
        <v>524</v>
      </c>
      <c r="D55" s="228">
        <v>325</v>
      </c>
      <c r="E55" s="228">
        <v>5</v>
      </c>
      <c r="F55" s="231">
        <v>1955.6</v>
      </c>
      <c r="G55" s="231">
        <v>1990.6</v>
      </c>
      <c r="H55" s="228">
        <v>-35</v>
      </c>
      <c r="I55" s="229">
        <v>-1.7600000000000001E-2</v>
      </c>
      <c r="J55" s="231">
        <v>1958.8</v>
      </c>
      <c r="K55" s="231">
        <v>1992.8</v>
      </c>
      <c r="L55" s="228">
        <v>-34</v>
      </c>
      <c r="M55" s="229">
        <v>-1.7100000000000001E-2</v>
      </c>
      <c r="N55" s="231">
        <v>1955.6</v>
      </c>
      <c r="O55" s="231">
        <v>1990.6</v>
      </c>
      <c r="P55" s="228">
        <v>-35</v>
      </c>
      <c r="Q55" s="229">
        <v>-1.7600000000000001E-2</v>
      </c>
      <c r="R55" s="231">
        <v>1967</v>
      </c>
      <c r="S55" s="231">
        <v>1998.8</v>
      </c>
      <c r="T55" s="228">
        <v>-31.8</v>
      </c>
      <c r="U55" s="229">
        <v>-1.5900000000000001E-2</v>
      </c>
      <c r="V55" s="231">
        <v>1968.4</v>
      </c>
      <c r="W55" s="231">
        <v>1997.3</v>
      </c>
      <c r="X55" s="228">
        <v>-28.9</v>
      </c>
      <c r="Y55" s="229">
        <v>-1.4500000000000001E-2</v>
      </c>
      <c r="Z55" s="228">
        <v>-3.2</v>
      </c>
      <c r="AA55" s="228">
        <v>-2.2000000000000002</v>
      </c>
      <c r="AB55" s="228">
        <v>-1</v>
      </c>
      <c r="AC55" s="229">
        <v>-1.6000000000000001E-3</v>
      </c>
      <c r="AD55" s="228">
        <v>-3.2</v>
      </c>
      <c r="AE55" s="228">
        <v>-2.2000000000000002</v>
      </c>
      <c r="AF55" s="228">
        <v>-1</v>
      </c>
      <c r="AG55" s="229">
        <v>-1.6000000000000001E-3</v>
      </c>
      <c r="AH55" s="228">
        <v>8.1999999999999993</v>
      </c>
      <c r="AI55" s="228">
        <v>6</v>
      </c>
      <c r="AJ55" s="228">
        <v>2.2000000000000002</v>
      </c>
      <c r="AK55" s="229">
        <v>4.1999999999999997E-3</v>
      </c>
      <c r="AL55" s="228">
        <v>9.6</v>
      </c>
      <c r="AM55" s="228">
        <v>4.5</v>
      </c>
      <c r="AN55" s="228">
        <v>5.0999999999999996</v>
      </c>
      <c r="AO55" s="229">
        <v>4.8999999999999998E-3</v>
      </c>
      <c r="AP55" s="231">
        <v>1957.01</v>
      </c>
      <c r="AQ55" s="231">
        <v>1967.32</v>
      </c>
      <c r="AR55" s="228">
        <v>0</v>
      </c>
      <c r="AS55" s="228">
        <v>506</v>
      </c>
      <c r="AT55" s="228">
        <v>93</v>
      </c>
      <c r="AU55" s="228">
        <v>413</v>
      </c>
      <c r="AV55" s="229">
        <v>4.4382000000000001</v>
      </c>
      <c r="AW55" s="228">
        <v>277</v>
      </c>
      <c r="AX55" s="228">
        <v>72</v>
      </c>
      <c r="AY55" s="228">
        <v>205</v>
      </c>
      <c r="AZ55" s="229">
        <v>2.8616000000000001</v>
      </c>
      <c r="BA55" s="228">
        <v>229</v>
      </c>
      <c r="BB55" s="228">
        <v>21</v>
      </c>
      <c r="BC55" s="228">
        <v>208</v>
      </c>
      <c r="BD55" s="229">
        <v>9.8054000000000006</v>
      </c>
      <c r="BE55" s="228">
        <v>0</v>
      </c>
      <c r="BF55" s="228">
        <v>0</v>
      </c>
      <c r="BG55" s="228">
        <v>0</v>
      </c>
      <c r="BH55" s="229">
        <v>0.5</v>
      </c>
      <c r="BI55" s="228">
        <v>248</v>
      </c>
      <c r="BJ55" s="228">
        <v>200</v>
      </c>
      <c r="BK55" s="228">
        <v>48</v>
      </c>
      <c r="BL55" s="229">
        <v>0.23749999999999999</v>
      </c>
      <c r="BM55" s="228">
        <v>178</v>
      </c>
      <c r="BN55" s="228">
        <v>95</v>
      </c>
      <c r="BO55" s="228">
        <v>83</v>
      </c>
      <c r="BP55" s="229">
        <v>0.87990000000000002</v>
      </c>
      <c r="BQ55" s="228">
        <v>933</v>
      </c>
      <c r="BR55" s="228">
        <v>388</v>
      </c>
      <c r="BS55" s="228">
        <v>544</v>
      </c>
      <c r="BT55" s="229">
        <v>1.4015</v>
      </c>
      <c r="BU55" s="230">
        <v>158849</v>
      </c>
      <c r="BV55" s="230">
        <v>143014</v>
      </c>
      <c r="BW55" s="230">
        <v>15835</v>
      </c>
      <c r="BX55" s="229">
        <v>0.11070000000000001</v>
      </c>
      <c r="BY55" s="228">
        <v>480</v>
      </c>
      <c r="BZ55" s="228">
        <v>488</v>
      </c>
      <c r="CA55" s="228">
        <v>-8</v>
      </c>
      <c r="CB55" s="229">
        <v>-1.6799999999999999E-2</v>
      </c>
      <c r="CC55" s="228">
        <v>280</v>
      </c>
      <c r="CD55" s="228">
        <v>462</v>
      </c>
      <c r="CE55" s="228">
        <v>-182</v>
      </c>
      <c r="CF55" s="229">
        <v>-0.39369999999999999</v>
      </c>
      <c r="CG55" s="228">
        <v>199</v>
      </c>
      <c r="CH55" s="228">
        <v>26</v>
      </c>
      <c r="CI55" s="228">
        <v>174</v>
      </c>
      <c r="CJ55" s="229">
        <v>6.7573999999999996</v>
      </c>
      <c r="CK55" s="228">
        <v>1</v>
      </c>
      <c r="CL55" s="228">
        <v>1</v>
      </c>
      <c r="CM55" s="228">
        <v>0</v>
      </c>
      <c r="CN55" s="229">
        <v>0.25</v>
      </c>
      <c r="CO55" s="228">
        <v>233</v>
      </c>
      <c r="CP55" s="228">
        <v>235</v>
      </c>
      <c r="CQ55" s="228">
        <v>-2</v>
      </c>
      <c r="CR55" s="229">
        <v>-8.6999999999999994E-3</v>
      </c>
      <c r="CS55" s="228">
        <v>172</v>
      </c>
      <c r="CT55" s="228">
        <v>207</v>
      </c>
      <c r="CU55" s="228">
        <v>-35</v>
      </c>
      <c r="CV55" s="229">
        <v>-0.16769999999999999</v>
      </c>
      <c r="CW55" s="228">
        <v>885</v>
      </c>
      <c r="CX55" s="228">
        <v>930</v>
      </c>
      <c r="CY55" s="228">
        <v>-45</v>
      </c>
      <c r="CZ55" s="229">
        <v>-4.8300000000000003E-2</v>
      </c>
      <c r="DA55" s="228">
        <v>33.11</v>
      </c>
      <c r="DB55" s="228">
        <v>35.25</v>
      </c>
      <c r="DC55" s="228">
        <v>-2.14</v>
      </c>
      <c r="DD55" s="228">
        <v>-2.14</v>
      </c>
      <c r="DE55" s="228">
        <v>33.9</v>
      </c>
      <c r="DF55" s="228">
        <v>33.9</v>
      </c>
      <c r="DG55" s="228">
        <v>-0.79</v>
      </c>
      <c r="DH55" s="228">
        <v>0</v>
      </c>
      <c r="DI55" s="228">
        <v>32.44</v>
      </c>
      <c r="DJ55" s="228">
        <v>31.99</v>
      </c>
      <c r="DK55" s="228">
        <v>0.45</v>
      </c>
      <c r="DL55" s="228">
        <v>0.45</v>
      </c>
      <c r="DM55" s="228">
        <v>35.979999999999997</v>
      </c>
      <c r="DN55" s="228">
        <v>42.13</v>
      </c>
      <c r="DO55" s="228">
        <v>-6.15</v>
      </c>
      <c r="DP55" s="228">
        <v>-6.15</v>
      </c>
      <c r="DQ55" s="228">
        <v>0.74</v>
      </c>
      <c r="DR55" s="228">
        <v>0.88</v>
      </c>
      <c r="DS55" s="228">
        <v>-0.14000000000000001</v>
      </c>
      <c r="DT55" s="229">
        <v>-0.15909999999999999</v>
      </c>
      <c r="DU55" s="231">
        <v>2000</v>
      </c>
      <c r="DV55" s="231">
        <v>1800</v>
      </c>
      <c r="DW55" s="228">
        <v>0.72</v>
      </c>
      <c r="DX55" s="228">
        <v>0.47</v>
      </c>
      <c r="DY55" s="228">
        <v>0.25</v>
      </c>
      <c r="DZ55" s="229">
        <v>0.53190000000000004</v>
      </c>
      <c r="EA55" s="229">
        <v>0.41639999999999999</v>
      </c>
      <c r="EB55" s="230">
        <v>133900</v>
      </c>
      <c r="EC55" s="229">
        <v>5.7999999999999996E-3</v>
      </c>
      <c r="ED55" s="229">
        <v>0.41639999999999999</v>
      </c>
      <c r="EE55" s="228">
        <v>10.31</v>
      </c>
      <c r="EF55" s="229">
        <v>5.3E-3</v>
      </c>
      <c r="EG55" s="230">
        <v>70603</v>
      </c>
      <c r="EH55" s="230">
        <v>77377</v>
      </c>
      <c r="EI55" s="229">
        <v>-8.7499999999999994E-2</v>
      </c>
      <c r="EJ55" s="229">
        <v>0.44450000000000001</v>
      </c>
      <c r="EK55" s="228">
        <v>261.64</v>
      </c>
      <c r="EL55" s="228">
        <v>178.16</v>
      </c>
      <c r="EM55" s="228">
        <v>507.94</v>
      </c>
      <c r="EN55" s="228">
        <v>14.44</v>
      </c>
      <c r="EO55" s="228">
        <v>947.74</v>
      </c>
      <c r="EP55" s="228">
        <v>396.29</v>
      </c>
      <c r="EQ55" s="228">
        <v>551.45000000000005</v>
      </c>
      <c r="ER55" s="229">
        <v>1.3915</v>
      </c>
      <c r="ES55" s="228">
        <v>242.69</v>
      </c>
      <c r="ET55" s="228">
        <v>162.28</v>
      </c>
      <c r="EU55" s="228">
        <v>481.02</v>
      </c>
      <c r="EV55" s="231">
        <v>12425160</v>
      </c>
      <c r="EW55" s="228">
        <v>885.99</v>
      </c>
      <c r="EX55" s="228">
        <v>939.95</v>
      </c>
      <c r="EY55" s="228">
        <v>-53.96</v>
      </c>
      <c r="EZ55" s="229">
        <v>-5.74E-2</v>
      </c>
      <c r="FA55" s="229">
        <v>0.36430000000000001</v>
      </c>
      <c r="FB55" s="227" t="s">
        <v>567</v>
      </c>
      <c r="FC55">
        <f t="shared" si="0"/>
        <v>200</v>
      </c>
    </row>
    <row r="56" spans="1:159" ht="17.25" thickBot="1" x14ac:dyDescent="0.3">
      <c r="A56" s="226">
        <v>46135</v>
      </c>
      <c r="B56" s="227" t="s">
        <v>614</v>
      </c>
      <c r="C56" s="227" t="s">
        <v>599</v>
      </c>
      <c r="D56" s="228">
        <v>2075</v>
      </c>
      <c r="E56" s="228">
        <v>5</v>
      </c>
      <c r="F56" s="228">
        <v>450.35</v>
      </c>
      <c r="G56" s="228">
        <v>462.55</v>
      </c>
      <c r="H56" s="228">
        <v>-12.2</v>
      </c>
      <c r="I56" s="229">
        <v>-2.64E-2</v>
      </c>
      <c r="J56" s="228">
        <v>449.4</v>
      </c>
      <c r="K56" s="228">
        <v>462.7</v>
      </c>
      <c r="L56" s="228">
        <v>-13.3</v>
      </c>
      <c r="M56" s="229">
        <v>-2.87E-2</v>
      </c>
      <c r="N56" s="228">
        <v>450.35</v>
      </c>
      <c r="O56" s="228">
        <v>462.55</v>
      </c>
      <c r="P56" s="228">
        <v>-12.2</v>
      </c>
      <c r="Q56" s="229">
        <v>-2.64E-2</v>
      </c>
      <c r="R56" s="228">
        <v>452.7</v>
      </c>
      <c r="S56" s="228">
        <v>464.85</v>
      </c>
      <c r="T56" s="228">
        <v>-12.15</v>
      </c>
      <c r="U56" s="229">
        <v>-2.6100000000000002E-2</v>
      </c>
      <c r="V56" s="228">
        <v>454.8</v>
      </c>
      <c r="W56" s="228">
        <v>467</v>
      </c>
      <c r="X56" s="228">
        <v>-12.2</v>
      </c>
      <c r="Y56" s="229">
        <v>-2.6100000000000002E-2</v>
      </c>
      <c r="Z56" s="228">
        <v>0.95</v>
      </c>
      <c r="AA56" s="228">
        <v>-0.15</v>
      </c>
      <c r="AB56" s="228">
        <v>1.1000000000000001</v>
      </c>
      <c r="AC56" s="229">
        <v>2.0999999999999999E-3</v>
      </c>
      <c r="AD56" s="228">
        <v>0.95</v>
      </c>
      <c r="AE56" s="228">
        <v>-0.15</v>
      </c>
      <c r="AF56" s="228">
        <v>1.1000000000000001</v>
      </c>
      <c r="AG56" s="229">
        <v>2.0999999999999999E-3</v>
      </c>
      <c r="AH56" s="228">
        <v>3.3</v>
      </c>
      <c r="AI56" s="228">
        <v>2.15</v>
      </c>
      <c r="AJ56" s="228">
        <v>1.1499999999999999</v>
      </c>
      <c r="AK56" s="229">
        <v>7.3000000000000001E-3</v>
      </c>
      <c r="AL56" s="228">
        <v>5.4</v>
      </c>
      <c r="AM56" s="228">
        <v>4.3</v>
      </c>
      <c r="AN56" s="228">
        <v>1.1000000000000001</v>
      </c>
      <c r="AO56" s="229">
        <v>1.2E-2</v>
      </c>
      <c r="AP56" s="228">
        <v>453.51</v>
      </c>
      <c r="AQ56" s="228">
        <v>456.02</v>
      </c>
      <c r="AR56" s="228">
        <v>0</v>
      </c>
      <c r="AS56" s="228">
        <v>953</v>
      </c>
      <c r="AT56" s="228">
        <v>812</v>
      </c>
      <c r="AU56" s="228">
        <v>141</v>
      </c>
      <c r="AV56" s="229">
        <v>0.1741</v>
      </c>
      <c r="AW56" s="228">
        <v>503</v>
      </c>
      <c r="AX56" s="228">
        <v>598</v>
      </c>
      <c r="AY56" s="228">
        <v>-96</v>
      </c>
      <c r="AZ56" s="229">
        <v>-0.16009999999999999</v>
      </c>
      <c r="BA56" s="228">
        <v>447</v>
      </c>
      <c r="BB56" s="228">
        <v>211</v>
      </c>
      <c r="BC56" s="228">
        <v>235</v>
      </c>
      <c r="BD56" s="229">
        <v>1.1131</v>
      </c>
      <c r="BE56" s="228">
        <v>3</v>
      </c>
      <c r="BF56" s="228">
        <v>2</v>
      </c>
      <c r="BG56" s="228">
        <v>2</v>
      </c>
      <c r="BH56" s="229">
        <v>0.94740000000000002</v>
      </c>
      <c r="BI56" s="228">
        <v>836</v>
      </c>
      <c r="BJ56" s="230">
        <v>1475</v>
      </c>
      <c r="BK56" s="228">
        <v>-639</v>
      </c>
      <c r="BL56" s="229">
        <v>-0.43340000000000001</v>
      </c>
      <c r="BM56" s="228">
        <v>293</v>
      </c>
      <c r="BN56" s="228">
        <v>845</v>
      </c>
      <c r="BO56" s="228">
        <v>-551</v>
      </c>
      <c r="BP56" s="229">
        <v>-0.65259999999999996</v>
      </c>
      <c r="BQ56" s="230">
        <v>2082</v>
      </c>
      <c r="BR56" s="230">
        <v>3131</v>
      </c>
      <c r="BS56" s="230">
        <v>-1049</v>
      </c>
      <c r="BT56" s="229">
        <v>-0.33510000000000001</v>
      </c>
      <c r="BU56" s="230">
        <v>3290980</v>
      </c>
      <c r="BV56" s="230">
        <v>4647115</v>
      </c>
      <c r="BW56" s="230">
        <v>-1356135</v>
      </c>
      <c r="BX56" s="229">
        <v>-0.2918</v>
      </c>
      <c r="BY56" s="230">
        <v>1439</v>
      </c>
      <c r="BZ56" s="230">
        <v>1425</v>
      </c>
      <c r="CA56" s="228">
        <v>14</v>
      </c>
      <c r="CB56" s="229">
        <v>9.4999999999999998E-3</v>
      </c>
      <c r="CC56" s="228">
        <v>953</v>
      </c>
      <c r="CD56" s="230">
        <v>1282</v>
      </c>
      <c r="CE56" s="228">
        <v>-328</v>
      </c>
      <c r="CF56" s="229">
        <v>-0.25629999999999997</v>
      </c>
      <c r="CG56" s="228">
        <v>477</v>
      </c>
      <c r="CH56" s="228">
        <v>136</v>
      </c>
      <c r="CI56" s="228">
        <v>340</v>
      </c>
      <c r="CJ56" s="229">
        <v>2.4931999999999999</v>
      </c>
      <c r="CK56" s="228">
        <v>9</v>
      </c>
      <c r="CL56" s="228">
        <v>7</v>
      </c>
      <c r="CM56" s="228">
        <v>2</v>
      </c>
      <c r="CN56" s="229">
        <v>0.27029999999999998</v>
      </c>
      <c r="CO56" s="228">
        <v>676</v>
      </c>
      <c r="CP56" s="228">
        <v>737</v>
      </c>
      <c r="CQ56" s="228">
        <v>-61</v>
      </c>
      <c r="CR56" s="229">
        <v>-8.2900000000000001E-2</v>
      </c>
      <c r="CS56" s="228">
        <v>267</v>
      </c>
      <c r="CT56" s="228">
        <v>281</v>
      </c>
      <c r="CU56" s="228">
        <v>-14</v>
      </c>
      <c r="CV56" s="229">
        <v>-5.0500000000000003E-2</v>
      </c>
      <c r="CW56" s="230">
        <v>2381</v>
      </c>
      <c r="CX56" s="230">
        <v>2443</v>
      </c>
      <c r="CY56" s="228">
        <v>-62</v>
      </c>
      <c r="CZ56" s="229">
        <v>-2.53E-2</v>
      </c>
      <c r="DA56" s="228">
        <v>38.369999999999997</v>
      </c>
      <c r="DB56" s="228">
        <v>36.97</v>
      </c>
      <c r="DC56" s="228">
        <v>1.4</v>
      </c>
      <c r="DD56" s="228">
        <v>1.4</v>
      </c>
      <c r="DE56" s="228">
        <v>39.39</v>
      </c>
      <c r="DF56" s="228">
        <v>39.32</v>
      </c>
      <c r="DG56" s="228">
        <v>-1.02</v>
      </c>
      <c r="DH56" s="228">
        <v>7.0000000000000007E-2</v>
      </c>
      <c r="DI56" s="228">
        <v>38.200000000000003</v>
      </c>
      <c r="DJ56" s="228">
        <v>37.28</v>
      </c>
      <c r="DK56" s="228">
        <v>0.92</v>
      </c>
      <c r="DL56" s="228">
        <v>0.92</v>
      </c>
      <c r="DM56" s="228">
        <v>38.71</v>
      </c>
      <c r="DN56" s="228">
        <v>36.44</v>
      </c>
      <c r="DO56" s="228">
        <v>2.27</v>
      </c>
      <c r="DP56" s="228">
        <v>2.27</v>
      </c>
      <c r="DQ56" s="228">
        <v>0.4</v>
      </c>
      <c r="DR56" s="228">
        <v>0.38</v>
      </c>
      <c r="DS56" s="228">
        <v>0.02</v>
      </c>
      <c r="DT56" s="229">
        <v>5.2600000000000001E-2</v>
      </c>
      <c r="DU56" s="228">
        <v>470</v>
      </c>
      <c r="DV56" s="228">
        <v>450</v>
      </c>
      <c r="DW56" s="228">
        <v>0.35</v>
      </c>
      <c r="DX56" s="228">
        <v>0.56999999999999995</v>
      </c>
      <c r="DY56" s="228">
        <v>-0.22</v>
      </c>
      <c r="DZ56" s="229">
        <v>-0.38600000000000001</v>
      </c>
      <c r="EA56" s="229">
        <v>0.33739999999999998</v>
      </c>
      <c r="EB56" s="230">
        <v>3183050</v>
      </c>
      <c r="EC56" s="229">
        <v>5.1999999999999998E-3</v>
      </c>
      <c r="ED56" s="229">
        <v>0.33739999999999998</v>
      </c>
      <c r="EE56" s="228">
        <v>2.5099999999999998</v>
      </c>
      <c r="EF56" s="229">
        <v>5.4999999999999997E-3</v>
      </c>
      <c r="EG56" s="230">
        <v>1868251</v>
      </c>
      <c r="EH56" s="230">
        <v>2099499</v>
      </c>
      <c r="EI56" s="229">
        <v>-0.1101</v>
      </c>
      <c r="EJ56" s="229">
        <v>0.56769999999999998</v>
      </c>
      <c r="EK56" s="228">
        <v>887.26</v>
      </c>
      <c r="EL56" s="228">
        <v>297.13</v>
      </c>
      <c r="EM56" s="228">
        <v>962.09</v>
      </c>
      <c r="EN56" s="228">
        <v>44.37</v>
      </c>
      <c r="EO56" s="231">
        <v>2146.48</v>
      </c>
      <c r="EP56" s="231">
        <v>3287</v>
      </c>
      <c r="EQ56" s="231">
        <v>-1140.51</v>
      </c>
      <c r="ER56" s="229">
        <v>-0.34699999999999998</v>
      </c>
      <c r="ES56" s="228">
        <v>718.11</v>
      </c>
      <c r="ET56" s="228">
        <v>261.2</v>
      </c>
      <c r="EU56" s="231">
        <v>1441.11</v>
      </c>
      <c r="EV56" s="231">
        <v>83072620</v>
      </c>
      <c r="EW56" s="231">
        <v>2420.42</v>
      </c>
      <c r="EX56" s="231">
        <v>2524.6999999999998</v>
      </c>
      <c r="EY56" s="228">
        <v>-104.28</v>
      </c>
      <c r="EZ56" s="229">
        <v>-4.1300000000000003E-2</v>
      </c>
      <c r="FA56" s="229">
        <v>0.63649999999999995</v>
      </c>
      <c r="FB56" s="227" t="s">
        <v>566</v>
      </c>
      <c r="FC56">
        <f t="shared" si="0"/>
        <v>486</v>
      </c>
    </row>
    <row r="57" spans="1:159" ht="17.25" thickBot="1" x14ac:dyDescent="0.3">
      <c r="A57" s="226">
        <v>46135</v>
      </c>
      <c r="B57" s="227" t="s">
        <v>170</v>
      </c>
      <c r="C57" s="227" t="s">
        <v>205</v>
      </c>
      <c r="D57" s="228">
        <v>100</v>
      </c>
      <c r="E57" s="228">
        <v>5</v>
      </c>
      <c r="F57" s="231">
        <v>6369.5</v>
      </c>
      <c r="G57" s="231">
        <v>6286.5</v>
      </c>
      <c r="H57" s="228">
        <v>83</v>
      </c>
      <c r="I57" s="229">
        <v>1.32E-2</v>
      </c>
      <c r="J57" s="231">
        <v>6378.5</v>
      </c>
      <c r="K57" s="231">
        <v>6285.5</v>
      </c>
      <c r="L57" s="228">
        <v>93</v>
      </c>
      <c r="M57" s="229">
        <v>1.4800000000000001E-2</v>
      </c>
      <c r="N57" s="231">
        <v>6369.5</v>
      </c>
      <c r="O57" s="231">
        <v>6286.5</v>
      </c>
      <c r="P57" s="228">
        <v>83</v>
      </c>
      <c r="Q57" s="229">
        <v>1.32E-2</v>
      </c>
      <c r="R57" s="231">
        <v>6405</v>
      </c>
      <c r="S57" s="231">
        <v>6318.5</v>
      </c>
      <c r="T57" s="228">
        <v>86.5</v>
      </c>
      <c r="U57" s="229">
        <v>1.37E-2</v>
      </c>
      <c r="V57" s="231">
        <v>6455</v>
      </c>
      <c r="W57" s="231">
        <v>6355</v>
      </c>
      <c r="X57" s="228">
        <v>100</v>
      </c>
      <c r="Y57" s="229">
        <v>1.5699999999999999E-2</v>
      </c>
      <c r="Z57" s="228">
        <v>-9</v>
      </c>
      <c r="AA57" s="228">
        <v>1</v>
      </c>
      <c r="AB57" s="228">
        <v>-10</v>
      </c>
      <c r="AC57" s="229">
        <v>-1.4E-3</v>
      </c>
      <c r="AD57" s="228">
        <v>-9</v>
      </c>
      <c r="AE57" s="228">
        <v>1</v>
      </c>
      <c r="AF57" s="228">
        <v>-10</v>
      </c>
      <c r="AG57" s="229">
        <v>-1.4E-3</v>
      </c>
      <c r="AH57" s="228">
        <v>26.5</v>
      </c>
      <c r="AI57" s="228">
        <v>33</v>
      </c>
      <c r="AJ57" s="228">
        <v>-6.5</v>
      </c>
      <c r="AK57" s="229">
        <v>4.1999999999999997E-3</v>
      </c>
      <c r="AL57" s="228">
        <v>76.5</v>
      </c>
      <c r="AM57" s="228">
        <v>69.5</v>
      </c>
      <c r="AN57" s="228">
        <v>7</v>
      </c>
      <c r="AO57" s="229">
        <v>1.2E-2</v>
      </c>
      <c r="AP57" s="231">
        <v>6381.43</v>
      </c>
      <c r="AQ57" s="231">
        <v>6416.34</v>
      </c>
      <c r="AR57" s="228">
        <v>0</v>
      </c>
      <c r="AS57" s="230">
        <v>1111</v>
      </c>
      <c r="AT57" s="228">
        <v>496</v>
      </c>
      <c r="AU57" s="228">
        <v>615</v>
      </c>
      <c r="AV57" s="229">
        <v>1.2413000000000001</v>
      </c>
      <c r="AW57" s="228">
        <v>599</v>
      </c>
      <c r="AX57" s="228">
        <v>276</v>
      </c>
      <c r="AY57" s="228">
        <v>324</v>
      </c>
      <c r="AZ57" s="229">
        <v>1.1724000000000001</v>
      </c>
      <c r="BA57" s="228">
        <v>475</v>
      </c>
      <c r="BB57" s="228">
        <v>71</v>
      </c>
      <c r="BC57" s="228">
        <v>403</v>
      </c>
      <c r="BD57" s="229">
        <v>5.6485000000000003</v>
      </c>
      <c r="BE57" s="228">
        <v>37</v>
      </c>
      <c r="BF57" s="228">
        <v>148</v>
      </c>
      <c r="BG57" s="228">
        <v>-111</v>
      </c>
      <c r="BH57" s="229">
        <v>-0.75029999999999997</v>
      </c>
      <c r="BI57" s="230">
        <v>3008</v>
      </c>
      <c r="BJ57" s="228">
        <v>675</v>
      </c>
      <c r="BK57" s="230">
        <v>2333</v>
      </c>
      <c r="BL57" s="229">
        <v>3.4548999999999999</v>
      </c>
      <c r="BM57" s="228">
        <v>757</v>
      </c>
      <c r="BN57" s="228">
        <v>348</v>
      </c>
      <c r="BO57" s="228">
        <v>408</v>
      </c>
      <c r="BP57" s="229">
        <v>1.173</v>
      </c>
      <c r="BQ57" s="230">
        <v>4876</v>
      </c>
      <c r="BR57" s="230">
        <v>1519</v>
      </c>
      <c r="BS57" s="230">
        <v>3357</v>
      </c>
      <c r="BT57" s="229">
        <v>2.2094999999999998</v>
      </c>
      <c r="BU57" s="230">
        <v>419696</v>
      </c>
      <c r="BV57" s="230">
        <v>231535</v>
      </c>
      <c r="BW57" s="230">
        <v>188161</v>
      </c>
      <c r="BX57" s="229">
        <v>0.81269999999999998</v>
      </c>
      <c r="BY57" s="230">
        <v>1728</v>
      </c>
      <c r="BZ57" s="230">
        <v>1769</v>
      </c>
      <c r="CA57" s="228">
        <v>-41</v>
      </c>
      <c r="CB57" s="229">
        <v>-2.3E-2</v>
      </c>
      <c r="CC57" s="230">
        <v>1005</v>
      </c>
      <c r="CD57" s="230">
        <v>1471</v>
      </c>
      <c r="CE57" s="228">
        <v>-466</v>
      </c>
      <c r="CF57" s="229">
        <v>-0.31680000000000003</v>
      </c>
      <c r="CG57" s="228">
        <v>544</v>
      </c>
      <c r="CH57" s="228">
        <v>149</v>
      </c>
      <c r="CI57" s="228">
        <v>394</v>
      </c>
      <c r="CJ57" s="229">
        <v>2.6415999999999999</v>
      </c>
      <c r="CK57" s="228">
        <v>180</v>
      </c>
      <c r="CL57" s="228">
        <v>149</v>
      </c>
      <c r="CM57" s="228">
        <v>31</v>
      </c>
      <c r="CN57" s="229">
        <v>0.2059</v>
      </c>
      <c r="CO57" s="228">
        <v>520</v>
      </c>
      <c r="CP57" s="228">
        <v>487</v>
      </c>
      <c r="CQ57" s="228">
        <v>33</v>
      </c>
      <c r="CR57" s="229">
        <v>6.7699999999999996E-2</v>
      </c>
      <c r="CS57" s="228">
        <v>556</v>
      </c>
      <c r="CT57" s="228">
        <v>534</v>
      </c>
      <c r="CU57" s="228">
        <v>23</v>
      </c>
      <c r="CV57" s="229">
        <v>4.2500000000000003E-2</v>
      </c>
      <c r="CW57" s="230">
        <v>2805</v>
      </c>
      <c r="CX57" s="230">
        <v>2790</v>
      </c>
      <c r="CY57" s="228">
        <v>15</v>
      </c>
      <c r="CZ57" s="229">
        <v>5.3E-3</v>
      </c>
      <c r="DA57" s="228">
        <v>27.71</v>
      </c>
      <c r="DB57" s="228">
        <v>23.37</v>
      </c>
      <c r="DC57" s="228">
        <v>4.34</v>
      </c>
      <c r="DD57" s="228">
        <v>4.34</v>
      </c>
      <c r="DE57" s="228">
        <v>29.54</v>
      </c>
      <c r="DF57" s="228">
        <v>29.54</v>
      </c>
      <c r="DG57" s="228">
        <v>-1.83</v>
      </c>
      <c r="DH57" s="228">
        <v>0</v>
      </c>
      <c r="DI57" s="228">
        <v>27.47</v>
      </c>
      <c r="DJ57" s="228">
        <v>22.61</v>
      </c>
      <c r="DK57" s="228">
        <v>4.8600000000000003</v>
      </c>
      <c r="DL57" s="228">
        <v>4.8600000000000003</v>
      </c>
      <c r="DM57" s="228">
        <v>28.55</v>
      </c>
      <c r="DN57" s="228">
        <v>24.86</v>
      </c>
      <c r="DO57" s="228">
        <v>3.69</v>
      </c>
      <c r="DP57" s="228">
        <v>3.69</v>
      </c>
      <c r="DQ57" s="228">
        <v>1.07</v>
      </c>
      <c r="DR57" s="228">
        <v>1.1000000000000001</v>
      </c>
      <c r="DS57" s="228">
        <v>-0.03</v>
      </c>
      <c r="DT57" s="229">
        <v>-2.7300000000000001E-2</v>
      </c>
      <c r="DU57" s="231">
        <v>6450</v>
      </c>
      <c r="DV57" s="231">
        <v>6000</v>
      </c>
      <c r="DW57" s="228">
        <v>0.25</v>
      </c>
      <c r="DX57" s="228">
        <v>0.52</v>
      </c>
      <c r="DY57" s="228">
        <v>-0.27</v>
      </c>
      <c r="DZ57" s="229">
        <v>-0.51919999999999999</v>
      </c>
      <c r="EA57" s="229">
        <v>0.41880000000000001</v>
      </c>
      <c r="EB57" s="230">
        <v>469000</v>
      </c>
      <c r="EC57" s="229">
        <v>5.5999999999999999E-3</v>
      </c>
      <c r="ED57" s="229">
        <v>0.41880000000000001</v>
      </c>
      <c r="EE57" s="228">
        <v>34.909999999999997</v>
      </c>
      <c r="EF57" s="229">
        <v>5.4999999999999997E-3</v>
      </c>
      <c r="EG57" s="230">
        <v>195312</v>
      </c>
      <c r="EH57" s="230">
        <v>126497</v>
      </c>
      <c r="EI57" s="229">
        <v>0.54400000000000004</v>
      </c>
      <c r="EJ57" s="229">
        <v>0.46539999999999998</v>
      </c>
      <c r="EK57" s="231">
        <v>3099.1</v>
      </c>
      <c r="EL57" s="228">
        <v>740.06</v>
      </c>
      <c r="EM57" s="231">
        <v>1116.29</v>
      </c>
      <c r="EN57" s="228">
        <v>35.51</v>
      </c>
      <c r="EO57" s="231">
        <v>4955.46</v>
      </c>
      <c r="EP57" s="231">
        <v>1510.21</v>
      </c>
      <c r="EQ57" s="231">
        <v>3445.25</v>
      </c>
      <c r="ER57" s="229">
        <v>2.2812999999999999</v>
      </c>
      <c r="ES57" s="228">
        <v>518.66</v>
      </c>
      <c r="ET57" s="228">
        <v>510.61</v>
      </c>
      <c r="EU57" s="231">
        <v>1733.94</v>
      </c>
      <c r="EV57" s="231">
        <v>15815194</v>
      </c>
      <c r="EW57" s="231">
        <v>2763.2</v>
      </c>
      <c r="EX57" s="231">
        <v>2719.85</v>
      </c>
      <c r="EY57" s="228">
        <v>43.35</v>
      </c>
      <c r="EZ57" s="229">
        <v>1.5900000000000001E-2</v>
      </c>
      <c r="FA57" s="229">
        <v>0.27839999999999998</v>
      </c>
      <c r="FB57" s="227" t="s">
        <v>693</v>
      </c>
      <c r="FC57">
        <f t="shared" si="0"/>
        <v>723</v>
      </c>
    </row>
    <row r="58" spans="1:159" ht="17.25" thickBot="1" x14ac:dyDescent="0.3">
      <c r="A58" s="226">
        <v>46135</v>
      </c>
      <c r="B58" s="227" t="s">
        <v>184</v>
      </c>
      <c r="C58" s="227" t="s">
        <v>512</v>
      </c>
      <c r="D58" s="228">
        <v>50</v>
      </c>
      <c r="E58" s="228">
        <v>5</v>
      </c>
      <c r="F58" s="231">
        <v>10827.5</v>
      </c>
      <c r="G58" s="231">
        <v>11279</v>
      </c>
      <c r="H58" s="228">
        <v>-451.5</v>
      </c>
      <c r="I58" s="229">
        <v>-0.04</v>
      </c>
      <c r="J58" s="231">
        <v>10866.5</v>
      </c>
      <c r="K58" s="231">
        <v>11267</v>
      </c>
      <c r="L58" s="228">
        <v>-400.5</v>
      </c>
      <c r="M58" s="229">
        <v>-3.5499999999999997E-2</v>
      </c>
      <c r="N58" s="231">
        <v>10827.5</v>
      </c>
      <c r="O58" s="231">
        <v>11279</v>
      </c>
      <c r="P58" s="228">
        <v>-451.5</v>
      </c>
      <c r="Q58" s="229">
        <v>-0.04</v>
      </c>
      <c r="R58" s="231">
        <v>10662</v>
      </c>
      <c r="S58" s="231">
        <v>11184.5</v>
      </c>
      <c r="T58" s="228">
        <v>-522.5</v>
      </c>
      <c r="U58" s="229">
        <v>-4.6699999999999998E-2</v>
      </c>
      <c r="V58" s="231">
        <v>10604</v>
      </c>
      <c r="W58" s="231">
        <v>11159</v>
      </c>
      <c r="X58" s="228">
        <v>-555</v>
      </c>
      <c r="Y58" s="229">
        <v>-4.9700000000000001E-2</v>
      </c>
      <c r="Z58" s="228">
        <v>-39</v>
      </c>
      <c r="AA58" s="228">
        <v>12</v>
      </c>
      <c r="AB58" s="228">
        <v>-51</v>
      </c>
      <c r="AC58" s="229">
        <v>-3.5999999999999999E-3</v>
      </c>
      <c r="AD58" s="228">
        <v>-39</v>
      </c>
      <c r="AE58" s="228">
        <v>12</v>
      </c>
      <c r="AF58" s="228">
        <v>-51</v>
      </c>
      <c r="AG58" s="229">
        <v>-3.5999999999999999E-3</v>
      </c>
      <c r="AH58" s="228">
        <v>-204.5</v>
      </c>
      <c r="AI58" s="228">
        <v>-82.5</v>
      </c>
      <c r="AJ58" s="228">
        <v>-122</v>
      </c>
      <c r="AK58" s="229">
        <v>-1.8800000000000001E-2</v>
      </c>
      <c r="AL58" s="228">
        <v>-262.5</v>
      </c>
      <c r="AM58" s="228">
        <v>-108</v>
      </c>
      <c r="AN58" s="228">
        <v>-154.5</v>
      </c>
      <c r="AO58" s="229">
        <v>-2.4199999999999999E-2</v>
      </c>
      <c r="AP58" s="231">
        <v>10919.84</v>
      </c>
      <c r="AQ58" s="231">
        <v>10767.34</v>
      </c>
      <c r="AR58" s="228">
        <v>0</v>
      </c>
      <c r="AS58" s="230">
        <v>3022</v>
      </c>
      <c r="AT58" s="228">
        <v>927</v>
      </c>
      <c r="AU58" s="230">
        <v>2094</v>
      </c>
      <c r="AV58" s="229">
        <v>2.2583000000000002</v>
      </c>
      <c r="AW58" s="230">
        <v>1516</v>
      </c>
      <c r="AX58" s="228">
        <v>566</v>
      </c>
      <c r="AY58" s="228">
        <v>950</v>
      </c>
      <c r="AZ58" s="229">
        <v>1.677</v>
      </c>
      <c r="BA58" s="230">
        <v>1448</v>
      </c>
      <c r="BB58" s="228">
        <v>348</v>
      </c>
      <c r="BC58" s="230">
        <v>1099</v>
      </c>
      <c r="BD58" s="229">
        <v>3.157</v>
      </c>
      <c r="BE58" s="228">
        <v>57</v>
      </c>
      <c r="BF58" s="228">
        <v>13</v>
      </c>
      <c r="BG58" s="228">
        <v>45</v>
      </c>
      <c r="BH58" s="229">
        <v>3.5493999999999999</v>
      </c>
      <c r="BI58" s="230">
        <v>4269</v>
      </c>
      <c r="BJ58" s="230">
        <v>2426</v>
      </c>
      <c r="BK58" s="230">
        <v>1843</v>
      </c>
      <c r="BL58" s="229">
        <v>0.75949999999999995</v>
      </c>
      <c r="BM58" s="230">
        <v>2755</v>
      </c>
      <c r="BN58" s="230">
        <v>1460</v>
      </c>
      <c r="BO58" s="230">
        <v>1295</v>
      </c>
      <c r="BP58" s="229">
        <v>0.88729999999999998</v>
      </c>
      <c r="BQ58" s="230">
        <v>10046</v>
      </c>
      <c r="BR58" s="230">
        <v>4814</v>
      </c>
      <c r="BS58" s="230">
        <v>5232</v>
      </c>
      <c r="BT58" s="229">
        <v>1.087</v>
      </c>
      <c r="BU58" s="230">
        <v>802896</v>
      </c>
      <c r="BV58" s="230">
        <v>516764</v>
      </c>
      <c r="BW58" s="230">
        <v>286132</v>
      </c>
      <c r="BX58" s="229">
        <v>0.55369999999999997</v>
      </c>
      <c r="BY58" s="230">
        <v>3151</v>
      </c>
      <c r="BZ58" s="230">
        <v>3292</v>
      </c>
      <c r="CA58" s="228">
        <v>-141</v>
      </c>
      <c r="CB58" s="229">
        <v>-4.2900000000000001E-2</v>
      </c>
      <c r="CC58" s="230">
        <v>1494</v>
      </c>
      <c r="CD58" s="230">
        <v>2461</v>
      </c>
      <c r="CE58" s="228">
        <v>-968</v>
      </c>
      <c r="CF58" s="229">
        <v>-0.3931</v>
      </c>
      <c r="CG58" s="230">
        <v>1557</v>
      </c>
      <c r="CH58" s="228">
        <v>762</v>
      </c>
      <c r="CI58" s="228">
        <v>794</v>
      </c>
      <c r="CJ58" s="229">
        <v>1.0423</v>
      </c>
      <c r="CK58" s="228">
        <v>100</v>
      </c>
      <c r="CL58" s="228">
        <v>69</v>
      </c>
      <c r="CM58" s="228">
        <v>32</v>
      </c>
      <c r="CN58" s="229">
        <v>0.46489999999999998</v>
      </c>
      <c r="CO58" s="230">
        <v>2339</v>
      </c>
      <c r="CP58" s="230">
        <v>2189</v>
      </c>
      <c r="CQ58" s="228">
        <v>150</v>
      </c>
      <c r="CR58" s="229">
        <v>6.83E-2</v>
      </c>
      <c r="CS58" s="230">
        <v>1640</v>
      </c>
      <c r="CT58" s="230">
        <v>1648</v>
      </c>
      <c r="CU58" s="228">
        <v>-8</v>
      </c>
      <c r="CV58" s="229">
        <v>-5.0000000000000001E-3</v>
      </c>
      <c r="CW58" s="230">
        <v>7130</v>
      </c>
      <c r="CX58" s="230">
        <v>7130</v>
      </c>
      <c r="CY58" s="228">
        <v>0</v>
      </c>
      <c r="CZ58" s="229">
        <v>0</v>
      </c>
      <c r="DA58" s="228">
        <v>51.63</v>
      </c>
      <c r="DB58" s="228">
        <v>44.39</v>
      </c>
      <c r="DC58" s="228">
        <v>7.24</v>
      </c>
      <c r="DD58" s="228">
        <v>7.24</v>
      </c>
      <c r="DE58" s="228">
        <v>49.22</v>
      </c>
      <c r="DF58" s="228">
        <v>49.03</v>
      </c>
      <c r="DG58" s="228">
        <v>2.41</v>
      </c>
      <c r="DH58" s="228">
        <v>0.19</v>
      </c>
      <c r="DI58" s="228">
        <v>51.63</v>
      </c>
      <c r="DJ58" s="228">
        <v>43.13</v>
      </c>
      <c r="DK58" s="228">
        <v>8.5</v>
      </c>
      <c r="DL58" s="228">
        <v>8.5</v>
      </c>
      <c r="DM58" s="228">
        <v>51.62</v>
      </c>
      <c r="DN58" s="228">
        <v>46.49</v>
      </c>
      <c r="DO58" s="228">
        <v>5.13</v>
      </c>
      <c r="DP58" s="228">
        <v>5.13</v>
      </c>
      <c r="DQ58" s="228">
        <v>0.7</v>
      </c>
      <c r="DR58" s="228">
        <v>0.75</v>
      </c>
      <c r="DS58" s="228">
        <v>-0.05</v>
      </c>
      <c r="DT58" s="229">
        <v>-6.6699999999999995E-2</v>
      </c>
      <c r="DU58" s="231">
        <v>12000</v>
      </c>
      <c r="DV58" s="231">
        <v>10000</v>
      </c>
      <c r="DW58" s="228">
        <v>0.65</v>
      </c>
      <c r="DX58" s="228">
        <v>0.6</v>
      </c>
      <c r="DY58" s="228">
        <v>0.05</v>
      </c>
      <c r="DZ58" s="229">
        <v>8.3299999999999999E-2</v>
      </c>
      <c r="EA58" s="229">
        <v>0.52590000000000003</v>
      </c>
      <c r="EB58" s="230">
        <v>767350</v>
      </c>
      <c r="EC58" s="229">
        <v>-1.5299999999999999E-2</v>
      </c>
      <c r="ED58" s="229">
        <v>0.52590000000000003</v>
      </c>
      <c r="EE58" s="228">
        <v>-152.5</v>
      </c>
      <c r="EF58" s="229">
        <v>-1.4E-2</v>
      </c>
      <c r="EG58" s="230">
        <v>293392</v>
      </c>
      <c r="EH58" s="230">
        <v>154322</v>
      </c>
      <c r="EI58" s="229">
        <v>0.9012</v>
      </c>
      <c r="EJ58" s="229">
        <v>0.3654</v>
      </c>
      <c r="EK58" s="231">
        <v>4586.95</v>
      </c>
      <c r="EL58" s="231">
        <v>2730.3</v>
      </c>
      <c r="EM58" s="231">
        <v>3025.88</v>
      </c>
      <c r="EN58" s="228">
        <v>182.9</v>
      </c>
      <c r="EO58" s="231">
        <v>10343.14</v>
      </c>
      <c r="EP58" s="231">
        <v>5073.34</v>
      </c>
      <c r="EQ58" s="231">
        <v>5269.8</v>
      </c>
      <c r="ER58" s="229">
        <v>1.0387</v>
      </c>
      <c r="ES58" s="231">
        <v>2453.69</v>
      </c>
      <c r="ET58" s="231">
        <v>1554.8</v>
      </c>
      <c r="EU58" s="231">
        <v>3125.1</v>
      </c>
      <c r="EV58" s="231">
        <v>6478285</v>
      </c>
      <c r="EW58" s="231">
        <v>7133.59</v>
      </c>
      <c r="EX58" s="231">
        <v>7296.81</v>
      </c>
      <c r="EY58" s="228">
        <v>-163.22</v>
      </c>
      <c r="EZ58" s="229">
        <v>-2.24E-2</v>
      </c>
      <c r="FA58" s="229">
        <v>1.0164</v>
      </c>
      <c r="FB58" s="227" t="s">
        <v>567</v>
      </c>
      <c r="FC58">
        <f t="shared" si="0"/>
        <v>1657</v>
      </c>
    </row>
    <row r="59" spans="1:159" ht="17.25" thickBot="1" x14ac:dyDescent="0.3">
      <c r="A59" s="226">
        <v>46135</v>
      </c>
      <c r="B59" s="227" t="s">
        <v>206</v>
      </c>
      <c r="C59" s="227" t="s">
        <v>207</v>
      </c>
      <c r="D59" s="228">
        <v>825</v>
      </c>
      <c r="E59" s="228">
        <v>5</v>
      </c>
      <c r="F59" s="228">
        <v>591.9</v>
      </c>
      <c r="G59" s="228">
        <v>610.1</v>
      </c>
      <c r="H59" s="228">
        <v>-18.2</v>
      </c>
      <c r="I59" s="229">
        <v>-2.98E-2</v>
      </c>
      <c r="J59" s="228">
        <v>592.79999999999995</v>
      </c>
      <c r="K59" s="228">
        <v>610.65</v>
      </c>
      <c r="L59" s="228">
        <v>-17.850000000000001</v>
      </c>
      <c r="M59" s="229">
        <v>-2.92E-2</v>
      </c>
      <c r="N59" s="228">
        <v>591.9</v>
      </c>
      <c r="O59" s="228">
        <v>610.1</v>
      </c>
      <c r="P59" s="228">
        <v>-18.2</v>
      </c>
      <c r="Q59" s="229">
        <v>-2.98E-2</v>
      </c>
      <c r="R59" s="228">
        <v>595.1</v>
      </c>
      <c r="S59" s="228">
        <v>613.6</v>
      </c>
      <c r="T59" s="228">
        <v>-18.5</v>
      </c>
      <c r="U59" s="229">
        <v>-3.0099999999999998E-2</v>
      </c>
      <c r="V59" s="228">
        <v>598.35</v>
      </c>
      <c r="W59" s="228">
        <v>617.20000000000005</v>
      </c>
      <c r="X59" s="228">
        <v>-18.850000000000001</v>
      </c>
      <c r="Y59" s="229">
        <v>-3.0499999999999999E-2</v>
      </c>
      <c r="Z59" s="228">
        <v>-0.9</v>
      </c>
      <c r="AA59" s="228">
        <v>-0.55000000000000004</v>
      </c>
      <c r="AB59" s="228">
        <v>-0.35</v>
      </c>
      <c r="AC59" s="229">
        <v>-1.5E-3</v>
      </c>
      <c r="AD59" s="228">
        <v>-0.9</v>
      </c>
      <c r="AE59" s="228">
        <v>-0.55000000000000004</v>
      </c>
      <c r="AF59" s="228">
        <v>-0.35</v>
      </c>
      <c r="AG59" s="229">
        <v>-1.5E-3</v>
      </c>
      <c r="AH59" s="228">
        <v>2.2999999999999998</v>
      </c>
      <c r="AI59" s="228">
        <v>2.95</v>
      </c>
      <c r="AJ59" s="228">
        <v>-0.65</v>
      </c>
      <c r="AK59" s="229">
        <v>3.8999999999999998E-3</v>
      </c>
      <c r="AL59" s="228">
        <v>5.55</v>
      </c>
      <c r="AM59" s="228">
        <v>6.55</v>
      </c>
      <c r="AN59" s="228">
        <v>-1</v>
      </c>
      <c r="AO59" s="229">
        <v>9.4000000000000004E-3</v>
      </c>
      <c r="AP59" s="228">
        <v>597.55999999999995</v>
      </c>
      <c r="AQ59" s="228">
        <v>600.92999999999995</v>
      </c>
      <c r="AR59" s="228">
        <v>0</v>
      </c>
      <c r="AS59" s="230">
        <v>1159</v>
      </c>
      <c r="AT59" s="228">
        <v>717</v>
      </c>
      <c r="AU59" s="228">
        <v>443</v>
      </c>
      <c r="AV59" s="229">
        <v>0.61770000000000003</v>
      </c>
      <c r="AW59" s="228">
        <v>604</v>
      </c>
      <c r="AX59" s="228">
        <v>433</v>
      </c>
      <c r="AY59" s="228">
        <v>172</v>
      </c>
      <c r="AZ59" s="229">
        <v>0.39660000000000001</v>
      </c>
      <c r="BA59" s="228">
        <v>550</v>
      </c>
      <c r="BB59" s="228">
        <v>230</v>
      </c>
      <c r="BC59" s="228">
        <v>320</v>
      </c>
      <c r="BD59" s="229">
        <v>1.3902000000000001</v>
      </c>
      <c r="BE59" s="228">
        <v>6</v>
      </c>
      <c r="BF59" s="228">
        <v>54</v>
      </c>
      <c r="BG59" s="228">
        <v>-49</v>
      </c>
      <c r="BH59" s="229">
        <v>-0.89639999999999997</v>
      </c>
      <c r="BI59" s="228">
        <v>879</v>
      </c>
      <c r="BJ59" s="228">
        <v>850</v>
      </c>
      <c r="BK59" s="228">
        <v>29</v>
      </c>
      <c r="BL59" s="229">
        <v>3.44E-2</v>
      </c>
      <c r="BM59" s="228">
        <v>625</v>
      </c>
      <c r="BN59" s="228">
        <v>467</v>
      </c>
      <c r="BO59" s="228">
        <v>157</v>
      </c>
      <c r="BP59" s="229">
        <v>0.33679999999999999</v>
      </c>
      <c r="BQ59" s="230">
        <v>2664</v>
      </c>
      <c r="BR59" s="230">
        <v>2034</v>
      </c>
      <c r="BS59" s="228">
        <v>629</v>
      </c>
      <c r="BT59" s="229">
        <v>0.30940000000000001</v>
      </c>
      <c r="BU59" s="230">
        <v>3301381</v>
      </c>
      <c r="BV59" s="230">
        <v>3775403</v>
      </c>
      <c r="BW59" s="230">
        <v>-474022</v>
      </c>
      <c r="BX59" s="229">
        <v>-0.12559999999999999</v>
      </c>
      <c r="BY59" s="230">
        <v>2913</v>
      </c>
      <c r="BZ59" s="230">
        <v>2895</v>
      </c>
      <c r="CA59" s="228">
        <v>17</v>
      </c>
      <c r="CB59" s="229">
        <v>6.0000000000000001E-3</v>
      </c>
      <c r="CC59" s="230">
        <v>1820</v>
      </c>
      <c r="CD59" s="230">
        <v>2263</v>
      </c>
      <c r="CE59" s="228">
        <v>-443</v>
      </c>
      <c r="CF59" s="229">
        <v>-0.19589999999999999</v>
      </c>
      <c r="CG59" s="228">
        <v>942</v>
      </c>
      <c r="CH59" s="228">
        <v>485</v>
      </c>
      <c r="CI59" s="228">
        <v>457</v>
      </c>
      <c r="CJ59" s="229">
        <v>0.94299999999999995</v>
      </c>
      <c r="CK59" s="228">
        <v>151</v>
      </c>
      <c r="CL59" s="228">
        <v>147</v>
      </c>
      <c r="CM59" s="228">
        <v>4</v>
      </c>
      <c r="CN59" s="229">
        <v>2.4899999999999999E-2</v>
      </c>
      <c r="CO59" s="228">
        <v>715</v>
      </c>
      <c r="CP59" s="228">
        <v>682</v>
      </c>
      <c r="CQ59" s="228">
        <v>33</v>
      </c>
      <c r="CR59" s="229">
        <v>4.8800000000000003E-2</v>
      </c>
      <c r="CS59" s="228">
        <v>688</v>
      </c>
      <c r="CT59" s="228">
        <v>706</v>
      </c>
      <c r="CU59" s="228">
        <v>-18</v>
      </c>
      <c r="CV59" s="229">
        <v>-2.5000000000000001E-2</v>
      </c>
      <c r="CW59" s="230">
        <v>4316</v>
      </c>
      <c r="CX59" s="230">
        <v>4283</v>
      </c>
      <c r="CY59" s="228">
        <v>33</v>
      </c>
      <c r="CZ59" s="229">
        <v>7.7000000000000002E-3</v>
      </c>
      <c r="DA59" s="228">
        <v>37.31</v>
      </c>
      <c r="DB59" s="228">
        <v>32.58</v>
      </c>
      <c r="DC59" s="228">
        <v>4.7300000000000004</v>
      </c>
      <c r="DD59" s="228">
        <v>4.7300000000000004</v>
      </c>
      <c r="DE59" s="228">
        <v>37.99</v>
      </c>
      <c r="DF59" s="228">
        <v>37.869999999999997</v>
      </c>
      <c r="DG59" s="228">
        <v>-0.68</v>
      </c>
      <c r="DH59" s="228">
        <v>0.12</v>
      </c>
      <c r="DI59" s="228">
        <v>37.159999999999997</v>
      </c>
      <c r="DJ59" s="228">
        <v>31.02</v>
      </c>
      <c r="DK59" s="228">
        <v>6.14</v>
      </c>
      <c r="DL59" s="228">
        <v>6.14</v>
      </c>
      <c r="DM59" s="228">
        <v>37.56</v>
      </c>
      <c r="DN59" s="228">
        <v>35.42</v>
      </c>
      <c r="DO59" s="228">
        <v>2.14</v>
      </c>
      <c r="DP59" s="228">
        <v>2.14</v>
      </c>
      <c r="DQ59" s="228">
        <v>0.96</v>
      </c>
      <c r="DR59" s="228">
        <v>1.04</v>
      </c>
      <c r="DS59" s="228">
        <v>-0.08</v>
      </c>
      <c r="DT59" s="229">
        <v>-7.6899999999999996E-2</v>
      </c>
      <c r="DU59" s="228">
        <v>600</v>
      </c>
      <c r="DV59" s="228">
        <v>540</v>
      </c>
      <c r="DW59" s="228">
        <v>0.71</v>
      </c>
      <c r="DX59" s="228">
        <v>0.55000000000000004</v>
      </c>
      <c r="DY59" s="228">
        <v>0.16</v>
      </c>
      <c r="DZ59" s="229">
        <v>0.29089999999999999</v>
      </c>
      <c r="EA59" s="229">
        <v>0.37519999999999998</v>
      </c>
      <c r="EB59" s="230">
        <v>10678800</v>
      </c>
      <c r="EC59" s="229">
        <v>5.4000000000000003E-3</v>
      </c>
      <c r="ED59" s="229">
        <v>0.37519999999999998</v>
      </c>
      <c r="EE59" s="228">
        <v>3.37</v>
      </c>
      <c r="EF59" s="229">
        <v>5.5999999999999999E-3</v>
      </c>
      <c r="EG59" s="230">
        <v>1742445</v>
      </c>
      <c r="EH59" s="230">
        <v>1828886</v>
      </c>
      <c r="EI59" s="229">
        <v>-4.7300000000000002E-2</v>
      </c>
      <c r="EJ59" s="229">
        <v>0.52780000000000005</v>
      </c>
      <c r="EK59" s="228">
        <v>920.92</v>
      </c>
      <c r="EL59" s="228">
        <v>624.53</v>
      </c>
      <c r="EM59" s="231">
        <v>1173.68</v>
      </c>
      <c r="EN59" s="228">
        <v>92.41</v>
      </c>
      <c r="EO59" s="231">
        <v>2719.12</v>
      </c>
      <c r="EP59" s="231">
        <v>2112.4899999999998</v>
      </c>
      <c r="EQ59" s="228">
        <v>606.64</v>
      </c>
      <c r="ER59" s="229">
        <v>0.28720000000000001</v>
      </c>
      <c r="ES59" s="228">
        <v>715.07</v>
      </c>
      <c r="ET59" s="228">
        <v>648.53</v>
      </c>
      <c r="EU59" s="231">
        <v>2919.36</v>
      </c>
      <c r="EV59" s="231">
        <v>96251298</v>
      </c>
      <c r="EW59" s="231">
        <v>4282.95</v>
      </c>
      <c r="EX59" s="231">
        <v>4337.49</v>
      </c>
      <c r="EY59" s="228">
        <v>-54.54</v>
      </c>
      <c r="EZ59" s="229">
        <v>-1.26E-2</v>
      </c>
      <c r="FA59" s="229">
        <v>0.75760000000000005</v>
      </c>
      <c r="FB59" s="227" t="s">
        <v>566</v>
      </c>
      <c r="FC59">
        <f t="shared" si="0"/>
        <v>1093</v>
      </c>
    </row>
    <row r="60" spans="1:159" ht="17.25" thickBot="1" x14ac:dyDescent="0.3">
      <c r="A60" s="226">
        <v>46135</v>
      </c>
      <c r="B60" s="227" t="s">
        <v>614</v>
      </c>
      <c r="C60" s="227" t="s">
        <v>582</v>
      </c>
      <c r="D60" s="228">
        <v>150</v>
      </c>
      <c r="E60" s="228">
        <v>5</v>
      </c>
      <c r="F60" s="231">
        <v>4529.3</v>
      </c>
      <c r="G60" s="231">
        <v>4592.6000000000004</v>
      </c>
      <c r="H60" s="228">
        <v>-63.3</v>
      </c>
      <c r="I60" s="229">
        <v>-1.38E-2</v>
      </c>
      <c r="J60" s="231">
        <v>4521.2</v>
      </c>
      <c r="K60" s="231">
        <v>4594.8</v>
      </c>
      <c r="L60" s="228">
        <v>-73.599999999999994</v>
      </c>
      <c r="M60" s="229">
        <v>-1.6E-2</v>
      </c>
      <c r="N60" s="231">
        <v>4529.3</v>
      </c>
      <c r="O60" s="231">
        <v>4592.6000000000004</v>
      </c>
      <c r="P60" s="228">
        <v>-63.3</v>
      </c>
      <c r="Q60" s="229">
        <v>-1.38E-2</v>
      </c>
      <c r="R60" s="231">
        <v>4526.1000000000004</v>
      </c>
      <c r="S60" s="231">
        <v>4594.8999999999996</v>
      </c>
      <c r="T60" s="228">
        <v>-68.8</v>
      </c>
      <c r="U60" s="229">
        <v>-1.4999999999999999E-2</v>
      </c>
      <c r="V60" s="231">
        <v>4520</v>
      </c>
      <c r="W60" s="231">
        <v>4598.8</v>
      </c>
      <c r="X60" s="228">
        <v>-78.8</v>
      </c>
      <c r="Y60" s="229">
        <v>-1.7100000000000001E-2</v>
      </c>
      <c r="Z60" s="228">
        <v>8.1</v>
      </c>
      <c r="AA60" s="228">
        <v>-2.2000000000000002</v>
      </c>
      <c r="AB60" s="228">
        <v>10.3</v>
      </c>
      <c r="AC60" s="229">
        <v>1.8E-3</v>
      </c>
      <c r="AD60" s="228">
        <v>8.1</v>
      </c>
      <c r="AE60" s="228">
        <v>-2.2000000000000002</v>
      </c>
      <c r="AF60" s="228">
        <v>10.3</v>
      </c>
      <c r="AG60" s="229">
        <v>1.8E-3</v>
      </c>
      <c r="AH60" s="228">
        <v>4.9000000000000004</v>
      </c>
      <c r="AI60" s="228">
        <v>0.1</v>
      </c>
      <c r="AJ60" s="228">
        <v>4.8</v>
      </c>
      <c r="AK60" s="229">
        <v>1.1000000000000001E-3</v>
      </c>
      <c r="AL60" s="228">
        <v>-1.2</v>
      </c>
      <c r="AM60" s="228">
        <v>4</v>
      </c>
      <c r="AN60" s="228">
        <v>-5.2</v>
      </c>
      <c r="AO60" s="229">
        <v>-2.9999999999999997E-4</v>
      </c>
      <c r="AP60" s="231">
        <v>4549.7700000000004</v>
      </c>
      <c r="AQ60" s="231">
        <v>4536.55</v>
      </c>
      <c r="AR60" s="228">
        <v>0</v>
      </c>
      <c r="AS60" s="230">
        <v>1702</v>
      </c>
      <c r="AT60" s="228">
        <v>314</v>
      </c>
      <c r="AU60" s="230">
        <v>1388</v>
      </c>
      <c r="AV60" s="229">
        <v>4.4123999999999999</v>
      </c>
      <c r="AW60" s="228">
        <v>866</v>
      </c>
      <c r="AX60" s="228">
        <v>225</v>
      </c>
      <c r="AY60" s="228">
        <v>641</v>
      </c>
      <c r="AZ60" s="229">
        <v>2.8464</v>
      </c>
      <c r="BA60" s="228">
        <v>834</v>
      </c>
      <c r="BB60" s="228">
        <v>87</v>
      </c>
      <c r="BC60" s="228">
        <v>747</v>
      </c>
      <c r="BD60" s="229">
        <v>8.5831</v>
      </c>
      <c r="BE60" s="228">
        <v>2</v>
      </c>
      <c r="BF60" s="228">
        <v>2</v>
      </c>
      <c r="BG60" s="228">
        <v>0</v>
      </c>
      <c r="BH60" s="229">
        <v>0</v>
      </c>
      <c r="BI60" s="230">
        <v>1020</v>
      </c>
      <c r="BJ60" s="230">
        <v>1329</v>
      </c>
      <c r="BK60" s="228">
        <v>-309</v>
      </c>
      <c r="BL60" s="229">
        <v>-0.2326</v>
      </c>
      <c r="BM60" s="228">
        <v>784</v>
      </c>
      <c r="BN60" s="230">
        <v>1031</v>
      </c>
      <c r="BO60" s="228">
        <v>-247</v>
      </c>
      <c r="BP60" s="229">
        <v>-0.2397</v>
      </c>
      <c r="BQ60" s="230">
        <v>3506</v>
      </c>
      <c r="BR60" s="230">
        <v>2675</v>
      </c>
      <c r="BS60" s="228">
        <v>831</v>
      </c>
      <c r="BT60" s="229">
        <v>0.31080000000000002</v>
      </c>
      <c r="BU60" s="230">
        <v>271540</v>
      </c>
      <c r="BV60" s="230">
        <v>336808</v>
      </c>
      <c r="BW60" s="230">
        <v>-65268</v>
      </c>
      <c r="BX60" s="229">
        <v>-0.1938</v>
      </c>
      <c r="BY60" s="230">
        <v>1689</v>
      </c>
      <c r="BZ60" s="230">
        <v>1817</v>
      </c>
      <c r="CA60" s="228">
        <v>-128</v>
      </c>
      <c r="CB60" s="229">
        <v>-7.0499999999999993E-2</v>
      </c>
      <c r="CC60" s="228">
        <v>904</v>
      </c>
      <c r="CD60" s="230">
        <v>1580</v>
      </c>
      <c r="CE60" s="228">
        <v>-676</v>
      </c>
      <c r="CF60" s="229">
        <v>-0.42809999999999998</v>
      </c>
      <c r="CG60" s="228">
        <v>774</v>
      </c>
      <c r="CH60" s="228">
        <v>226</v>
      </c>
      <c r="CI60" s="228">
        <v>547</v>
      </c>
      <c r="CJ60" s="229">
        <v>2.4163999999999999</v>
      </c>
      <c r="CK60" s="228">
        <v>12</v>
      </c>
      <c r="CL60" s="228">
        <v>11</v>
      </c>
      <c r="CM60" s="228">
        <v>1</v>
      </c>
      <c r="CN60" s="229">
        <v>0.1026</v>
      </c>
      <c r="CO60" s="228">
        <v>835</v>
      </c>
      <c r="CP60" s="228">
        <v>869</v>
      </c>
      <c r="CQ60" s="228">
        <v>-35</v>
      </c>
      <c r="CR60" s="229">
        <v>-3.9899999999999998E-2</v>
      </c>
      <c r="CS60" s="228">
        <v>720</v>
      </c>
      <c r="CT60" s="228">
        <v>771</v>
      </c>
      <c r="CU60" s="228">
        <v>-51</v>
      </c>
      <c r="CV60" s="229">
        <v>-6.6199999999999995E-2</v>
      </c>
      <c r="CW60" s="230">
        <v>3243</v>
      </c>
      <c r="CX60" s="230">
        <v>3457</v>
      </c>
      <c r="CY60" s="228">
        <v>-214</v>
      </c>
      <c r="CZ60" s="229">
        <v>-6.1899999999999997E-2</v>
      </c>
      <c r="DA60" s="228">
        <v>32.909999999999997</v>
      </c>
      <c r="DB60" s="228">
        <v>30.87</v>
      </c>
      <c r="DC60" s="228">
        <v>2.04</v>
      </c>
      <c r="DD60" s="228">
        <v>2.04</v>
      </c>
      <c r="DE60" s="228">
        <v>32.979999999999997</v>
      </c>
      <c r="DF60" s="228">
        <v>33.01</v>
      </c>
      <c r="DG60" s="228">
        <v>-7.0000000000000007E-2</v>
      </c>
      <c r="DH60" s="228">
        <v>-0.03</v>
      </c>
      <c r="DI60" s="228">
        <v>32.57</v>
      </c>
      <c r="DJ60" s="228">
        <v>28.87</v>
      </c>
      <c r="DK60" s="228">
        <v>3.7</v>
      </c>
      <c r="DL60" s="228">
        <v>3.7</v>
      </c>
      <c r="DM60" s="228">
        <v>33.44</v>
      </c>
      <c r="DN60" s="228">
        <v>33.44</v>
      </c>
      <c r="DO60" s="228">
        <v>0</v>
      </c>
      <c r="DP60" s="228">
        <v>0</v>
      </c>
      <c r="DQ60" s="228">
        <v>0.86</v>
      </c>
      <c r="DR60" s="228">
        <v>0.89</v>
      </c>
      <c r="DS60" s="228">
        <v>-0.03</v>
      </c>
      <c r="DT60" s="229">
        <v>-3.3700000000000001E-2</v>
      </c>
      <c r="DU60" s="231">
        <v>4600</v>
      </c>
      <c r="DV60" s="231">
        <v>4050</v>
      </c>
      <c r="DW60" s="228">
        <v>0.77</v>
      </c>
      <c r="DX60" s="228">
        <v>0.78</v>
      </c>
      <c r="DY60" s="228">
        <v>-0.01</v>
      </c>
      <c r="DZ60" s="229">
        <v>-1.2800000000000001E-2</v>
      </c>
      <c r="EA60" s="229">
        <v>0.46489999999999998</v>
      </c>
      <c r="EB60" s="230">
        <v>523350</v>
      </c>
      <c r="EC60" s="229">
        <v>-6.9999999999999999E-4</v>
      </c>
      <c r="ED60" s="229">
        <v>0.46489999999999998</v>
      </c>
      <c r="EE60" s="228">
        <v>-13.22</v>
      </c>
      <c r="EF60" s="229">
        <v>-2.8999999999999998E-3</v>
      </c>
      <c r="EG60" s="230">
        <v>112414</v>
      </c>
      <c r="EH60" s="230">
        <v>158380</v>
      </c>
      <c r="EI60" s="229">
        <v>-0.29020000000000001</v>
      </c>
      <c r="EJ60" s="229">
        <v>0.41399999999999998</v>
      </c>
      <c r="EK60" s="231">
        <v>1067.42</v>
      </c>
      <c r="EL60" s="228">
        <v>759.51</v>
      </c>
      <c r="EM60" s="231">
        <v>1707.41</v>
      </c>
      <c r="EN60" s="228">
        <v>54.74</v>
      </c>
      <c r="EO60" s="231">
        <v>3534.34</v>
      </c>
      <c r="EP60" s="231">
        <v>2707.43</v>
      </c>
      <c r="EQ60" s="228">
        <v>826.91</v>
      </c>
      <c r="ER60" s="229">
        <v>0.3054</v>
      </c>
      <c r="ES60" s="228">
        <v>834.5</v>
      </c>
      <c r="ET60" s="228">
        <v>665.3</v>
      </c>
      <c r="EU60" s="231">
        <v>1688.54</v>
      </c>
      <c r="EV60" s="231">
        <v>16494391</v>
      </c>
      <c r="EW60" s="231">
        <v>3188.35</v>
      </c>
      <c r="EX60" s="231">
        <v>3424.75</v>
      </c>
      <c r="EY60" s="228">
        <v>-236.4</v>
      </c>
      <c r="EZ60" s="229">
        <v>-6.9000000000000006E-2</v>
      </c>
      <c r="FA60" s="229">
        <v>0.43409999999999999</v>
      </c>
      <c r="FB60" s="227" t="s">
        <v>567</v>
      </c>
      <c r="FC60">
        <f t="shared" si="0"/>
        <v>785</v>
      </c>
    </row>
    <row r="61" spans="1:159" ht="17.25" thickBot="1" x14ac:dyDescent="0.3">
      <c r="A61" s="226">
        <v>46135</v>
      </c>
      <c r="B61" s="227" t="s">
        <v>170</v>
      </c>
      <c r="C61" s="227" t="s">
        <v>208</v>
      </c>
      <c r="D61" s="228">
        <v>625</v>
      </c>
      <c r="E61" s="228">
        <v>5</v>
      </c>
      <c r="F61" s="231">
        <v>1323.8</v>
      </c>
      <c r="G61" s="231">
        <v>1210.9000000000001</v>
      </c>
      <c r="H61" s="228">
        <v>112.9</v>
      </c>
      <c r="I61" s="229">
        <v>9.3200000000000005E-2</v>
      </c>
      <c r="J61" s="231">
        <v>1331</v>
      </c>
      <c r="K61" s="231">
        <v>1217</v>
      </c>
      <c r="L61" s="228">
        <v>114</v>
      </c>
      <c r="M61" s="229">
        <v>9.3700000000000006E-2</v>
      </c>
      <c r="N61" s="231">
        <v>1323.8</v>
      </c>
      <c r="O61" s="231">
        <v>1210.9000000000001</v>
      </c>
      <c r="P61" s="228">
        <v>112.9</v>
      </c>
      <c r="Q61" s="229">
        <v>9.3200000000000005E-2</v>
      </c>
      <c r="R61" s="231">
        <v>1315.3</v>
      </c>
      <c r="S61" s="231">
        <v>1210</v>
      </c>
      <c r="T61" s="228">
        <v>105.3</v>
      </c>
      <c r="U61" s="229">
        <v>8.6999999999999994E-2</v>
      </c>
      <c r="V61" s="231">
        <v>1315.4</v>
      </c>
      <c r="W61" s="231">
        <v>1214.5999999999999</v>
      </c>
      <c r="X61" s="228">
        <v>100.8</v>
      </c>
      <c r="Y61" s="229">
        <v>8.3000000000000004E-2</v>
      </c>
      <c r="Z61" s="228">
        <v>-7.2</v>
      </c>
      <c r="AA61" s="228">
        <v>-6.1</v>
      </c>
      <c r="AB61" s="228">
        <v>-1.1000000000000001</v>
      </c>
      <c r="AC61" s="229">
        <v>-5.4000000000000003E-3</v>
      </c>
      <c r="AD61" s="228">
        <v>-7.2</v>
      </c>
      <c r="AE61" s="228">
        <v>-6.1</v>
      </c>
      <c r="AF61" s="228">
        <v>-1.1000000000000001</v>
      </c>
      <c r="AG61" s="229">
        <v>-5.4000000000000003E-3</v>
      </c>
      <c r="AH61" s="228">
        <v>-15.7</v>
      </c>
      <c r="AI61" s="228">
        <v>-7</v>
      </c>
      <c r="AJ61" s="228">
        <v>-8.6999999999999993</v>
      </c>
      <c r="AK61" s="229">
        <v>-1.18E-2</v>
      </c>
      <c r="AL61" s="228">
        <v>-15.6</v>
      </c>
      <c r="AM61" s="228">
        <v>-2.4</v>
      </c>
      <c r="AN61" s="228">
        <v>-13.2</v>
      </c>
      <c r="AO61" s="229">
        <v>-1.17E-2</v>
      </c>
      <c r="AP61" s="231">
        <v>1300.68</v>
      </c>
      <c r="AQ61" s="231">
        <v>1299.6400000000001</v>
      </c>
      <c r="AR61" s="228">
        <v>0</v>
      </c>
      <c r="AS61" s="230">
        <v>4282</v>
      </c>
      <c r="AT61" s="228">
        <v>497</v>
      </c>
      <c r="AU61" s="230">
        <v>3785</v>
      </c>
      <c r="AV61" s="229">
        <v>7.6186999999999996</v>
      </c>
      <c r="AW61" s="230">
        <v>2305</v>
      </c>
      <c r="AX61" s="228">
        <v>323</v>
      </c>
      <c r="AY61" s="230">
        <v>1982</v>
      </c>
      <c r="AZ61" s="229">
        <v>6.1414999999999997</v>
      </c>
      <c r="BA61" s="230">
        <v>1946</v>
      </c>
      <c r="BB61" s="228">
        <v>168</v>
      </c>
      <c r="BC61" s="230">
        <v>1778</v>
      </c>
      <c r="BD61" s="229">
        <v>10.6014</v>
      </c>
      <c r="BE61" s="228">
        <v>31</v>
      </c>
      <c r="BF61" s="228">
        <v>6</v>
      </c>
      <c r="BG61" s="228">
        <v>25</v>
      </c>
      <c r="BH61" s="229">
        <v>3.9350999999999998</v>
      </c>
      <c r="BI61" s="230">
        <v>25309</v>
      </c>
      <c r="BJ61" s="230">
        <v>1378</v>
      </c>
      <c r="BK61" s="230">
        <v>23931</v>
      </c>
      <c r="BL61" s="229">
        <v>17.365300000000001</v>
      </c>
      <c r="BM61" s="230">
        <v>10179</v>
      </c>
      <c r="BN61" s="228">
        <v>613</v>
      </c>
      <c r="BO61" s="230">
        <v>9566</v>
      </c>
      <c r="BP61" s="229">
        <v>15.5992</v>
      </c>
      <c r="BQ61" s="230">
        <v>39770</v>
      </c>
      <c r="BR61" s="230">
        <v>2488</v>
      </c>
      <c r="BS61" s="230">
        <v>37282</v>
      </c>
      <c r="BT61" s="229">
        <v>14.9838</v>
      </c>
      <c r="BU61" s="230">
        <v>17404366</v>
      </c>
      <c r="BV61" s="230">
        <v>1623062</v>
      </c>
      <c r="BW61" s="230">
        <v>15781304</v>
      </c>
      <c r="BX61" s="229">
        <v>9.7232000000000003</v>
      </c>
      <c r="BY61" s="230">
        <v>2086</v>
      </c>
      <c r="BZ61" s="230">
        <v>2070</v>
      </c>
      <c r="CA61" s="228">
        <v>16</v>
      </c>
      <c r="CB61" s="229">
        <v>7.9000000000000008E-3</v>
      </c>
      <c r="CC61" s="230">
        <v>1060</v>
      </c>
      <c r="CD61" s="230">
        <v>1753</v>
      </c>
      <c r="CE61" s="228">
        <v>-693</v>
      </c>
      <c r="CF61" s="229">
        <v>-0.39529999999999998</v>
      </c>
      <c r="CG61" s="230">
        <v>1004</v>
      </c>
      <c r="CH61" s="228">
        <v>291</v>
      </c>
      <c r="CI61" s="228">
        <v>713</v>
      </c>
      <c r="CJ61" s="229">
        <v>2.4497</v>
      </c>
      <c r="CK61" s="228">
        <v>22</v>
      </c>
      <c r="CL61" s="228">
        <v>25</v>
      </c>
      <c r="CM61" s="228">
        <v>-3</v>
      </c>
      <c r="CN61" s="229">
        <v>-0.12659999999999999</v>
      </c>
      <c r="CO61" s="230">
        <v>1766</v>
      </c>
      <c r="CP61" s="228">
        <v>996</v>
      </c>
      <c r="CQ61" s="228">
        <v>771</v>
      </c>
      <c r="CR61" s="229">
        <v>0.77410000000000001</v>
      </c>
      <c r="CS61" s="230">
        <v>1174</v>
      </c>
      <c r="CT61" s="228">
        <v>683</v>
      </c>
      <c r="CU61" s="228">
        <v>490</v>
      </c>
      <c r="CV61" s="229">
        <v>0.71760000000000002</v>
      </c>
      <c r="CW61" s="230">
        <v>5026</v>
      </c>
      <c r="CX61" s="230">
        <v>3749</v>
      </c>
      <c r="CY61" s="230">
        <v>1277</v>
      </c>
      <c r="CZ61" s="229">
        <v>0.3407</v>
      </c>
      <c r="DA61" s="228">
        <v>34.22</v>
      </c>
      <c r="DB61" s="228">
        <v>23.6</v>
      </c>
      <c r="DC61" s="228">
        <v>10.62</v>
      </c>
      <c r="DD61" s="228">
        <v>10.62</v>
      </c>
      <c r="DE61" s="228">
        <v>28.52</v>
      </c>
      <c r="DF61" s="228">
        <v>25.89</v>
      </c>
      <c r="DG61" s="228">
        <v>5.7</v>
      </c>
      <c r="DH61" s="228">
        <v>2.63</v>
      </c>
      <c r="DI61" s="228">
        <v>34.11</v>
      </c>
      <c r="DJ61" s="228">
        <v>23.8</v>
      </c>
      <c r="DK61" s="228">
        <v>10.31</v>
      </c>
      <c r="DL61" s="228">
        <v>10.31</v>
      </c>
      <c r="DM61" s="228">
        <v>34.51</v>
      </c>
      <c r="DN61" s="228">
        <v>23.17</v>
      </c>
      <c r="DO61" s="228">
        <v>11.34</v>
      </c>
      <c r="DP61" s="228">
        <v>11.34</v>
      </c>
      <c r="DQ61" s="228">
        <v>0.66</v>
      </c>
      <c r="DR61" s="228">
        <v>0.69</v>
      </c>
      <c r="DS61" s="228">
        <v>-0.03</v>
      </c>
      <c r="DT61" s="229">
        <v>-4.3499999999999997E-2</v>
      </c>
      <c r="DU61" s="231">
        <v>1400</v>
      </c>
      <c r="DV61" s="231">
        <v>1200</v>
      </c>
      <c r="DW61" s="228">
        <v>0.4</v>
      </c>
      <c r="DX61" s="228">
        <v>0.45</v>
      </c>
      <c r="DY61" s="228">
        <v>-0.05</v>
      </c>
      <c r="DZ61" s="229">
        <v>-0.1111</v>
      </c>
      <c r="EA61" s="229">
        <v>0.49170000000000003</v>
      </c>
      <c r="EB61" s="230">
        <v>2390000</v>
      </c>
      <c r="EC61" s="229">
        <v>-6.4000000000000003E-3</v>
      </c>
      <c r="ED61" s="229">
        <v>0.49170000000000003</v>
      </c>
      <c r="EE61" s="228">
        <v>-1.04</v>
      </c>
      <c r="EF61" s="229">
        <v>-8.0000000000000004E-4</v>
      </c>
      <c r="EG61" s="230">
        <v>3823638</v>
      </c>
      <c r="EH61" s="230">
        <v>982009</v>
      </c>
      <c r="EI61" s="229">
        <v>2.8936999999999999</v>
      </c>
      <c r="EJ61" s="229">
        <v>0.21970000000000001</v>
      </c>
      <c r="EK61" s="231">
        <v>25682.25</v>
      </c>
      <c r="EL61" s="231">
        <v>9836.65</v>
      </c>
      <c r="EM61" s="231">
        <v>4205.5600000000004</v>
      </c>
      <c r="EN61" s="228">
        <v>41.45</v>
      </c>
      <c r="EO61" s="231">
        <v>39724.46</v>
      </c>
      <c r="EP61" s="231">
        <v>2320.04</v>
      </c>
      <c r="EQ61" s="231">
        <v>37404.42</v>
      </c>
      <c r="ER61" s="229">
        <v>16.122299999999999</v>
      </c>
      <c r="ES61" s="231">
        <v>1758.76</v>
      </c>
      <c r="ET61" s="231">
        <v>1091.3800000000001</v>
      </c>
      <c r="EU61" s="231">
        <v>2079.48</v>
      </c>
      <c r="EV61" s="231">
        <v>61026255</v>
      </c>
      <c r="EW61" s="231">
        <v>4929.62</v>
      </c>
      <c r="EX61" s="231">
        <v>3450.24</v>
      </c>
      <c r="EY61" s="231">
        <v>1479.38</v>
      </c>
      <c r="EZ61" s="229">
        <v>0.42880000000000001</v>
      </c>
      <c r="FA61" s="229">
        <v>0.62219999999999998</v>
      </c>
      <c r="FB61" s="227" t="s">
        <v>555</v>
      </c>
      <c r="FC61">
        <f t="shared" si="0"/>
        <v>1026</v>
      </c>
    </row>
    <row r="62" spans="1:159" ht="17.25" thickBot="1" x14ac:dyDescent="0.3">
      <c r="A62" s="226">
        <v>46135</v>
      </c>
      <c r="B62" s="227" t="s">
        <v>162</v>
      </c>
      <c r="C62" s="227" t="s">
        <v>209</v>
      </c>
      <c r="D62" s="228">
        <v>100</v>
      </c>
      <c r="E62" s="228">
        <v>5</v>
      </c>
      <c r="F62" s="231">
        <v>7086</v>
      </c>
      <c r="G62" s="231">
        <v>7220.5</v>
      </c>
      <c r="H62" s="228">
        <v>-134.5</v>
      </c>
      <c r="I62" s="229">
        <v>-1.8599999999999998E-2</v>
      </c>
      <c r="J62" s="231">
        <v>7092.5</v>
      </c>
      <c r="K62" s="231">
        <v>7230</v>
      </c>
      <c r="L62" s="228">
        <v>-137.5</v>
      </c>
      <c r="M62" s="229">
        <v>-1.9E-2</v>
      </c>
      <c r="N62" s="231">
        <v>7086</v>
      </c>
      <c r="O62" s="231">
        <v>7220.5</v>
      </c>
      <c r="P62" s="228">
        <v>-134.5</v>
      </c>
      <c r="Q62" s="229">
        <v>-1.8599999999999998E-2</v>
      </c>
      <c r="R62" s="231">
        <v>7126.5</v>
      </c>
      <c r="S62" s="231">
        <v>7254.5</v>
      </c>
      <c r="T62" s="228">
        <v>-128</v>
      </c>
      <c r="U62" s="229">
        <v>-1.7600000000000001E-2</v>
      </c>
      <c r="V62" s="231">
        <v>7168</v>
      </c>
      <c r="W62" s="231">
        <v>7307</v>
      </c>
      <c r="X62" s="228">
        <v>-139</v>
      </c>
      <c r="Y62" s="229">
        <v>-1.9E-2</v>
      </c>
      <c r="Z62" s="228">
        <v>-6.5</v>
      </c>
      <c r="AA62" s="228">
        <v>-9.5</v>
      </c>
      <c r="AB62" s="228">
        <v>3</v>
      </c>
      <c r="AC62" s="229">
        <v>-8.9999999999999998E-4</v>
      </c>
      <c r="AD62" s="228">
        <v>-6.5</v>
      </c>
      <c r="AE62" s="228">
        <v>-9.5</v>
      </c>
      <c r="AF62" s="228">
        <v>3</v>
      </c>
      <c r="AG62" s="229">
        <v>-8.9999999999999998E-4</v>
      </c>
      <c r="AH62" s="228">
        <v>34</v>
      </c>
      <c r="AI62" s="228">
        <v>24.5</v>
      </c>
      <c r="AJ62" s="228">
        <v>9.5</v>
      </c>
      <c r="AK62" s="229">
        <v>4.7999999999999996E-3</v>
      </c>
      <c r="AL62" s="228">
        <v>75.5</v>
      </c>
      <c r="AM62" s="228">
        <v>77</v>
      </c>
      <c r="AN62" s="228">
        <v>-1.5</v>
      </c>
      <c r="AO62" s="229">
        <v>1.06E-2</v>
      </c>
      <c r="AP62" s="231">
        <v>7100.74</v>
      </c>
      <c r="AQ62" s="231">
        <v>7137.19</v>
      </c>
      <c r="AR62" s="228">
        <v>0</v>
      </c>
      <c r="AS62" s="230">
        <v>1631</v>
      </c>
      <c r="AT62" s="228">
        <v>415</v>
      </c>
      <c r="AU62" s="230">
        <v>1216</v>
      </c>
      <c r="AV62" s="229">
        <v>2.9319999999999999</v>
      </c>
      <c r="AW62" s="228">
        <v>880</v>
      </c>
      <c r="AX62" s="228">
        <v>312</v>
      </c>
      <c r="AY62" s="228">
        <v>568</v>
      </c>
      <c r="AZ62" s="229">
        <v>1.8192999999999999</v>
      </c>
      <c r="BA62" s="228">
        <v>734</v>
      </c>
      <c r="BB62" s="228">
        <v>87</v>
      </c>
      <c r="BC62" s="228">
        <v>647</v>
      </c>
      <c r="BD62" s="229">
        <v>7.4454000000000002</v>
      </c>
      <c r="BE62" s="228">
        <v>17</v>
      </c>
      <c r="BF62" s="228">
        <v>16</v>
      </c>
      <c r="BG62" s="228">
        <v>1</v>
      </c>
      <c r="BH62" s="229">
        <v>9.4200000000000006E-2</v>
      </c>
      <c r="BI62" s="230">
        <v>1832</v>
      </c>
      <c r="BJ62" s="230">
        <v>1652</v>
      </c>
      <c r="BK62" s="228">
        <v>179</v>
      </c>
      <c r="BL62" s="229">
        <v>0.1086</v>
      </c>
      <c r="BM62" s="230">
        <v>1218</v>
      </c>
      <c r="BN62" s="228">
        <v>900</v>
      </c>
      <c r="BO62" s="228">
        <v>318</v>
      </c>
      <c r="BP62" s="229">
        <v>0.35349999999999998</v>
      </c>
      <c r="BQ62" s="230">
        <v>4680</v>
      </c>
      <c r="BR62" s="230">
        <v>2967</v>
      </c>
      <c r="BS62" s="230">
        <v>1714</v>
      </c>
      <c r="BT62" s="229">
        <v>0.5776</v>
      </c>
      <c r="BU62" s="230">
        <v>515422</v>
      </c>
      <c r="BV62" s="230">
        <v>514857</v>
      </c>
      <c r="BW62" s="228">
        <v>565</v>
      </c>
      <c r="BX62" s="229">
        <v>1.1000000000000001E-3</v>
      </c>
      <c r="BY62" s="230">
        <v>2795</v>
      </c>
      <c r="BZ62" s="230">
        <v>2890</v>
      </c>
      <c r="CA62" s="228">
        <v>-95</v>
      </c>
      <c r="CB62" s="229">
        <v>-3.27E-2</v>
      </c>
      <c r="CC62" s="230">
        <v>1595</v>
      </c>
      <c r="CD62" s="230">
        <v>2303</v>
      </c>
      <c r="CE62" s="228">
        <v>-707</v>
      </c>
      <c r="CF62" s="229">
        <v>-0.30719999999999997</v>
      </c>
      <c r="CG62" s="228">
        <v>928</v>
      </c>
      <c r="CH62" s="228">
        <v>329</v>
      </c>
      <c r="CI62" s="228">
        <v>600</v>
      </c>
      <c r="CJ62" s="229">
        <v>1.8241000000000001</v>
      </c>
      <c r="CK62" s="228">
        <v>272</v>
      </c>
      <c r="CL62" s="228">
        <v>258</v>
      </c>
      <c r="CM62" s="228">
        <v>13</v>
      </c>
      <c r="CN62" s="229">
        <v>5.1299999999999998E-2</v>
      </c>
      <c r="CO62" s="230">
        <v>1437</v>
      </c>
      <c r="CP62" s="230">
        <v>1407</v>
      </c>
      <c r="CQ62" s="228">
        <v>30</v>
      </c>
      <c r="CR62" s="229">
        <v>2.1600000000000001E-2</v>
      </c>
      <c r="CS62" s="230">
        <v>1046</v>
      </c>
      <c r="CT62" s="230">
        <v>1067</v>
      </c>
      <c r="CU62" s="228">
        <v>-22</v>
      </c>
      <c r="CV62" s="229">
        <v>-2.0199999999999999E-2</v>
      </c>
      <c r="CW62" s="230">
        <v>5278</v>
      </c>
      <c r="CX62" s="230">
        <v>5364</v>
      </c>
      <c r="CY62" s="228">
        <v>-86</v>
      </c>
      <c r="CZ62" s="229">
        <v>-1.6E-2</v>
      </c>
      <c r="DA62" s="228">
        <v>33.409999999999997</v>
      </c>
      <c r="DB62" s="228">
        <v>30.13</v>
      </c>
      <c r="DC62" s="228">
        <v>3.28</v>
      </c>
      <c r="DD62" s="228">
        <v>3.28</v>
      </c>
      <c r="DE62" s="228">
        <v>33.64</v>
      </c>
      <c r="DF62" s="228">
        <v>33.619999999999997</v>
      </c>
      <c r="DG62" s="228">
        <v>-0.23</v>
      </c>
      <c r="DH62" s="228">
        <v>0.02</v>
      </c>
      <c r="DI62" s="228">
        <v>33.46</v>
      </c>
      <c r="DJ62" s="228">
        <v>28.85</v>
      </c>
      <c r="DK62" s="228">
        <v>4.6100000000000003</v>
      </c>
      <c r="DL62" s="228">
        <v>4.6100000000000003</v>
      </c>
      <c r="DM62" s="228">
        <v>33.36</v>
      </c>
      <c r="DN62" s="228">
        <v>32.47</v>
      </c>
      <c r="DO62" s="228">
        <v>0.89</v>
      </c>
      <c r="DP62" s="228">
        <v>0.89</v>
      </c>
      <c r="DQ62" s="228">
        <v>0.73</v>
      </c>
      <c r="DR62" s="228">
        <v>0.76</v>
      </c>
      <c r="DS62" s="228">
        <v>-0.03</v>
      </c>
      <c r="DT62" s="229">
        <v>-3.95E-2</v>
      </c>
      <c r="DU62" s="231">
        <v>8000</v>
      </c>
      <c r="DV62" s="231">
        <v>6500</v>
      </c>
      <c r="DW62" s="228">
        <v>0.66</v>
      </c>
      <c r="DX62" s="228">
        <v>0.54</v>
      </c>
      <c r="DY62" s="228">
        <v>0.12</v>
      </c>
      <c r="DZ62" s="229">
        <v>0.22220000000000001</v>
      </c>
      <c r="EA62" s="229">
        <v>0.42930000000000001</v>
      </c>
      <c r="EB62" s="230">
        <v>828500</v>
      </c>
      <c r="EC62" s="229">
        <v>5.7000000000000002E-3</v>
      </c>
      <c r="ED62" s="229">
        <v>0.42930000000000001</v>
      </c>
      <c r="EE62" s="228">
        <v>36.450000000000003</v>
      </c>
      <c r="EF62" s="229">
        <v>5.1000000000000004E-3</v>
      </c>
      <c r="EG62" s="230">
        <v>274354</v>
      </c>
      <c r="EH62" s="230">
        <v>282519</v>
      </c>
      <c r="EI62" s="229">
        <v>-2.8899999999999999E-2</v>
      </c>
      <c r="EJ62" s="229">
        <v>0.5323</v>
      </c>
      <c r="EK62" s="231">
        <v>1916.76</v>
      </c>
      <c r="EL62" s="231">
        <v>1216.68</v>
      </c>
      <c r="EM62" s="231">
        <v>1638.14</v>
      </c>
      <c r="EN62" s="228">
        <v>58.5</v>
      </c>
      <c r="EO62" s="231">
        <v>4771.58</v>
      </c>
      <c r="EP62" s="231">
        <v>3058.06</v>
      </c>
      <c r="EQ62" s="231">
        <v>1713.52</v>
      </c>
      <c r="ER62" s="229">
        <v>0.56030000000000002</v>
      </c>
      <c r="ES62" s="231">
        <v>1506.3</v>
      </c>
      <c r="ET62" s="231">
        <v>1024.5899999999999</v>
      </c>
      <c r="EU62" s="231">
        <v>2803.88</v>
      </c>
      <c r="EV62" s="231">
        <v>20960143</v>
      </c>
      <c r="EW62" s="231">
        <v>5334.76</v>
      </c>
      <c r="EX62" s="231">
        <v>5474.26</v>
      </c>
      <c r="EY62" s="228">
        <v>-139.5</v>
      </c>
      <c r="EZ62" s="229">
        <v>-2.5499999999999998E-2</v>
      </c>
      <c r="FA62" s="229">
        <v>0.35539999999999999</v>
      </c>
      <c r="FB62" s="227" t="s">
        <v>567</v>
      </c>
      <c r="FC62">
        <f t="shared" si="0"/>
        <v>1200</v>
      </c>
    </row>
    <row r="63" spans="1:159" ht="17.25" thickBot="1" x14ac:dyDescent="0.3">
      <c r="A63" s="226">
        <v>46135</v>
      </c>
      <c r="B63" s="227" t="s">
        <v>614</v>
      </c>
      <c r="C63" s="227" t="s">
        <v>665</v>
      </c>
      <c r="D63" s="228">
        <v>2425</v>
      </c>
      <c r="E63" s="228">
        <v>5</v>
      </c>
      <c r="F63" s="228">
        <v>259.55</v>
      </c>
      <c r="G63" s="228">
        <v>262.62</v>
      </c>
      <c r="H63" s="228">
        <v>-3.07</v>
      </c>
      <c r="I63" s="229">
        <v>-1.17E-2</v>
      </c>
      <c r="J63" s="228">
        <v>259.92</v>
      </c>
      <c r="K63" s="228">
        <v>262.99</v>
      </c>
      <c r="L63" s="228">
        <v>-3.07</v>
      </c>
      <c r="M63" s="229">
        <v>-1.17E-2</v>
      </c>
      <c r="N63" s="228">
        <v>259.55</v>
      </c>
      <c r="O63" s="228">
        <v>262.62</v>
      </c>
      <c r="P63" s="228">
        <v>-3.07</v>
      </c>
      <c r="Q63" s="229">
        <v>-1.17E-2</v>
      </c>
      <c r="R63" s="228">
        <v>261</v>
      </c>
      <c r="S63" s="228">
        <v>263.99</v>
      </c>
      <c r="T63" s="228">
        <v>-2.99</v>
      </c>
      <c r="U63" s="229">
        <v>-1.1299999999999999E-2</v>
      </c>
      <c r="V63" s="228">
        <v>262.68</v>
      </c>
      <c r="W63" s="228">
        <v>265.64</v>
      </c>
      <c r="X63" s="228">
        <v>-2.96</v>
      </c>
      <c r="Y63" s="229">
        <v>-1.11E-2</v>
      </c>
      <c r="Z63" s="228">
        <v>-0.37</v>
      </c>
      <c r="AA63" s="228">
        <v>-0.37</v>
      </c>
      <c r="AB63" s="228">
        <v>0</v>
      </c>
      <c r="AC63" s="229">
        <v>-1.4E-3</v>
      </c>
      <c r="AD63" s="228">
        <v>-0.37</v>
      </c>
      <c r="AE63" s="228">
        <v>-0.37</v>
      </c>
      <c r="AF63" s="228">
        <v>0</v>
      </c>
      <c r="AG63" s="229">
        <v>-1.4E-3</v>
      </c>
      <c r="AH63" s="228">
        <v>1.08</v>
      </c>
      <c r="AI63" s="228">
        <v>1</v>
      </c>
      <c r="AJ63" s="228">
        <v>0.08</v>
      </c>
      <c r="AK63" s="229">
        <v>4.1999999999999997E-3</v>
      </c>
      <c r="AL63" s="228">
        <v>2.76</v>
      </c>
      <c r="AM63" s="228">
        <v>2.65</v>
      </c>
      <c r="AN63" s="228">
        <v>0.11</v>
      </c>
      <c r="AO63" s="229">
        <v>1.06E-2</v>
      </c>
      <c r="AP63" s="228">
        <v>259.68</v>
      </c>
      <c r="AQ63" s="228">
        <v>261.29000000000002</v>
      </c>
      <c r="AR63" s="228">
        <v>0</v>
      </c>
      <c r="AS63" s="230">
        <v>2809</v>
      </c>
      <c r="AT63" s="230">
        <v>1448</v>
      </c>
      <c r="AU63" s="230">
        <v>1361</v>
      </c>
      <c r="AV63" s="229">
        <v>0.93979999999999997</v>
      </c>
      <c r="AW63" s="230">
        <v>1488</v>
      </c>
      <c r="AX63" s="230">
        <v>1004</v>
      </c>
      <c r="AY63" s="228">
        <v>484</v>
      </c>
      <c r="AZ63" s="229">
        <v>0.4819</v>
      </c>
      <c r="BA63" s="230">
        <v>1264</v>
      </c>
      <c r="BB63" s="228">
        <v>324</v>
      </c>
      <c r="BC63" s="228">
        <v>940</v>
      </c>
      <c r="BD63" s="229">
        <v>2.8995000000000002</v>
      </c>
      <c r="BE63" s="228">
        <v>57</v>
      </c>
      <c r="BF63" s="228">
        <v>120</v>
      </c>
      <c r="BG63" s="228">
        <v>-63</v>
      </c>
      <c r="BH63" s="229">
        <v>-0.52380000000000004</v>
      </c>
      <c r="BI63" s="230">
        <v>1998</v>
      </c>
      <c r="BJ63" s="230">
        <v>2489</v>
      </c>
      <c r="BK63" s="228">
        <v>-492</v>
      </c>
      <c r="BL63" s="229">
        <v>-0.19739999999999999</v>
      </c>
      <c r="BM63" s="230">
        <v>1416</v>
      </c>
      <c r="BN63" s="230">
        <v>1593</v>
      </c>
      <c r="BO63" s="228">
        <v>-177</v>
      </c>
      <c r="BP63" s="229">
        <v>-0.11119999999999999</v>
      </c>
      <c r="BQ63" s="230">
        <v>6223</v>
      </c>
      <c r="BR63" s="230">
        <v>5531</v>
      </c>
      <c r="BS63" s="228">
        <v>692</v>
      </c>
      <c r="BT63" s="229">
        <v>0.12520000000000001</v>
      </c>
      <c r="BU63" s="230">
        <v>35232641</v>
      </c>
      <c r="BV63" s="230">
        <v>47514342</v>
      </c>
      <c r="BW63" s="230">
        <v>-12281701</v>
      </c>
      <c r="BX63" s="229">
        <v>-0.25850000000000001</v>
      </c>
      <c r="BY63" s="230">
        <v>4802</v>
      </c>
      <c r="BZ63" s="230">
        <v>4827</v>
      </c>
      <c r="CA63" s="228">
        <v>-25</v>
      </c>
      <c r="CB63" s="229">
        <v>-5.1000000000000004E-3</v>
      </c>
      <c r="CC63" s="230">
        <v>2807</v>
      </c>
      <c r="CD63" s="230">
        <v>3950</v>
      </c>
      <c r="CE63" s="230">
        <v>-1143</v>
      </c>
      <c r="CF63" s="229">
        <v>-0.28939999999999999</v>
      </c>
      <c r="CG63" s="230">
        <v>1745</v>
      </c>
      <c r="CH63" s="228">
        <v>673</v>
      </c>
      <c r="CI63" s="230">
        <v>1072</v>
      </c>
      <c r="CJ63" s="229">
        <v>1.5933999999999999</v>
      </c>
      <c r="CK63" s="228">
        <v>251</v>
      </c>
      <c r="CL63" s="228">
        <v>204</v>
      </c>
      <c r="CM63" s="228">
        <v>47</v>
      </c>
      <c r="CN63" s="229">
        <v>0.22900000000000001</v>
      </c>
      <c r="CO63" s="230">
        <v>1578</v>
      </c>
      <c r="CP63" s="230">
        <v>1582</v>
      </c>
      <c r="CQ63" s="228">
        <v>-4</v>
      </c>
      <c r="CR63" s="229">
        <v>-2.3999999999999998E-3</v>
      </c>
      <c r="CS63" s="230">
        <v>1311</v>
      </c>
      <c r="CT63" s="230">
        <v>1317</v>
      </c>
      <c r="CU63" s="228">
        <v>-6</v>
      </c>
      <c r="CV63" s="229">
        <v>-4.4999999999999997E-3</v>
      </c>
      <c r="CW63" s="230">
        <v>7692</v>
      </c>
      <c r="CX63" s="230">
        <v>7726</v>
      </c>
      <c r="CY63" s="228">
        <v>-34</v>
      </c>
      <c r="CZ63" s="229">
        <v>-4.4999999999999997E-3</v>
      </c>
      <c r="DA63" s="228">
        <v>43.58</v>
      </c>
      <c r="DB63" s="228">
        <v>38.47</v>
      </c>
      <c r="DC63" s="228">
        <v>5.1100000000000003</v>
      </c>
      <c r="DD63" s="228">
        <v>5.1100000000000003</v>
      </c>
      <c r="DE63" s="228">
        <v>45.93</v>
      </c>
      <c r="DF63" s="228">
        <v>46.01</v>
      </c>
      <c r="DG63" s="228">
        <v>-2.35</v>
      </c>
      <c r="DH63" s="228">
        <v>-0.08</v>
      </c>
      <c r="DI63" s="228">
        <v>43.3</v>
      </c>
      <c r="DJ63" s="228">
        <v>35.54</v>
      </c>
      <c r="DK63" s="228">
        <v>7.76</v>
      </c>
      <c r="DL63" s="228">
        <v>7.76</v>
      </c>
      <c r="DM63" s="228">
        <v>43.86</v>
      </c>
      <c r="DN63" s="228">
        <v>43.04</v>
      </c>
      <c r="DO63" s="228">
        <v>0.82</v>
      </c>
      <c r="DP63" s="228">
        <v>0.82</v>
      </c>
      <c r="DQ63" s="228">
        <v>0.83</v>
      </c>
      <c r="DR63" s="228">
        <v>0.83</v>
      </c>
      <c r="DS63" s="228">
        <v>0</v>
      </c>
      <c r="DT63" s="229">
        <v>0</v>
      </c>
      <c r="DU63" s="228">
        <v>260</v>
      </c>
      <c r="DV63" s="228">
        <v>250</v>
      </c>
      <c r="DW63" s="228">
        <v>0.71</v>
      </c>
      <c r="DX63" s="228">
        <v>0.64</v>
      </c>
      <c r="DY63" s="228">
        <v>7.0000000000000007E-2</v>
      </c>
      <c r="DZ63" s="229">
        <v>0.1094</v>
      </c>
      <c r="EA63" s="229">
        <v>0.41549999999999998</v>
      </c>
      <c r="EB63" s="230">
        <v>33775400</v>
      </c>
      <c r="EC63" s="229">
        <v>5.5999999999999999E-3</v>
      </c>
      <c r="ED63" s="229">
        <v>0.41549999999999998</v>
      </c>
      <c r="EE63" s="228">
        <v>1.61</v>
      </c>
      <c r="EF63" s="229">
        <v>6.1999999999999998E-3</v>
      </c>
      <c r="EG63" s="230">
        <v>17889768</v>
      </c>
      <c r="EH63" s="230">
        <v>28022353</v>
      </c>
      <c r="EI63" s="229">
        <v>-0.36159999999999998</v>
      </c>
      <c r="EJ63" s="229">
        <v>0.50780000000000003</v>
      </c>
      <c r="EK63" s="231">
        <v>2069.38</v>
      </c>
      <c r="EL63" s="231">
        <v>1389.43</v>
      </c>
      <c r="EM63" s="231">
        <v>2819.16</v>
      </c>
      <c r="EN63" s="228">
        <v>160.75</v>
      </c>
      <c r="EO63" s="231">
        <v>6277.97</v>
      </c>
      <c r="EP63" s="231">
        <v>5585.35</v>
      </c>
      <c r="EQ63" s="228">
        <v>692.63</v>
      </c>
      <c r="ER63" s="229">
        <v>0.124</v>
      </c>
      <c r="ES63" s="231">
        <v>1571.09</v>
      </c>
      <c r="ET63" s="231">
        <v>1231.01</v>
      </c>
      <c r="EU63" s="231">
        <v>4814.84</v>
      </c>
      <c r="EV63" s="231">
        <v>1366821859</v>
      </c>
      <c r="EW63" s="231">
        <v>7616.94</v>
      </c>
      <c r="EX63" s="231">
        <v>7694.75</v>
      </c>
      <c r="EY63" s="228">
        <v>-77.81</v>
      </c>
      <c r="EZ63" s="229">
        <v>-1.01E-2</v>
      </c>
      <c r="FA63" s="229">
        <v>0.21679999999999999</v>
      </c>
      <c r="FB63" s="227" t="s">
        <v>567</v>
      </c>
      <c r="FC63">
        <f t="shared" si="0"/>
        <v>1995</v>
      </c>
    </row>
    <row r="64" spans="1:159" ht="17.25" thickBot="1" x14ac:dyDescent="0.3">
      <c r="A64" s="226">
        <v>46135</v>
      </c>
      <c r="B64" s="227" t="s">
        <v>162</v>
      </c>
      <c r="C64" s="227" t="s">
        <v>211</v>
      </c>
      <c r="D64" s="228">
        <v>1800</v>
      </c>
      <c r="E64" s="228">
        <v>5</v>
      </c>
      <c r="F64" s="228">
        <v>346.85</v>
      </c>
      <c r="G64" s="228">
        <v>354.4</v>
      </c>
      <c r="H64" s="228">
        <v>-7.55</v>
      </c>
      <c r="I64" s="229">
        <v>-2.1299999999999999E-2</v>
      </c>
      <c r="J64" s="228">
        <v>347.25</v>
      </c>
      <c r="K64" s="228">
        <v>354.55</v>
      </c>
      <c r="L64" s="228">
        <v>-7.3</v>
      </c>
      <c r="M64" s="229">
        <v>-2.06E-2</v>
      </c>
      <c r="N64" s="228">
        <v>346.85</v>
      </c>
      <c r="O64" s="228">
        <v>354.4</v>
      </c>
      <c r="P64" s="228">
        <v>-7.55</v>
      </c>
      <c r="Q64" s="229">
        <v>-2.1299999999999999E-2</v>
      </c>
      <c r="R64" s="228">
        <v>348.75</v>
      </c>
      <c r="S64" s="228">
        <v>356.4</v>
      </c>
      <c r="T64" s="228">
        <v>-7.65</v>
      </c>
      <c r="U64" s="229">
        <v>-2.1499999999999998E-2</v>
      </c>
      <c r="V64" s="228">
        <v>350.25</v>
      </c>
      <c r="W64" s="228">
        <v>358.5</v>
      </c>
      <c r="X64" s="228">
        <v>-8.25</v>
      </c>
      <c r="Y64" s="229">
        <v>-2.3E-2</v>
      </c>
      <c r="Z64" s="228">
        <v>-0.4</v>
      </c>
      <c r="AA64" s="228">
        <v>-0.15</v>
      </c>
      <c r="AB64" s="228">
        <v>-0.25</v>
      </c>
      <c r="AC64" s="229">
        <v>-1.1999999999999999E-3</v>
      </c>
      <c r="AD64" s="228">
        <v>-0.4</v>
      </c>
      <c r="AE64" s="228">
        <v>-0.15</v>
      </c>
      <c r="AF64" s="228">
        <v>-0.25</v>
      </c>
      <c r="AG64" s="229">
        <v>-1.1999999999999999E-3</v>
      </c>
      <c r="AH64" s="228">
        <v>1.5</v>
      </c>
      <c r="AI64" s="228">
        <v>1.85</v>
      </c>
      <c r="AJ64" s="228">
        <v>-0.35</v>
      </c>
      <c r="AK64" s="229">
        <v>4.3E-3</v>
      </c>
      <c r="AL64" s="228">
        <v>3</v>
      </c>
      <c r="AM64" s="228">
        <v>3.95</v>
      </c>
      <c r="AN64" s="228">
        <v>-0.95</v>
      </c>
      <c r="AO64" s="229">
        <v>8.6E-3</v>
      </c>
      <c r="AP64" s="228">
        <v>351.7</v>
      </c>
      <c r="AQ64" s="228">
        <v>353.41</v>
      </c>
      <c r="AR64" s="228">
        <v>0</v>
      </c>
      <c r="AS64" s="228">
        <v>590</v>
      </c>
      <c r="AT64" s="228">
        <v>683</v>
      </c>
      <c r="AU64" s="228">
        <v>-92</v>
      </c>
      <c r="AV64" s="229">
        <v>-0.1353</v>
      </c>
      <c r="AW64" s="228">
        <v>301</v>
      </c>
      <c r="AX64" s="228">
        <v>463</v>
      </c>
      <c r="AY64" s="228">
        <v>-162</v>
      </c>
      <c r="AZ64" s="229">
        <v>-0.34949999999999998</v>
      </c>
      <c r="BA64" s="228">
        <v>283</v>
      </c>
      <c r="BB64" s="228">
        <v>204</v>
      </c>
      <c r="BC64" s="228">
        <v>78</v>
      </c>
      <c r="BD64" s="229">
        <v>0.38340000000000002</v>
      </c>
      <c r="BE64" s="228">
        <v>6</v>
      </c>
      <c r="BF64" s="228">
        <v>15</v>
      </c>
      <c r="BG64" s="228">
        <v>-9</v>
      </c>
      <c r="BH64" s="229">
        <v>-0.58509999999999995</v>
      </c>
      <c r="BI64" s="230">
        <v>1439</v>
      </c>
      <c r="BJ64" s="230">
        <v>4136</v>
      </c>
      <c r="BK64" s="230">
        <v>-2698</v>
      </c>
      <c r="BL64" s="229">
        <v>-0.65210000000000001</v>
      </c>
      <c r="BM64" s="228">
        <v>548</v>
      </c>
      <c r="BN64" s="230">
        <v>1312</v>
      </c>
      <c r="BO64" s="228">
        <v>-764</v>
      </c>
      <c r="BP64" s="229">
        <v>-0.58209999999999995</v>
      </c>
      <c r="BQ64" s="230">
        <v>2578</v>
      </c>
      <c r="BR64" s="230">
        <v>6131</v>
      </c>
      <c r="BS64" s="230">
        <v>-3554</v>
      </c>
      <c r="BT64" s="229">
        <v>-0.5796</v>
      </c>
      <c r="BU64" s="230">
        <v>7052745</v>
      </c>
      <c r="BV64" s="230">
        <v>16562759</v>
      </c>
      <c r="BW64" s="230">
        <v>-9510014</v>
      </c>
      <c r="BX64" s="229">
        <v>-0.57420000000000004</v>
      </c>
      <c r="BY64" s="230">
        <v>1027</v>
      </c>
      <c r="BZ64" s="228">
        <v>997</v>
      </c>
      <c r="CA64" s="228">
        <v>30</v>
      </c>
      <c r="CB64" s="229">
        <v>2.9899999999999999E-2</v>
      </c>
      <c r="CC64" s="228">
        <v>505</v>
      </c>
      <c r="CD64" s="228">
        <v>671</v>
      </c>
      <c r="CE64" s="228">
        <v>-166</v>
      </c>
      <c r="CF64" s="229">
        <v>-0.2475</v>
      </c>
      <c r="CG64" s="228">
        <v>508</v>
      </c>
      <c r="CH64" s="228">
        <v>315</v>
      </c>
      <c r="CI64" s="228">
        <v>193</v>
      </c>
      <c r="CJ64" s="229">
        <v>0.61260000000000003</v>
      </c>
      <c r="CK64" s="228">
        <v>14</v>
      </c>
      <c r="CL64" s="228">
        <v>11</v>
      </c>
      <c r="CM64" s="228">
        <v>3</v>
      </c>
      <c r="CN64" s="229">
        <v>0.25990000000000002</v>
      </c>
      <c r="CO64" s="228">
        <v>678</v>
      </c>
      <c r="CP64" s="228">
        <v>590</v>
      </c>
      <c r="CQ64" s="228">
        <v>88</v>
      </c>
      <c r="CR64" s="229">
        <v>0.1497</v>
      </c>
      <c r="CS64" s="228">
        <v>589</v>
      </c>
      <c r="CT64" s="228">
        <v>558</v>
      </c>
      <c r="CU64" s="228">
        <v>31</v>
      </c>
      <c r="CV64" s="229">
        <v>5.5300000000000002E-2</v>
      </c>
      <c r="CW64" s="230">
        <v>2294</v>
      </c>
      <c r="CX64" s="230">
        <v>2145</v>
      </c>
      <c r="CY64" s="228">
        <v>149</v>
      </c>
      <c r="CZ64" s="229">
        <v>6.9500000000000006E-2</v>
      </c>
      <c r="DA64" s="228">
        <v>41.57</v>
      </c>
      <c r="DB64" s="228">
        <v>37.69</v>
      </c>
      <c r="DC64" s="228">
        <v>3.88</v>
      </c>
      <c r="DD64" s="228">
        <v>3.88</v>
      </c>
      <c r="DE64" s="228">
        <v>36.229999999999997</v>
      </c>
      <c r="DF64" s="228">
        <v>36.21</v>
      </c>
      <c r="DG64" s="228">
        <v>5.34</v>
      </c>
      <c r="DH64" s="228">
        <v>0.02</v>
      </c>
      <c r="DI64" s="228">
        <v>41.85</v>
      </c>
      <c r="DJ64" s="228">
        <v>37.31</v>
      </c>
      <c r="DK64" s="228">
        <v>4.54</v>
      </c>
      <c r="DL64" s="228">
        <v>4.54</v>
      </c>
      <c r="DM64" s="228">
        <v>40.83</v>
      </c>
      <c r="DN64" s="228">
        <v>38.869999999999997</v>
      </c>
      <c r="DO64" s="228">
        <v>1.96</v>
      </c>
      <c r="DP64" s="228">
        <v>1.96</v>
      </c>
      <c r="DQ64" s="228">
        <v>0.87</v>
      </c>
      <c r="DR64" s="228">
        <v>0.95</v>
      </c>
      <c r="DS64" s="228">
        <v>-0.08</v>
      </c>
      <c r="DT64" s="229">
        <v>-8.4199999999999997E-2</v>
      </c>
      <c r="DU64" s="228">
        <v>360</v>
      </c>
      <c r="DV64" s="228">
        <v>310</v>
      </c>
      <c r="DW64" s="228">
        <v>0.38</v>
      </c>
      <c r="DX64" s="228">
        <v>0.32</v>
      </c>
      <c r="DY64" s="228">
        <v>0.06</v>
      </c>
      <c r="DZ64" s="229">
        <v>0.1875</v>
      </c>
      <c r="EA64" s="229">
        <v>0.50839999999999996</v>
      </c>
      <c r="EB64" s="230">
        <v>9401400</v>
      </c>
      <c r="EC64" s="229">
        <v>5.4999999999999997E-3</v>
      </c>
      <c r="ED64" s="229">
        <v>0.50839999999999996</v>
      </c>
      <c r="EE64" s="228">
        <v>1.71</v>
      </c>
      <c r="EF64" s="229">
        <v>4.8999999999999998E-3</v>
      </c>
      <c r="EG64" s="230">
        <v>2092773</v>
      </c>
      <c r="EH64" s="230">
        <v>2534357</v>
      </c>
      <c r="EI64" s="229">
        <v>-0.17419999999999999</v>
      </c>
      <c r="EJ64" s="229">
        <v>0.29670000000000002</v>
      </c>
      <c r="EK64" s="231">
        <v>1524.25</v>
      </c>
      <c r="EL64" s="228">
        <v>549.79999999999995</v>
      </c>
      <c r="EM64" s="228">
        <v>599.97</v>
      </c>
      <c r="EN64" s="228">
        <v>48.47</v>
      </c>
      <c r="EO64" s="231">
        <v>2674.02</v>
      </c>
      <c r="EP64" s="231">
        <v>6312.67</v>
      </c>
      <c r="EQ64" s="231">
        <v>-3638.64</v>
      </c>
      <c r="ER64" s="229">
        <v>-0.57640000000000002</v>
      </c>
      <c r="ES64" s="228">
        <v>677.7</v>
      </c>
      <c r="ET64" s="228">
        <v>545.33000000000004</v>
      </c>
      <c r="EU64" s="231">
        <v>1029.57</v>
      </c>
      <c r="EV64" s="231">
        <v>50211048</v>
      </c>
      <c r="EW64" s="231">
        <v>2252.6</v>
      </c>
      <c r="EX64" s="231">
        <v>2116.42</v>
      </c>
      <c r="EY64" s="228">
        <v>136.18</v>
      </c>
      <c r="EZ64" s="229">
        <v>6.4299999999999996E-2</v>
      </c>
      <c r="FA64" s="229">
        <v>1.3170999999999999</v>
      </c>
      <c r="FB64" s="227" t="s">
        <v>566</v>
      </c>
      <c r="FC64">
        <f t="shared" si="0"/>
        <v>522</v>
      </c>
    </row>
    <row r="65" spans="1:159" ht="17.25" thickBot="1" x14ac:dyDescent="0.3">
      <c r="A65" s="226">
        <v>46135</v>
      </c>
      <c r="B65" s="227" t="s">
        <v>172</v>
      </c>
      <c r="C65" s="227" t="s">
        <v>212</v>
      </c>
      <c r="D65" s="228">
        <v>5000</v>
      </c>
      <c r="E65" s="228">
        <v>5</v>
      </c>
      <c r="F65" s="228">
        <v>295.60000000000002</v>
      </c>
      <c r="G65" s="228">
        <v>296.95</v>
      </c>
      <c r="H65" s="228">
        <v>-1.35</v>
      </c>
      <c r="I65" s="229">
        <v>-4.4999999999999997E-3</v>
      </c>
      <c r="J65" s="228">
        <v>295.39999999999998</v>
      </c>
      <c r="K65" s="228">
        <v>296.45</v>
      </c>
      <c r="L65" s="228">
        <v>-1.05</v>
      </c>
      <c r="M65" s="229">
        <v>-3.5000000000000001E-3</v>
      </c>
      <c r="N65" s="228">
        <v>295.60000000000002</v>
      </c>
      <c r="O65" s="228">
        <v>296.95</v>
      </c>
      <c r="P65" s="228">
        <v>-1.35</v>
      </c>
      <c r="Q65" s="229">
        <v>-4.4999999999999997E-3</v>
      </c>
      <c r="R65" s="228">
        <v>297.14999999999998</v>
      </c>
      <c r="S65" s="228">
        <v>298.55</v>
      </c>
      <c r="T65" s="228">
        <v>-1.4</v>
      </c>
      <c r="U65" s="229">
        <v>-4.7000000000000002E-3</v>
      </c>
      <c r="V65" s="228">
        <v>299</v>
      </c>
      <c r="W65" s="228">
        <v>300.25</v>
      </c>
      <c r="X65" s="228">
        <v>-1.25</v>
      </c>
      <c r="Y65" s="229">
        <v>-4.1999999999999997E-3</v>
      </c>
      <c r="Z65" s="228">
        <v>0.2</v>
      </c>
      <c r="AA65" s="228">
        <v>0.5</v>
      </c>
      <c r="AB65" s="228">
        <v>-0.3</v>
      </c>
      <c r="AC65" s="229">
        <v>6.9999999999999999E-4</v>
      </c>
      <c r="AD65" s="228">
        <v>0.2</v>
      </c>
      <c r="AE65" s="228">
        <v>0.5</v>
      </c>
      <c r="AF65" s="228">
        <v>-0.3</v>
      </c>
      <c r="AG65" s="229">
        <v>6.9999999999999999E-4</v>
      </c>
      <c r="AH65" s="228">
        <v>1.75</v>
      </c>
      <c r="AI65" s="228">
        <v>2.1</v>
      </c>
      <c r="AJ65" s="228">
        <v>-0.35</v>
      </c>
      <c r="AK65" s="229">
        <v>5.8999999999999999E-3</v>
      </c>
      <c r="AL65" s="228">
        <v>3.6</v>
      </c>
      <c r="AM65" s="228">
        <v>3.8</v>
      </c>
      <c r="AN65" s="228">
        <v>-0.2</v>
      </c>
      <c r="AO65" s="229">
        <v>1.2200000000000001E-2</v>
      </c>
      <c r="AP65" s="228">
        <v>295.25</v>
      </c>
      <c r="AQ65" s="228">
        <v>296.77</v>
      </c>
      <c r="AR65" s="228">
        <v>0</v>
      </c>
      <c r="AS65" s="230">
        <v>1051</v>
      </c>
      <c r="AT65" s="228">
        <v>523</v>
      </c>
      <c r="AU65" s="228">
        <v>528</v>
      </c>
      <c r="AV65" s="229">
        <v>1.0087999999999999</v>
      </c>
      <c r="AW65" s="228">
        <v>482</v>
      </c>
      <c r="AX65" s="228">
        <v>296</v>
      </c>
      <c r="AY65" s="228">
        <v>186</v>
      </c>
      <c r="AZ65" s="229">
        <v>0.62739999999999996</v>
      </c>
      <c r="BA65" s="228">
        <v>558</v>
      </c>
      <c r="BB65" s="228">
        <v>144</v>
      </c>
      <c r="BC65" s="228">
        <v>413</v>
      </c>
      <c r="BD65" s="229">
        <v>2.8658000000000001</v>
      </c>
      <c r="BE65" s="228">
        <v>12</v>
      </c>
      <c r="BF65" s="228">
        <v>83</v>
      </c>
      <c r="BG65" s="228">
        <v>-71</v>
      </c>
      <c r="BH65" s="229">
        <v>-0.85770000000000002</v>
      </c>
      <c r="BI65" s="230">
        <v>1125</v>
      </c>
      <c r="BJ65" s="230">
        <v>1119</v>
      </c>
      <c r="BK65" s="228">
        <v>6</v>
      </c>
      <c r="BL65" s="229">
        <v>5.7000000000000002E-3</v>
      </c>
      <c r="BM65" s="228">
        <v>680</v>
      </c>
      <c r="BN65" s="228">
        <v>757</v>
      </c>
      <c r="BO65" s="228">
        <v>-77</v>
      </c>
      <c r="BP65" s="229">
        <v>-0.1013</v>
      </c>
      <c r="BQ65" s="230">
        <v>2856</v>
      </c>
      <c r="BR65" s="230">
        <v>2399</v>
      </c>
      <c r="BS65" s="228">
        <v>457</v>
      </c>
      <c r="BT65" s="229">
        <v>0.19070000000000001</v>
      </c>
      <c r="BU65" s="230">
        <v>3805721</v>
      </c>
      <c r="BV65" s="230">
        <v>6610277</v>
      </c>
      <c r="BW65" s="230">
        <v>-2804556</v>
      </c>
      <c r="BX65" s="229">
        <v>-0.42430000000000001</v>
      </c>
      <c r="BY65" s="230">
        <v>2342</v>
      </c>
      <c r="BZ65" s="230">
        <v>2280</v>
      </c>
      <c r="CA65" s="228">
        <v>63</v>
      </c>
      <c r="CB65" s="229">
        <v>2.75E-2</v>
      </c>
      <c r="CC65" s="230">
        <v>1526</v>
      </c>
      <c r="CD65" s="230">
        <v>1878</v>
      </c>
      <c r="CE65" s="228">
        <v>-351</v>
      </c>
      <c r="CF65" s="229">
        <v>-0.18720000000000001</v>
      </c>
      <c r="CG65" s="228">
        <v>712</v>
      </c>
      <c r="CH65" s="228">
        <v>306</v>
      </c>
      <c r="CI65" s="228">
        <v>406</v>
      </c>
      <c r="CJ65" s="229">
        <v>1.3304</v>
      </c>
      <c r="CK65" s="228">
        <v>104</v>
      </c>
      <c r="CL65" s="228">
        <v>97</v>
      </c>
      <c r="CM65" s="228">
        <v>8</v>
      </c>
      <c r="CN65" s="229">
        <v>7.9600000000000004E-2</v>
      </c>
      <c r="CO65" s="230">
        <v>1127</v>
      </c>
      <c r="CP65" s="230">
        <v>1140</v>
      </c>
      <c r="CQ65" s="228">
        <v>-13</v>
      </c>
      <c r="CR65" s="229">
        <v>-1.1299999999999999E-2</v>
      </c>
      <c r="CS65" s="230">
        <v>1022</v>
      </c>
      <c r="CT65" s="230">
        <v>1040</v>
      </c>
      <c r="CU65" s="228">
        <v>-18</v>
      </c>
      <c r="CV65" s="229">
        <v>-1.6899999999999998E-2</v>
      </c>
      <c r="CW65" s="230">
        <v>4491</v>
      </c>
      <c r="CX65" s="230">
        <v>4459</v>
      </c>
      <c r="CY65" s="228">
        <v>32</v>
      </c>
      <c r="CZ65" s="229">
        <v>7.1999999999999998E-3</v>
      </c>
      <c r="DA65" s="228">
        <v>31.66</v>
      </c>
      <c r="DB65" s="228">
        <v>28.66</v>
      </c>
      <c r="DC65" s="228">
        <v>3</v>
      </c>
      <c r="DD65" s="228">
        <v>3</v>
      </c>
      <c r="DE65" s="228">
        <v>32.090000000000003</v>
      </c>
      <c r="DF65" s="228">
        <v>32.17</v>
      </c>
      <c r="DG65" s="228">
        <v>-0.43</v>
      </c>
      <c r="DH65" s="228">
        <v>-0.08</v>
      </c>
      <c r="DI65" s="228">
        <v>31.08</v>
      </c>
      <c r="DJ65" s="228">
        <v>26.92</v>
      </c>
      <c r="DK65" s="228">
        <v>4.16</v>
      </c>
      <c r="DL65" s="228">
        <v>4.16</v>
      </c>
      <c r="DM65" s="228">
        <v>32.46</v>
      </c>
      <c r="DN65" s="228">
        <v>31.23</v>
      </c>
      <c r="DO65" s="228">
        <v>1.23</v>
      </c>
      <c r="DP65" s="228">
        <v>1.23</v>
      </c>
      <c r="DQ65" s="228">
        <v>0.91</v>
      </c>
      <c r="DR65" s="228">
        <v>0.91</v>
      </c>
      <c r="DS65" s="228">
        <v>0</v>
      </c>
      <c r="DT65" s="229">
        <v>0</v>
      </c>
      <c r="DU65" s="228">
        <v>300</v>
      </c>
      <c r="DV65" s="228">
        <v>280</v>
      </c>
      <c r="DW65" s="228">
        <v>0.6</v>
      </c>
      <c r="DX65" s="228">
        <v>0.68</v>
      </c>
      <c r="DY65" s="228">
        <v>-0.08</v>
      </c>
      <c r="DZ65" s="229">
        <v>-0.1176</v>
      </c>
      <c r="EA65" s="229">
        <v>0.34839999999999999</v>
      </c>
      <c r="EB65" s="230">
        <v>13600000</v>
      </c>
      <c r="EC65" s="229">
        <v>5.1999999999999998E-3</v>
      </c>
      <c r="ED65" s="229">
        <v>0.34839999999999999</v>
      </c>
      <c r="EE65" s="228">
        <v>1.52</v>
      </c>
      <c r="EF65" s="229">
        <v>5.1000000000000004E-3</v>
      </c>
      <c r="EG65" s="230">
        <v>2120861</v>
      </c>
      <c r="EH65" s="230">
        <v>3602851</v>
      </c>
      <c r="EI65" s="229">
        <v>-0.4113</v>
      </c>
      <c r="EJ65" s="229">
        <v>0.55730000000000002</v>
      </c>
      <c r="EK65" s="231">
        <v>1157.1600000000001</v>
      </c>
      <c r="EL65" s="228">
        <v>662.93</v>
      </c>
      <c r="EM65" s="231">
        <v>1052.76</v>
      </c>
      <c r="EN65" s="228">
        <v>35.049999999999997</v>
      </c>
      <c r="EO65" s="231">
        <v>2872.85</v>
      </c>
      <c r="EP65" s="231">
        <v>2425.27</v>
      </c>
      <c r="EQ65" s="228">
        <v>447.58</v>
      </c>
      <c r="ER65" s="229">
        <v>0.1845</v>
      </c>
      <c r="ES65" s="231">
        <v>1129</v>
      </c>
      <c r="ET65" s="228">
        <v>949.1</v>
      </c>
      <c r="EU65" s="231">
        <v>2347.27</v>
      </c>
      <c r="EV65" s="231">
        <v>359450597</v>
      </c>
      <c r="EW65" s="231">
        <v>4425.3599999999997</v>
      </c>
      <c r="EX65" s="231">
        <v>4400.6099999999997</v>
      </c>
      <c r="EY65" s="228">
        <v>24.75</v>
      </c>
      <c r="EZ65" s="229">
        <v>5.5999999999999999E-3</v>
      </c>
      <c r="FA65" s="229">
        <v>0.42270000000000002</v>
      </c>
      <c r="FB65" s="227" t="s">
        <v>566</v>
      </c>
      <c r="FC65">
        <f t="shared" si="0"/>
        <v>816</v>
      </c>
    </row>
    <row r="66" spans="1:159" ht="17.25" thickBot="1" x14ac:dyDescent="0.3">
      <c r="A66" s="226">
        <v>46135</v>
      </c>
      <c r="B66" s="227" t="s">
        <v>181</v>
      </c>
      <c r="C66" s="227" t="s">
        <v>480</v>
      </c>
      <c r="D66" s="228">
        <v>60</v>
      </c>
      <c r="E66" s="228">
        <v>5</v>
      </c>
      <c r="F66" s="231">
        <v>26273.9</v>
      </c>
      <c r="G66" s="231">
        <v>26644.9</v>
      </c>
      <c r="H66" s="228">
        <v>-371</v>
      </c>
      <c r="I66" s="229">
        <v>-1.3899999999999999E-2</v>
      </c>
      <c r="J66" s="231">
        <v>26247.200000000001</v>
      </c>
      <c r="K66" s="231">
        <v>26625.25</v>
      </c>
      <c r="L66" s="228">
        <v>-378.05</v>
      </c>
      <c r="M66" s="229">
        <v>-1.4200000000000001E-2</v>
      </c>
      <c r="N66" s="231">
        <v>26273.9</v>
      </c>
      <c r="O66" s="231">
        <v>26644.9</v>
      </c>
      <c r="P66" s="228">
        <v>-371</v>
      </c>
      <c r="Q66" s="229">
        <v>-1.3899999999999999E-2</v>
      </c>
      <c r="R66" s="231">
        <v>26456.799999999999</v>
      </c>
      <c r="S66" s="231">
        <v>26850.2</v>
      </c>
      <c r="T66" s="228">
        <v>-393.4</v>
      </c>
      <c r="U66" s="229">
        <v>-1.47E-2</v>
      </c>
      <c r="V66" s="228">
        <v>0</v>
      </c>
      <c r="W66" s="228">
        <v>0</v>
      </c>
      <c r="X66" s="228">
        <v>0</v>
      </c>
      <c r="Y66" s="229">
        <v>0</v>
      </c>
      <c r="Z66" s="228">
        <v>26.7</v>
      </c>
      <c r="AA66" s="228">
        <v>19.649999999999999</v>
      </c>
      <c r="AB66" s="228">
        <v>7.05</v>
      </c>
      <c r="AC66" s="229">
        <v>1E-3</v>
      </c>
      <c r="AD66" s="228">
        <v>26.7</v>
      </c>
      <c r="AE66" s="228">
        <v>19.649999999999999</v>
      </c>
      <c r="AF66" s="228">
        <v>7.05</v>
      </c>
      <c r="AG66" s="229">
        <v>1E-3</v>
      </c>
      <c r="AH66" s="228">
        <v>209.6</v>
      </c>
      <c r="AI66" s="228">
        <v>224.95</v>
      </c>
      <c r="AJ66" s="228">
        <v>-15.35</v>
      </c>
      <c r="AK66" s="229">
        <v>8.0000000000000002E-3</v>
      </c>
      <c r="AL66" s="228">
        <v>0</v>
      </c>
      <c r="AM66" s="228">
        <v>0</v>
      </c>
      <c r="AN66" s="228">
        <v>0</v>
      </c>
      <c r="AO66" s="229">
        <v>0</v>
      </c>
      <c r="AP66" s="231">
        <v>26347.7</v>
      </c>
      <c r="AQ66" s="231">
        <v>26542.35</v>
      </c>
      <c r="AR66" s="228">
        <v>0</v>
      </c>
      <c r="AS66" s="228">
        <v>43</v>
      </c>
      <c r="AT66" s="228">
        <v>38</v>
      </c>
      <c r="AU66" s="228">
        <v>6</v>
      </c>
      <c r="AV66" s="229">
        <v>0.14710000000000001</v>
      </c>
      <c r="AW66" s="228">
        <v>30</v>
      </c>
      <c r="AX66" s="228">
        <v>30</v>
      </c>
      <c r="AY66" s="228">
        <v>-1</v>
      </c>
      <c r="AZ66" s="229">
        <v>-2.0799999999999999E-2</v>
      </c>
      <c r="BA66" s="228">
        <v>13</v>
      </c>
      <c r="BB66" s="228">
        <v>7</v>
      </c>
      <c r="BC66" s="228">
        <v>6</v>
      </c>
      <c r="BD66" s="229">
        <v>0.8478</v>
      </c>
      <c r="BE66" s="228">
        <v>0</v>
      </c>
      <c r="BF66" s="228">
        <v>0</v>
      </c>
      <c r="BG66" s="228">
        <v>0</v>
      </c>
      <c r="BH66" s="229">
        <v>0</v>
      </c>
      <c r="BI66" s="230">
        <v>4876</v>
      </c>
      <c r="BJ66" s="230">
        <v>3584</v>
      </c>
      <c r="BK66" s="230">
        <v>1292</v>
      </c>
      <c r="BL66" s="229">
        <v>0.3604</v>
      </c>
      <c r="BM66" s="230">
        <v>3780</v>
      </c>
      <c r="BN66" s="230">
        <v>2945</v>
      </c>
      <c r="BO66" s="228">
        <v>835</v>
      </c>
      <c r="BP66" s="229">
        <v>0.28360000000000002</v>
      </c>
      <c r="BQ66" s="230">
        <v>8698</v>
      </c>
      <c r="BR66" s="230">
        <v>6566</v>
      </c>
      <c r="BS66" s="230">
        <v>2132</v>
      </c>
      <c r="BT66" s="229">
        <v>0.32469999999999999</v>
      </c>
      <c r="BU66" s="228">
        <v>0</v>
      </c>
      <c r="BV66" s="228">
        <v>0</v>
      </c>
      <c r="BW66" s="228">
        <v>0</v>
      </c>
      <c r="BX66" s="229">
        <v>0</v>
      </c>
      <c r="BY66" s="228">
        <v>73</v>
      </c>
      <c r="BZ66" s="228">
        <v>67</v>
      </c>
      <c r="CA66" s="228">
        <v>6</v>
      </c>
      <c r="CB66" s="229">
        <v>8.4900000000000003E-2</v>
      </c>
      <c r="CC66" s="228">
        <v>57</v>
      </c>
      <c r="CD66" s="228">
        <v>56</v>
      </c>
      <c r="CE66" s="228">
        <v>1</v>
      </c>
      <c r="CF66" s="229">
        <v>1.6899999999999998E-2</v>
      </c>
      <c r="CG66" s="228">
        <v>15</v>
      </c>
      <c r="CH66" s="228">
        <v>11</v>
      </c>
      <c r="CI66" s="228">
        <v>5</v>
      </c>
      <c r="CJ66" s="229">
        <v>0.44119999999999998</v>
      </c>
      <c r="CK66" s="228">
        <v>0</v>
      </c>
      <c r="CL66" s="228">
        <v>0</v>
      </c>
      <c r="CM66" s="228">
        <v>0</v>
      </c>
      <c r="CN66" s="229">
        <v>0</v>
      </c>
      <c r="CO66" s="230">
        <v>1577</v>
      </c>
      <c r="CP66" s="230">
        <v>1365</v>
      </c>
      <c r="CQ66" s="228">
        <v>212</v>
      </c>
      <c r="CR66" s="229">
        <v>0.15559999999999999</v>
      </c>
      <c r="CS66" s="230">
        <v>1409</v>
      </c>
      <c r="CT66" s="230">
        <v>1298</v>
      </c>
      <c r="CU66" s="228">
        <v>111</v>
      </c>
      <c r="CV66" s="229">
        <v>8.5699999999999998E-2</v>
      </c>
      <c r="CW66" s="230">
        <v>3059</v>
      </c>
      <c r="CX66" s="230">
        <v>2729</v>
      </c>
      <c r="CY66" s="228">
        <v>329</v>
      </c>
      <c r="CZ66" s="229">
        <v>0.1206</v>
      </c>
      <c r="DA66" s="228">
        <v>17.86</v>
      </c>
      <c r="DB66" s="228">
        <v>23.32</v>
      </c>
      <c r="DC66" s="228">
        <v>-5.46</v>
      </c>
      <c r="DD66" s="228">
        <v>-5.46</v>
      </c>
      <c r="DE66" s="228">
        <v>21.72</v>
      </c>
      <c r="DF66" s="228">
        <v>21.69</v>
      </c>
      <c r="DG66" s="228">
        <v>-3.86</v>
      </c>
      <c r="DH66" s="228">
        <v>0.03</v>
      </c>
      <c r="DI66" s="228">
        <v>17.86</v>
      </c>
      <c r="DJ66" s="228">
        <v>22.25</v>
      </c>
      <c r="DK66" s="228">
        <v>-4.3899999999999997</v>
      </c>
      <c r="DL66" s="228">
        <v>-4.3899999999999997</v>
      </c>
      <c r="DM66" s="228">
        <v>17.86</v>
      </c>
      <c r="DN66" s="228">
        <v>24.61</v>
      </c>
      <c r="DO66" s="228">
        <v>-6.75</v>
      </c>
      <c r="DP66" s="228">
        <v>-6.75</v>
      </c>
      <c r="DQ66" s="228">
        <v>0.89</v>
      </c>
      <c r="DR66" s="228">
        <v>0.95</v>
      </c>
      <c r="DS66" s="228">
        <v>-0.06</v>
      </c>
      <c r="DT66" s="229">
        <v>-6.3200000000000006E-2</v>
      </c>
      <c r="DU66" s="231">
        <v>26500</v>
      </c>
      <c r="DV66" s="231">
        <v>24000</v>
      </c>
      <c r="DW66" s="228">
        <v>0.78</v>
      </c>
      <c r="DX66" s="228">
        <v>0.82</v>
      </c>
      <c r="DY66" s="228">
        <v>-0.04</v>
      </c>
      <c r="DZ66" s="229">
        <v>-4.8800000000000003E-2</v>
      </c>
      <c r="EA66" s="229">
        <v>0.21299999999999999</v>
      </c>
      <c r="EB66" s="230">
        <v>4080</v>
      </c>
      <c r="EC66" s="229">
        <v>7.0000000000000001E-3</v>
      </c>
      <c r="ED66" s="229">
        <v>0.21299999999999999</v>
      </c>
      <c r="EE66" s="228">
        <v>194.65</v>
      </c>
      <c r="EF66" s="229">
        <v>7.4000000000000003E-3</v>
      </c>
      <c r="EG66" s="228">
        <v>0</v>
      </c>
      <c r="EH66" s="228">
        <v>0</v>
      </c>
      <c r="EI66" s="229">
        <v>0</v>
      </c>
      <c r="EJ66" s="229">
        <v>0</v>
      </c>
      <c r="EK66" s="231">
        <v>5088.58</v>
      </c>
      <c r="EL66" s="231">
        <v>3686.06</v>
      </c>
      <c r="EM66" s="228">
        <v>43.26</v>
      </c>
      <c r="EN66" s="228">
        <v>0</v>
      </c>
      <c r="EO66" s="231">
        <v>8817.9</v>
      </c>
      <c r="EP66" s="231">
        <v>6719.64</v>
      </c>
      <c r="EQ66" s="231">
        <v>2098.2600000000002</v>
      </c>
      <c r="ER66" s="229">
        <v>0.31230000000000002</v>
      </c>
      <c r="ES66" s="231">
        <v>1642.87</v>
      </c>
      <c r="ET66" s="231">
        <v>1345.4</v>
      </c>
      <c r="EU66" s="228">
        <v>72.62</v>
      </c>
      <c r="EV66" s="228">
        <v>0</v>
      </c>
      <c r="EW66" s="231">
        <v>3060.9</v>
      </c>
      <c r="EX66" s="231">
        <v>2735.68</v>
      </c>
      <c r="EY66" s="228">
        <v>325.22000000000003</v>
      </c>
      <c r="EZ66" s="229">
        <v>0.11890000000000001</v>
      </c>
      <c r="FA66" s="229">
        <v>0</v>
      </c>
      <c r="FB66" s="227" t="s">
        <v>566</v>
      </c>
      <c r="FC66">
        <f t="shared" si="0"/>
        <v>16</v>
      </c>
    </row>
    <row r="67" spans="1:159" ht="17.25" thickBot="1" x14ac:dyDescent="0.3">
      <c r="A67" s="226">
        <v>46135</v>
      </c>
      <c r="B67" s="227" t="s">
        <v>162</v>
      </c>
      <c r="C67" s="227" t="s">
        <v>700</v>
      </c>
      <c r="D67" s="228">
        <v>25</v>
      </c>
      <c r="E67" s="228">
        <v>5</v>
      </c>
      <c r="F67" s="231">
        <v>20663</v>
      </c>
      <c r="G67" s="231">
        <v>21720</v>
      </c>
      <c r="H67" s="231">
        <v>-1057</v>
      </c>
      <c r="I67" s="229">
        <v>-4.87E-2</v>
      </c>
      <c r="J67" s="231">
        <v>20750</v>
      </c>
      <c r="K67" s="231">
        <v>21770</v>
      </c>
      <c r="L67" s="231">
        <v>-1020</v>
      </c>
      <c r="M67" s="229">
        <v>-4.6899999999999997E-2</v>
      </c>
      <c r="N67" s="231">
        <v>20663</v>
      </c>
      <c r="O67" s="231">
        <v>21720</v>
      </c>
      <c r="P67" s="231">
        <v>-1057</v>
      </c>
      <c r="Q67" s="229">
        <v>-4.87E-2</v>
      </c>
      <c r="R67" s="231">
        <v>20472</v>
      </c>
      <c r="S67" s="231">
        <v>21624</v>
      </c>
      <c r="T67" s="231">
        <v>-1152</v>
      </c>
      <c r="U67" s="229">
        <v>-5.33E-2</v>
      </c>
      <c r="V67" s="231">
        <v>20436</v>
      </c>
      <c r="W67" s="231">
        <v>21654</v>
      </c>
      <c r="X67" s="231">
        <v>-1218</v>
      </c>
      <c r="Y67" s="229">
        <v>-5.62E-2</v>
      </c>
      <c r="Z67" s="228">
        <v>-87</v>
      </c>
      <c r="AA67" s="228">
        <v>-50</v>
      </c>
      <c r="AB67" s="228">
        <v>-37</v>
      </c>
      <c r="AC67" s="229">
        <v>-4.1999999999999997E-3</v>
      </c>
      <c r="AD67" s="228">
        <v>-87</v>
      </c>
      <c r="AE67" s="228">
        <v>-50</v>
      </c>
      <c r="AF67" s="228">
        <v>-37</v>
      </c>
      <c r="AG67" s="229">
        <v>-4.1999999999999997E-3</v>
      </c>
      <c r="AH67" s="228">
        <v>-278</v>
      </c>
      <c r="AI67" s="228">
        <v>-146</v>
      </c>
      <c r="AJ67" s="228">
        <v>-132</v>
      </c>
      <c r="AK67" s="229">
        <v>-1.34E-2</v>
      </c>
      <c r="AL67" s="228">
        <v>-314</v>
      </c>
      <c r="AM67" s="228">
        <v>-116</v>
      </c>
      <c r="AN67" s="228">
        <v>-198</v>
      </c>
      <c r="AO67" s="229">
        <v>-1.5100000000000001E-2</v>
      </c>
      <c r="AP67" s="231">
        <v>20889.02</v>
      </c>
      <c r="AQ67" s="231">
        <v>20678.39</v>
      </c>
      <c r="AR67" s="228">
        <v>0</v>
      </c>
      <c r="AS67" s="228">
        <v>334</v>
      </c>
      <c r="AT67" s="228">
        <v>108</v>
      </c>
      <c r="AU67" s="228">
        <v>226</v>
      </c>
      <c r="AV67" s="229">
        <v>2.0874000000000001</v>
      </c>
      <c r="AW67" s="228">
        <v>154</v>
      </c>
      <c r="AX67" s="228">
        <v>60</v>
      </c>
      <c r="AY67" s="228">
        <v>94</v>
      </c>
      <c r="AZ67" s="229">
        <v>1.5767</v>
      </c>
      <c r="BA67" s="228">
        <v>177</v>
      </c>
      <c r="BB67" s="228">
        <v>48</v>
      </c>
      <c r="BC67" s="228">
        <v>130</v>
      </c>
      <c r="BD67" s="229">
        <v>2.7275</v>
      </c>
      <c r="BE67" s="228">
        <v>2</v>
      </c>
      <c r="BF67" s="228">
        <v>1</v>
      </c>
      <c r="BG67" s="228">
        <v>2</v>
      </c>
      <c r="BH67" s="229">
        <v>2.3077000000000001</v>
      </c>
      <c r="BI67" s="228">
        <v>389</v>
      </c>
      <c r="BJ67" s="228">
        <v>141</v>
      </c>
      <c r="BK67" s="228">
        <v>248</v>
      </c>
      <c r="BL67" s="229">
        <v>1.7525999999999999</v>
      </c>
      <c r="BM67" s="228">
        <v>192</v>
      </c>
      <c r="BN67" s="228">
        <v>111</v>
      </c>
      <c r="BO67" s="228">
        <v>80</v>
      </c>
      <c r="BP67" s="229">
        <v>0.7238</v>
      </c>
      <c r="BQ67" s="228">
        <v>915</v>
      </c>
      <c r="BR67" s="228">
        <v>361</v>
      </c>
      <c r="BS67" s="228">
        <v>554</v>
      </c>
      <c r="BT67" s="229">
        <v>1.5361</v>
      </c>
      <c r="BU67" s="230">
        <v>171097</v>
      </c>
      <c r="BV67" s="230">
        <v>65163</v>
      </c>
      <c r="BW67" s="230">
        <v>105934</v>
      </c>
      <c r="BX67" s="229">
        <v>1.6256999999999999</v>
      </c>
      <c r="BY67" s="228">
        <v>381</v>
      </c>
      <c r="BZ67" s="228">
        <v>340</v>
      </c>
      <c r="CA67" s="228">
        <v>41</v>
      </c>
      <c r="CB67" s="229">
        <v>0.11990000000000001</v>
      </c>
      <c r="CC67" s="228">
        <v>176</v>
      </c>
      <c r="CD67" s="228">
        <v>222</v>
      </c>
      <c r="CE67" s="228">
        <v>-47</v>
      </c>
      <c r="CF67" s="229">
        <v>-0.2107</v>
      </c>
      <c r="CG67" s="228">
        <v>200</v>
      </c>
      <c r="CH67" s="228">
        <v>114</v>
      </c>
      <c r="CI67" s="228">
        <v>86</v>
      </c>
      <c r="CJ67" s="229">
        <v>0.75419999999999998</v>
      </c>
      <c r="CK67" s="228">
        <v>5</v>
      </c>
      <c r="CL67" s="228">
        <v>4</v>
      </c>
      <c r="CM67" s="228">
        <v>2</v>
      </c>
      <c r="CN67" s="229">
        <v>0.44119999999999998</v>
      </c>
      <c r="CO67" s="228">
        <v>204</v>
      </c>
      <c r="CP67" s="228">
        <v>168</v>
      </c>
      <c r="CQ67" s="228">
        <v>36</v>
      </c>
      <c r="CR67" s="229">
        <v>0.21160000000000001</v>
      </c>
      <c r="CS67" s="228">
        <v>63</v>
      </c>
      <c r="CT67" s="228">
        <v>60</v>
      </c>
      <c r="CU67" s="228">
        <v>3</v>
      </c>
      <c r="CV67" s="229">
        <v>4.9099999999999998E-2</v>
      </c>
      <c r="CW67" s="228">
        <v>647</v>
      </c>
      <c r="CX67" s="228">
        <v>568</v>
      </c>
      <c r="CY67" s="228">
        <v>79</v>
      </c>
      <c r="CZ67" s="229">
        <v>0.13950000000000001</v>
      </c>
      <c r="DA67" s="228">
        <v>64.61</v>
      </c>
      <c r="DB67" s="228">
        <v>71.58</v>
      </c>
      <c r="DC67" s="228">
        <v>-6.97</v>
      </c>
      <c r="DD67" s="228">
        <v>-6.97</v>
      </c>
      <c r="DE67" s="228">
        <v>65.52</v>
      </c>
      <c r="DF67" s="228">
        <v>65.34</v>
      </c>
      <c r="DG67" s="228">
        <v>-0.91</v>
      </c>
      <c r="DH67" s="228">
        <v>0.18</v>
      </c>
      <c r="DI67" s="228">
        <v>64.599999999999994</v>
      </c>
      <c r="DJ67" s="228">
        <v>62.51</v>
      </c>
      <c r="DK67" s="228">
        <v>2.09</v>
      </c>
      <c r="DL67" s="228">
        <v>2.09</v>
      </c>
      <c r="DM67" s="228">
        <v>64.650000000000006</v>
      </c>
      <c r="DN67" s="228">
        <v>83.11</v>
      </c>
      <c r="DO67" s="228">
        <v>-18.46</v>
      </c>
      <c r="DP67" s="228">
        <v>-18.46</v>
      </c>
      <c r="DQ67" s="228">
        <v>0.31</v>
      </c>
      <c r="DR67" s="228">
        <v>0.36</v>
      </c>
      <c r="DS67" s="228">
        <v>-0.05</v>
      </c>
      <c r="DT67" s="229">
        <v>-0.1389</v>
      </c>
      <c r="DU67" s="231">
        <v>25000</v>
      </c>
      <c r="DV67" s="231">
        <v>20000</v>
      </c>
      <c r="DW67" s="228">
        <v>0.49</v>
      </c>
      <c r="DX67" s="228">
        <v>0.79</v>
      </c>
      <c r="DY67" s="228">
        <v>-0.3</v>
      </c>
      <c r="DZ67" s="229">
        <v>-0.37969999999999998</v>
      </c>
      <c r="EA67" s="229">
        <v>0.53900000000000003</v>
      </c>
      <c r="EB67" s="230">
        <v>56925</v>
      </c>
      <c r="EC67" s="229">
        <v>-9.1999999999999998E-3</v>
      </c>
      <c r="ED67" s="229">
        <v>0.53900000000000003</v>
      </c>
      <c r="EE67" s="228">
        <v>-210.63</v>
      </c>
      <c r="EF67" s="229">
        <v>-1.01E-2</v>
      </c>
      <c r="EG67" s="230">
        <v>60329</v>
      </c>
      <c r="EH67" s="230">
        <v>14244</v>
      </c>
      <c r="EI67" s="229">
        <v>3.2353999999999998</v>
      </c>
      <c r="EJ67" s="229">
        <v>0.35260000000000002</v>
      </c>
      <c r="EK67" s="228">
        <v>438.34</v>
      </c>
      <c r="EL67" s="228">
        <v>189.03</v>
      </c>
      <c r="EM67" s="228">
        <v>335.78</v>
      </c>
      <c r="EN67" s="228">
        <v>15.34</v>
      </c>
      <c r="EO67" s="228">
        <v>963.15</v>
      </c>
      <c r="EP67" s="228">
        <v>374.94</v>
      </c>
      <c r="EQ67" s="228">
        <v>588.21</v>
      </c>
      <c r="ER67" s="229">
        <v>1.5688</v>
      </c>
      <c r="ES67" s="228">
        <v>230.63</v>
      </c>
      <c r="ET67" s="228">
        <v>61.49</v>
      </c>
      <c r="EU67" s="228">
        <v>378.86</v>
      </c>
      <c r="EV67" s="231">
        <v>736885</v>
      </c>
      <c r="EW67" s="228">
        <v>670.98</v>
      </c>
      <c r="EX67" s="228">
        <v>607.77</v>
      </c>
      <c r="EY67" s="228">
        <v>63.21</v>
      </c>
      <c r="EZ67" s="229">
        <v>0.104</v>
      </c>
      <c r="FA67" s="229">
        <v>0.42509999999999998</v>
      </c>
      <c r="FB67" s="227" t="s">
        <v>566</v>
      </c>
      <c r="FC67">
        <f t="shared" ref="FC67:FC130" si="1">BY67-CC67</f>
        <v>205</v>
      </c>
    </row>
    <row r="68" spans="1:159" ht="17.25" thickBot="1" x14ac:dyDescent="0.3">
      <c r="A68" s="226">
        <v>46135</v>
      </c>
      <c r="B68" s="227" t="s">
        <v>170</v>
      </c>
      <c r="C68" s="227" t="s">
        <v>675</v>
      </c>
      <c r="D68" s="228">
        <v>775</v>
      </c>
      <c r="E68" s="228">
        <v>5</v>
      </c>
      <c r="F68" s="228">
        <v>925.45</v>
      </c>
      <c r="G68" s="228">
        <v>923.7</v>
      </c>
      <c r="H68" s="228">
        <v>1.75</v>
      </c>
      <c r="I68" s="229">
        <v>1.9E-3</v>
      </c>
      <c r="J68" s="228">
        <v>926.75</v>
      </c>
      <c r="K68" s="228">
        <v>923.1</v>
      </c>
      <c r="L68" s="228">
        <v>3.65</v>
      </c>
      <c r="M68" s="229">
        <v>4.0000000000000001E-3</v>
      </c>
      <c r="N68" s="228">
        <v>925.45</v>
      </c>
      <c r="O68" s="228">
        <v>923.7</v>
      </c>
      <c r="P68" s="228">
        <v>1.75</v>
      </c>
      <c r="Q68" s="229">
        <v>1.9E-3</v>
      </c>
      <c r="R68" s="228">
        <v>929.9</v>
      </c>
      <c r="S68" s="228">
        <v>928.5</v>
      </c>
      <c r="T68" s="228">
        <v>1.4</v>
      </c>
      <c r="U68" s="229">
        <v>1.5E-3</v>
      </c>
      <c r="V68" s="228">
        <v>935</v>
      </c>
      <c r="W68" s="228">
        <v>939.55</v>
      </c>
      <c r="X68" s="228">
        <v>-4.55</v>
      </c>
      <c r="Y68" s="229">
        <v>-4.7999999999999996E-3</v>
      </c>
      <c r="Z68" s="228">
        <v>-1.3</v>
      </c>
      <c r="AA68" s="228">
        <v>0.6</v>
      </c>
      <c r="AB68" s="228">
        <v>-1.9</v>
      </c>
      <c r="AC68" s="229">
        <v>-1.4E-3</v>
      </c>
      <c r="AD68" s="228">
        <v>-1.3</v>
      </c>
      <c r="AE68" s="228">
        <v>0.6</v>
      </c>
      <c r="AF68" s="228">
        <v>-1.9</v>
      </c>
      <c r="AG68" s="229">
        <v>-1.4E-3</v>
      </c>
      <c r="AH68" s="228">
        <v>3.15</v>
      </c>
      <c r="AI68" s="228">
        <v>5.4</v>
      </c>
      <c r="AJ68" s="228">
        <v>-2.25</v>
      </c>
      <c r="AK68" s="229">
        <v>3.3999999999999998E-3</v>
      </c>
      <c r="AL68" s="228">
        <v>8.25</v>
      </c>
      <c r="AM68" s="228">
        <v>16.45</v>
      </c>
      <c r="AN68" s="228">
        <v>-8.1999999999999993</v>
      </c>
      <c r="AO68" s="229">
        <v>8.8999999999999999E-3</v>
      </c>
      <c r="AP68" s="228">
        <v>921.83</v>
      </c>
      <c r="AQ68" s="228">
        <v>926.4</v>
      </c>
      <c r="AR68" s="228">
        <v>0</v>
      </c>
      <c r="AS68" s="228">
        <v>673</v>
      </c>
      <c r="AT68" s="228">
        <v>348</v>
      </c>
      <c r="AU68" s="228">
        <v>325</v>
      </c>
      <c r="AV68" s="229">
        <v>0.9325</v>
      </c>
      <c r="AW68" s="228">
        <v>362</v>
      </c>
      <c r="AX68" s="228">
        <v>265</v>
      </c>
      <c r="AY68" s="228">
        <v>96</v>
      </c>
      <c r="AZ68" s="229">
        <v>0.36230000000000001</v>
      </c>
      <c r="BA68" s="228">
        <v>223</v>
      </c>
      <c r="BB68" s="228">
        <v>81</v>
      </c>
      <c r="BC68" s="228">
        <v>142</v>
      </c>
      <c r="BD68" s="229">
        <v>1.7538</v>
      </c>
      <c r="BE68" s="228">
        <v>88</v>
      </c>
      <c r="BF68" s="228">
        <v>2</v>
      </c>
      <c r="BG68" s="228">
        <v>87</v>
      </c>
      <c r="BH68" s="229">
        <v>46.423099999999998</v>
      </c>
      <c r="BI68" s="228">
        <v>326</v>
      </c>
      <c r="BJ68" s="228">
        <v>770</v>
      </c>
      <c r="BK68" s="228">
        <v>-444</v>
      </c>
      <c r="BL68" s="229">
        <v>-0.57620000000000005</v>
      </c>
      <c r="BM68" s="228">
        <v>127</v>
      </c>
      <c r="BN68" s="228">
        <v>648</v>
      </c>
      <c r="BO68" s="228">
        <v>-521</v>
      </c>
      <c r="BP68" s="229">
        <v>-0.80459999999999998</v>
      </c>
      <c r="BQ68" s="230">
        <v>1126</v>
      </c>
      <c r="BR68" s="230">
        <v>1767</v>
      </c>
      <c r="BS68" s="228">
        <v>-640</v>
      </c>
      <c r="BT68" s="229">
        <v>-0.36249999999999999</v>
      </c>
      <c r="BU68" s="230">
        <v>1308028</v>
      </c>
      <c r="BV68" s="230">
        <v>2739242</v>
      </c>
      <c r="BW68" s="230">
        <v>-1431214</v>
      </c>
      <c r="BX68" s="229">
        <v>-0.52249999999999996</v>
      </c>
      <c r="BY68" s="228">
        <v>942</v>
      </c>
      <c r="BZ68" s="228">
        <v>961</v>
      </c>
      <c r="CA68" s="228">
        <v>-19</v>
      </c>
      <c r="CB68" s="229">
        <v>-1.95E-2</v>
      </c>
      <c r="CC68" s="228">
        <v>527</v>
      </c>
      <c r="CD68" s="228">
        <v>792</v>
      </c>
      <c r="CE68" s="228">
        <v>-265</v>
      </c>
      <c r="CF68" s="229">
        <v>-0.33510000000000001</v>
      </c>
      <c r="CG68" s="228">
        <v>252</v>
      </c>
      <c r="CH68" s="228">
        <v>92</v>
      </c>
      <c r="CI68" s="228">
        <v>160</v>
      </c>
      <c r="CJ68" s="229">
        <v>1.7305999999999999</v>
      </c>
      <c r="CK68" s="228">
        <v>163</v>
      </c>
      <c r="CL68" s="228">
        <v>76</v>
      </c>
      <c r="CM68" s="228">
        <v>87</v>
      </c>
      <c r="CN68" s="229">
        <v>1.1446000000000001</v>
      </c>
      <c r="CO68" s="228">
        <v>258</v>
      </c>
      <c r="CP68" s="228">
        <v>271</v>
      </c>
      <c r="CQ68" s="228">
        <v>-13</v>
      </c>
      <c r="CR68" s="229">
        <v>-4.6800000000000001E-2</v>
      </c>
      <c r="CS68" s="228">
        <v>202</v>
      </c>
      <c r="CT68" s="228">
        <v>217</v>
      </c>
      <c r="CU68" s="228">
        <v>-15</v>
      </c>
      <c r="CV68" s="229">
        <v>-6.8900000000000003E-2</v>
      </c>
      <c r="CW68" s="230">
        <v>1402</v>
      </c>
      <c r="CX68" s="230">
        <v>1448</v>
      </c>
      <c r="CY68" s="228">
        <v>-46</v>
      </c>
      <c r="CZ68" s="229">
        <v>-3.2000000000000001E-2</v>
      </c>
      <c r="DA68" s="228">
        <v>31.73</v>
      </c>
      <c r="DB68" s="228">
        <v>26.81</v>
      </c>
      <c r="DC68" s="228">
        <v>4.92</v>
      </c>
      <c r="DD68" s="228">
        <v>4.92</v>
      </c>
      <c r="DE68" s="228">
        <v>35.270000000000003</v>
      </c>
      <c r="DF68" s="228">
        <v>35.36</v>
      </c>
      <c r="DG68" s="228">
        <v>-3.54</v>
      </c>
      <c r="DH68" s="228">
        <v>-0.09</v>
      </c>
      <c r="DI68" s="228">
        <v>31.34</v>
      </c>
      <c r="DJ68" s="228">
        <v>24.32</v>
      </c>
      <c r="DK68" s="228">
        <v>7.02</v>
      </c>
      <c r="DL68" s="228">
        <v>7.02</v>
      </c>
      <c r="DM68" s="228">
        <v>32.99</v>
      </c>
      <c r="DN68" s="228">
        <v>29.78</v>
      </c>
      <c r="DO68" s="228">
        <v>3.21</v>
      </c>
      <c r="DP68" s="228">
        <v>3.21</v>
      </c>
      <c r="DQ68" s="228">
        <v>0.78</v>
      </c>
      <c r="DR68" s="228">
        <v>0.8</v>
      </c>
      <c r="DS68" s="228">
        <v>-0.02</v>
      </c>
      <c r="DT68" s="229">
        <v>-2.5000000000000001E-2</v>
      </c>
      <c r="DU68" s="228">
        <v>960</v>
      </c>
      <c r="DV68" s="228">
        <v>880</v>
      </c>
      <c r="DW68" s="228">
        <v>0.39</v>
      </c>
      <c r="DX68" s="228">
        <v>0.84</v>
      </c>
      <c r="DY68" s="228">
        <v>-0.45</v>
      </c>
      <c r="DZ68" s="229">
        <v>-0.53569999999999995</v>
      </c>
      <c r="EA68" s="229">
        <v>0.44059999999999999</v>
      </c>
      <c r="EB68" s="230">
        <v>1818150</v>
      </c>
      <c r="EC68" s="229">
        <v>4.7999999999999996E-3</v>
      </c>
      <c r="ED68" s="229">
        <v>0.44059999999999999</v>
      </c>
      <c r="EE68" s="228">
        <v>4.57</v>
      </c>
      <c r="EF68" s="229">
        <v>5.0000000000000001E-3</v>
      </c>
      <c r="EG68" s="230">
        <v>642966</v>
      </c>
      <c r="EH68" s="230">
        <v>1453020</v>
      </c>
      <c r="EI68" s="229">
        <v>-0.5575</v>
      </c>
      <c r="EJ68" s="229">
        <v>0.49159999999999998</v>
      </c>
      <c r="EK68" s="228">
        <v>334.32</v>
      </c>
      <c r="EL68" s="228">
        <v>123.12</v>
      </c>
      <c r="EM68" s="228">
        <v>672.45</v>
      </c>
      <c r="EN68" s="228">
        <v>34.35</v>
      </c>
      <c r="EO68" s="231">
        <v>1129.8900000000001</v>
      </c>
      <c r="EP68" s="231">
        <v>1760.44</v>
      </c>
      <c r="EQ68" s="228">
        <v>-630.54999999999995</v>
      </c>
      <c r="ER68" s="229">
        <v>-0.35820000000000002</v>
      </c>
      <c r="ES68" s="228">
        <v>253.8</v>
      </c>
      <c r="ET68" s="228">
        <v>188.14</v>
      </c>
      <c r="EU68" s="228">
        <v>944.68</v>
      </c>
      <c r="EV68" s="231">
        <v>70894446</v>
      </c>
      <c r="EW68" s="231">
        <v>1386.62</v>
      </c>
      <c r="EX68" s="231">
        <v>1429.61</v>
      </c>
      <c r="EY68" s="228">
        <v>-42.99</v>
      </c>
      <c r="EZ68" s="229">
        <v>-3.0099999999999998E-2</v>
      </c>
      <c r="FA68" s="229">
        <v>0.2137</v>
      </c>
      <c r="FB68" s="227" t="s">
        <v>693</v>
      </c>
      <c r="FC68">
        <f t="shared" si="1"/>
        <v>415</v>
      </c>
    </row>
    <row r="69" spans="1:159" ht="17.25" thickBot="1" x14ac:dyDescent="0.3">
      <c r="A69" s="226">
        <v>46135</v>
      </c>
      <c r="B69" s="227" t="s">
        <v>193</v>
      </c>
      <c r="C69" s="227" t="s">
        <v>213</v>
      </c>
      <c r="D69" s="228">
        <v>3150</v>
      </c>
      <c r="E69" s="228">
        <v>5</v>
      </c>
      <c r="F69" s="228">
        <v>164.63</v>
      </c>
      <c r="G69" s="228">
        <v>165.94</v>
      </c>
      <c r="H69" s="228">
        <v>-1.31</v>
      </c>
      <c r="I69" s="229">
        <v>-7.9000000000000008E-3</v>
      </c>
      <c r="J69" s="228">
        <v>164.96</v>
      </c>
      <c r="K69" s="228">
        <v>166.12</v>
      </c>
      <c r="L69" s="228">
        <v>-1.1599999999999999</v>
      </c>
      <c r="M69" s="229">
        <v>-7.0000000000000001E-3</v>
      </c>
      <c r="N69" s="228">
        <v>164.63</v>
      </c>
      <c r="O69" s="228">
        <v>165.94</v>
      </c>
      <c r="P69" s="228">
        <v>-1.31</v>
      </c>
      <c r="Q69" s="229">
        <v>-7.9000000000000008E-3</v>
      </c>
      <c r="R69" s="228">
        <v>165.54</v>
      </c>
      <c r="S69" s="228">
        <v>166.83</v>
      </c>
      <c r="T69" s="228">
        <v>-1.29</v>
      </c>
      <c r="U69" s="229">
        <v>-7.7000000000000002E-3</v>
      </c>
      <c r="V69" s="228">
        <v>166.21</v>
      </c>
      <c r="W69" s="228">
        <v>167.93</v>
      </c>
      <c r="X69" s="228">
        <v>-1.72</v>
      </c>
      <c r="Y69" s="229">
        <v>-1.0200000000000001E-2</v>
      </c>
      <c r="Z69" s="228">
        <v>-0.33</v>
      </c>
      <c r="AA69" s="228">
        <v>-0.18</v>
      </c>
      <c r="AB69" s="228">
        <v>-0.15</v>
      </c>
      <c r="AC69" s="229">
        <v>-2E-3</v>
      </c>
      <c r="AD69" s="228">
        <v>-0.33</v>
      </c>
      <c r="AE69" s="228">
        <v>-0.18</v>
      </c>
      <c r="AF69" s="228">
        <v>-0.15</v>
      </c>
      <c r="AG69" s="229">
        <v>-2E-3</v>
      </c>
      <c r="AH69" s="228">
        <v>0.57999999999999996</v>
      </c>
      <c r="AI69" s="228">
        <v>0.71</v>
      </c>
      <c r="AJ69" s="228">
        <v>-0.13</v>
      </c>
      <c r="AK69" s="229">
        <v>3.5000000000000001E-3</v>
      </c>
      <c r="AL69" s="228">
        <v>1.25</v>
      </c>
      <c r="AM69" s="228">
        <v>1.81</v>
      </c>
      <c r="AN69" s="228">
        <v>-0.56000000000000005</v>
      </c>
      <c r="AO69" s="229">
        <v>7.6E-3</v>
      </c>
      <c r="AP69" s="228">
        <v>164.94</v>
      </c>
      <c r="AQ69" s="228">
        <v>165.79</v>
      </c>
      <c r="AR69" s="228">
        <v>0</v>
      </c>
      <c r="AS69" s="228">
        <v>896</v>
      </c>
      <c r="AT69" s="228">
        <v>294</v>
      </c>
      <c r="AU69" s="228">
        <v>602</v>
      </c>
      <c r="AV69" s="229">
        <v>2.0449000000000002</v>
      </c>
      <c r="AW69" s="228">
        <v>487</v>
      </c>
      <c r="AX69" s="228">
        <v>203</v>
      </c>
      <c r="AY69" s="228">
        <v>285</v>
      </c>
      <c r="AZ69" s="229">
        <v>1.405</v>
      </c>
      <c r="BA69" s="228">
        <v>400</v>
      </c>
      <c r="BB69" s="228">
        <v>83</v>
      </c>
      <c r="BC69" s="228">
        <v>317</v>
      </c>
      <c r="BD69" s="229">
        <v>3.8104</v>
      </c>
      <c r="BE69" s="228">
        <v>9</v>
      </c>
      <c r="BF69" s="228">
        <v>9</v>
      </c>
      <c r="BG69" s="228">
        <v>0</v>
      </c>
      <c r="BH69" s="229">
        <v>4.24E-2</v>
      </c>
      <c r="BI69" s="228">
        <v>406</v>
      </c>
      <c r="BJ69" s="228">
        <v>748</v>
      </c>
      <c r="BK69" s="228">
        <v>-342</v>
      </c>
      <c r="BL69" s="229">
        <v>-0.45700000000000002</v>
      </c>
      <c r="BM69" s="228">
        <v>330</v>
      </c>
      <c r="BN69" s="228">
        <v>597</v>
      </c>
      <c r="BO69" s="228">
        <v>-266</v>
      </c>
      <c r="BP69" s="229">
        <v>-0.44629999999999997</v>
      </c>
      <c r="BQ69" s="230">
        <v>1632</v>
      </c>
      <c r="BR69" s="230">
        <v>1639</v>
      </c>
      <c r="BS69" s="228">
        <v>-6</v>
      </c>
      <c r="BT69" s="229">
        <v>-3.8999999999999998E-3</v>
      </c>
      <c r="BU69" s="230">
        <v>13888033</v>
      </c>
      <c r="BV69" s="230">
        <v>15516767</v>
      </c>
      <c r="BW69" s="230">
        <v>-1628734</v>
      </c>
      <c r="BX69" s="229">
        <v>-0.105</v>
      </c>
      <c r="BY69" s="230">
        <v>1241</v>
      </c>
      <c r="BZ69" s="230">
        <v>1253</v>
      </c>
      <c r="CA69" s="228">
        <v>-13</v>
      </c>
      <c r="CB69" s="229">
        <v>-1.03E-2</v>
      </c>
      <c r="CC69" s="228">
        <v>715</v>
      </c>
      <c r="CD69" s="230">
        <v>1044</v>
      </c>
      <c r="CE69" s="228">
        <v>-328</v>
      </c>
      <c r="CF69" s="229">
        <v>-0.31480000000000002</v>
      </c>
      <c r="CG69" s="228">
        <v>455</v>
      </c>
      <c r="CH69" s="228">
        <v>145</v>
      </c>
      <c r="CI69" s="228">
        <v>310</v>
      </c>
      <c r="CJ69" s="229">
        <v>2.1452</v>
      </c>
      <c r="CK69" s="228">
        <v>70</v>
      </c>
      <c r="CL69" s="228">
        <v>65</v>
      </c>
      <c r="CM69" s="228">
        <v>5</v>
      </c>
      <c r="CN69" s="229">
        <v>7.9500000000000001E-2</v>
      </c>
      <c r="CO69" s="228">
        <v>478</v>
      </c>
      <c r="CP69" s="228">
        <v>468</v>
      </c>
      <c r="CQ69" s="228">
        <v>10</v>
      </c>
      <c r="CR69" s="229">
        <v>2.06E-2</v>
      </c>
      <c r="CS69" s="228">
        <v>647</v>
      </c>
      <c r="CT69" s="228">
        <v>665</v>
      </c>
      <c r="CU69" s="228">
        <v>-17</v>
      </c>
      <c r="CV69" s="229">
        <v>-2.63E-2</v>
      </c>
      <c r="CW69" s="230">
        <v>2365</v>
      </c>
      <c r="CX69" s="230">
        <v>2386</v>
      </c>
      <c r="CY69" s="228">
        <v>-21</v>
      </c>
      <c r="CZ69" s="229">
        <v>-8.6999999999999994E-3</v>
      </c>
      <c r="DA69" s="228">
        <v>29.55</v>
      </c>
      <c r="DB69" s="228">
        <v>33.65</v>
      </c>
      <c r="DC69" s="228">
        <v>-4.0999999999999996</v>
      </c>
      <c r="DD69" s="228">
        <v>-4.0999999999999996</v>
      </c>
      <c r="DE69" s="228">
        <v>35.61</v>
      </c>
      <c r="DF69" s="228">
        <v>35.68</v>
      </c>
      <c r="DG69" s="228">
        <v>-6.06</v>
      </c>
      <c r="DH69" s="228">
        <v>-7.0000000000000007E-2</v>
      </c>
      <c r="DI69" s="228">
        <v>29.02</v>
      </c>
      <c r="DJ69" s="228">
        <v>29.43</v>
      </c>
      <c r="DK69" s="228">
        <v>-0.41</v>
      </c>
      <c r="DL69" s="228">
        <v>-0.41</v>
      </c>
      <c r="DM69" s="228">
        <v>30.93</v>
      </c>
      <c r="DN69" s="228">
        <v>38.93</v>
      </c>
      <c r="DO69" s="228">
        <v>-8</v>
      </c>
      <c r="DP69" s="228">
        <v>-8</v>
      </c>
      <c r="DQ69" s="228">
        <v>1.35</v>
      </c>
      <c r="DR69" s="228">
        <v>1.42</v>
      </c>
      <c r="DS69" s="228">
        <v>-7.0000000000000007E-2</v>
      </c>
      <c r="DT69" s="229">
        <v>-4.9299999999999997E-2</v>
      </c>
      <c r="DU69" s="228">
        <v>144</v>
      </c>
      <c r="DV69" s="228">
        <v>145</v>
      </c>
      <c r="DW69" s="228">
        <v>0.81</v>
      </c>
      <c r="DX69" s="228">
        <v>0.8</v>
      </c>
      <c r="DY69" s="228">
        <v>0.01</v>
      </c>
      <c r="DZ69" s="229">
        <v>1.2500000000000001E-2</v>
      </c>
      <c r="EA69" s="229">
        <v>0.42359999999999998</v>
      </c>
      <c r="EB69" s="230">
        <v>12751200</v>
      </c>
      <c r="EC69" s="229">
        <v>5.4999999999999997E-3</v>
      </c>
      <c r="ED69" s="229">
        <v>0.42359999999999998</v>
      </c>
      <c r="EE69" s="228">
        <v>0.85</v>
      </c>
      <c r="EF69" s="229">
        <v>5.1999999999999998E-3</v>
      </c>
      <c r="EG69" s="230">
        <v>7955018</v>
      </c>
      <c r="EH69" s="230">
        <v>8370456</v>
      </c>
      <c r="EI69" s="229">
        <v>-4.9599999999999998E-2</v>
      </c>
      <c r="EJ69" s="229">
        <v>0.57279999999999998</v>
      </c>
      <c r="EK69" s="228">
        <v>420.3</v>
      </c>
      <c r="EL69" s="228">
        <v>317.76</v>
      </c>
      <c r="EM69" s="228">
        <v>899.82</v>
      </c>
      <c r="EN69" s="228">
        <v>41.21</v>
      </c>
      <c r="EO69" s="231">
        <v>1637.88</v>
      </c>
      <c r="EP69" s="231">
        <v>1621.84</v>
      </c>
      <c r="EQ69" s="228">
        <v>16.04</v>
      </c>
      <c r="ER69" s="229">
        <v>9.9000000000000008E-3</v>
      </c>
      <c r="ES69" s="228">
        <v>454.71</v>
      </c>
      <c r="ET69" s="228">
        <v>593.71</v>
      </c>
      <c r="EU69" s="231">
        <v>1243.75</v>
      </c>
      <c r="EV69" s="231">
        <v>471255857</v>
      </c>
      <c r="EW69" s="231">
        <v>2292.17</v>
      </c>
      <c r="EX69" s="231">
        <v>2316.62</v>
      </c>
      <c r="EY69" s="228">
        <v>-24.45</v>
      </c>
      <c r="EZ69" s="229">
        <v>-1.06E-2</v>
      </c>
      <c r="FA69" s="229">
        <v>0.3049</v>
      </c>
      <c r="FB69" s="227" t="s">
        <v>567</v>
      </c>
      <c r="FC69">
        <f t="shared" si="1"/>
        <v>526</v>
      </c>
    </row>
    <row r="70" spans="1:159" ht="17.25" thickBot="1" x14ac:dyDescent="0.3">
      <c r="A70" s="226">
        <v>46135</v>
      </c>
      <c r="B70" s="227" t="s">
        <v>170</v>
      </c>
      <c r="C70" s="227" t="s">
        <v>214</v>
      </c>
      <c r="D70" s="228">
        <v>375</v>
      </c>
      <c r="E70" s="228">
        <v>5</v>
      </c>
      <c r="F70" s="231">
        <v>2336.6</v>
      </c>
      <c r="G70" s="231">
        <v>2239</v>
      </c>
      <c r="H70" s="228">
        <v>97.6</v>
      </c>
      <c r="I70" s="229">
        <v>4.36E-2</v>
      </c>
      <c r="J70" s="231">
        <v>2335</v>
      </c>
      <c r="K70" s="231">
        <v>2240</v>
      </c>
      <c r="L70" s="228">
        <v>95</v>
      </c>
      <c r="M70" s="229">
        <v>4.24E-2</v>
      </c>
      <c r="N70" s="231">
        <v>2336.6</v>
      </c>
      <c r="O70" s="231">
        <v>2239</v>
      </c>
      <c r="P70" s="228">
        <v>97.6</v>
      </c>
      <c r="Q70" s="229">
        <v>4.36E-2</v>
      </c>
      <c r="R70" s="231">
        <v>2348.5</v>
      </c>
      <c r="S70" s="231">
        <v>2248.4</v>
      </c>
      <c r="T70" s="228">
        <v>100.1</v>
      </c>
      <c r="U70" s="229">
        <v>4.4499999999999998E-2</v>
      </c>
      <c r="V70" s="231">
        <v>2365</v>
      </c>
      <c r="W70" s="231">
        <v>2262.1</v>
      </c>
      <c r="X70" s="228">
        <v>102.9</v>
      </c>
      <c r="Y70" s="229">
        <v>4.5499999999999999E-2</v>
      </c>
      <c r="Z70" s="228">
        <v>1.6</v>
      </c>
      <c r="AA70" s="228">
        <v>-1</v>
      </c>
      <c r="AB70" s="228">
        <v>2.6</v>
      </c>
      <c r="AC70" s="229">
        <v>6.9999999999999999E-4</v>
      </c>
      <c r="AD70" s="228">
        <v>1.6</v>
      </c>
      <c r="AE70" s="228">
        <v>-1</v>
      </c>
      <c r="AF70" s="228">
        <v>2.6</v>
      </c>
      <c r="AG70" s="229">
        <v>6.9999999999999999E-4</v>
      </c>
      <c r="AH70" s="228">
        <v>13.5</v>
      </c>
      <c r="AI70" s="228">
        <v>8.4</v>
      </c>
      <c r="AJ70" s="228">
        <v>5.0999999999999996</v>
      </c>
      <c r="AK70" s="229">
        <v>5.7999999999999996E-3</v>
      </c>
      <c r="AL70" s="228">
        <v>30</v>
      </c>
      <c r="AM70" s="228">
        <v>22.1</v>
      </c>
      <c r="AN70" s="228">
        <v>7.9</v>
      </c>
      <c r="AO70" s="229">
        <v>1.2800000000000001E-2</v>
      </c>
      <c r="AP70" s="231">
        <v>2311.4499999999998</v>
      </c>
      <c r="AQ70" s="231">
        <v>2325.92</v>
      </c>
      <c r="AR70" s="228">
        <v>0</v>
      </c>
      <c r="AS70" s="230">
        <v>2889</v>
      </c>
      <c r="AT70" s="228">
        <v>198</v>
      </c>
      <c r="AU70" s="230">
        <v>2691</v>
      </c>
      <c r="AV70" s="229">
        <v>13.6204</v>
      </c>
      <c r="AW70" s="230">
        <v>1475</v>
      </c>
      <c r="AX70" s="228">
        <v>127</v>
      </c>
      <c r="AY70" s="230">
        <v>1348</v>
      </c>
      <c r="AZ70" s="229">
        <v>10.618399999999999</v>
      </c>
      <c r="BA70" s="230">
        <v>1407</v>
      </c>
      <c r="BB70" s="228">
        <v>70</v>
      </c>
      <c r="BC70" s="230">
        <v>1337</v>
      </c>
      <c r="BD70" s="229">
        <v>19.121600000000001</v>
      </c>
      <c r="BE70" s="228">
        <v>7</v>
      </c>
      <c r="BF70" s="228">
        <v>1</v>
      </c>
      <c r="BG70" s="228">
        <v>6</v>
      </c>
      <c r="BH70" s="229">
        <v>8.625</v>
      </c>
      <c r="BI70" s="230">
        <v>5430</v>
      </c>
      <c r="BJ70" s="228">
        <v>571</v>
      </c>
      <c r="BK70" s="230">
        <v>4859</v>
      </c>
      <c r="BL70" s="229">
        <v>8.5146999999999995</v>
      </c>
      <c r="BM70" s="230">
        <v>1588</v>
      </c>
      <c r="BN70" s="228">
        <v>416</v>
      </c>
      <c r="BO70" s="230">
        <v>1172</v>
      </c>
      <c r="BP70" s="229">
        <v>2.8140999999999998</v>
      </c>
      <c r="BQ70" s="230">
        <v>9907</v>
      </c>
      <c r="BR70" s="230">
        <v>1185</v>
      </c>
      <c r="BS70" s="230">
        <v>8722</v>
      </c>
      <c r="BT70" s="229">
        <v>7.3630000000000004</v>
      </c>
      <c r="BU70" s="230">
        <v>1788495</v>
      </c>
      <c r="BV70" s="230">
        <v>330706</v>
      </c>
      <c r="BW70" s="230">
        <v>1457789</v>
      </c>
      <c r="BX70" s="229">
        <v>4.4081000000000001</v>
      </c>
      <c r="BY70" s="230">
        <v>2420</v>
      </c>
      <c r="BZ70" s="230">
        <v>2389</v>
      </c>
      <c r="CA70" s="228">
        <v>31</v>
      </c>
      <c r="CB70" s="229">
        <v>1.2999999999999999E-2</v>
      </c>
      <c r="CC70" s="230">
        <v>1219</v>
      </c>
      <c r="CD70" s="230">
        <v>2309</v>
      </c>
      <c r="CE70" s="230">
        <v>-1089</v>
      </c>
      <c r="CF70" s="229">
        <v>-0.47189999999999999</v>
      </c>
      <c r="CG70" s="230">
        <v>1196</v>
      </c>
      <c r="CH70" s="228">
        <v>77</v>
      </c>
      <c r="CI70" s="230">
        <v>1119</v>
      </c>
      <c r="CJ70" s="229">
        <v>14.460900000000001</v>
      </c>
      <c r="CK70" s="228">
        <v>5</v>
      </c>
      <c r="CL70" s="228">
        <v>3</v>
      </c>
      <c r="CM70" s="228">
        <v>2</v>
      </c>
      <c r="CN70" s="229">
        <v>0.52780000000000005</v>
      </c>
      <c r="CO70" s="228">
        <v>590</v>
      </c>
      <c r="CP70" s="228">
        <v>505</v>
      </c>
      <c r="CQ70" s="228">
        <v>85</v>
      </c>
      <c r="CR70" s="229">
        <v>0.16830000000000001</v>
      </c>
      <c r="CS70" s="228">
        <v>430</v>
      </c>
      <c r="CT70" s="228">
        <v>281</v>
      </c>
      <c r="CU70" s="228">
        <v>149</v>
      </c>
      <c r="CV70" s="229">
        <v>0.53149999999999997</v>
      </c>
      <c r="CW70" s="230">
        <v>3440</v>
      </c>
      <c r="CX70" s="230">
        <v>3175</v>
      </c>
      <c r="CY70" s="228">
        <v>265</v>
      </c>
      <c r="CZ70" s="229">
        <v>8.3500000000000005E-2</v>
      </c>
      <c r="DA70" s="228">
        <v>38.47</v>
      </c>
      <c r="DB70" s="228">
        <v>33.06</v>
      </c>
      <c r="DC70" s="228">
        <v>5.41</v>
      </c>
      <c r="DD70" s="228">
        <v>5.41</v>
      </c>
      <c r="DE70" s="228">
        <v>36.15</v>
      </c>
      <c r="DF70" s="228">
        <v>35.799999999999997</v>
      </c>
      <c r="DG70" s="228">
        <v>2.3199999999999998</v>
      </c>
      <c r="DH70" s="228">
        <v>0.35</v>
      </c>
      <c r="DI70" s="228">
        <v>38.36</v>
      </c>
      <c r="DJ70" s="228">
        <v>31.41</v>
      </c>
      <c r="DK70" s="228">
        <v>6.95</v>
      </c>
      <c r="DL70" s="228">
        <v>6.95</v>
      </c>
      <c r="DM70" s="228">
        <v>38.979999999999997</v>
      </c>
      <c r="DN70" s="228">
        <v>35.31</v>
      </c>
      <c r="DO70" s="228">
        <v>3.67</v>
      </c>
      <c r="DP70" s="228">
        <v>3.67</v>
      </c>
      <c r="DQ70" s="228">
        <v>0.73</v>
      </c>
      <c r="DR70" s="228">
        <v>0.56000000000000005</v>
      </c>
      <c r="DS70" s="228">
        <v>0.17</v>
      </c>
      <c r="DT70" s="229">
        <v>0.30359999999999998</v>
      </c>
      <c r="DU70" s="231">
        <v>2400</v>
      </c>
      <c r="DV70" s="231">
        <v>2200</v>
      </c>
      <c r="DW70" s="228">
        <v>0.28999999999999998</v>
      </c>
      <c r="DX70" s="228">
        <v>0.73</v>
      </c>
      <c r="DY70" s="228">
        <v>-0.44</v>
      </c>
      <c r="DZ70" s="229">
        <v>-0.60270000000000001</v>
      </c>
      <c r="EA70" s="229">
        <v>0.49619999999999997</v>
      </c>
      <c r="EB70" s="230">
        <v>344625</v>
      </c>
      <c r="EC70" s="229">
        <v>5.1000000000000004E-3</v>
      </c>
      <c r="ED70" s="229">
        <v>0.49619999999999997</v>
      </c>
      <c r="EE70" s="228">
        <v>14.47</v>
      </c>
      <c r="EF70" s="229">
        <v>6.3E-3</v>
      </c>
      <c r="EG70" s="230">
        <v>511595</v>
      </c>
      <c r="EH70" s="230">
        <v>157744</v>
      </c>
      <c r="EI70" s="229">
        <v>2.2431999999999999</v>
      </c>
      <c r="EJ70" s="229">
        <v>0.28599999999999998</v>
      </c>
      <c r="EK70" s="231">
        <v>5552</v>
      </c>
      <c r="EL70" s="231">
        <v>1533.73</v>
      </c>
      <c r="EM70" s="231">
        <v>2866.53</v>
      </c>
      <c r="EN70" s="228">
        <v>19.45</v>
      </c>
      <c r="EO70" s="231">
        <v>9952.26</v>
      </c>
      <c r="EP70" s="231">
        <v>1139.95</v>
      </c>
      <c r="EQ70" s="231">
        <v>8812.2999999999993</v>
      </c>
      <c r="ER70" s="229">
        <v>7.7304000000000004</v>
      </c>
      <c r="ES70" s="228">
        <v>586.29999999999995</v>
      </c>
      <c r="ET70" s="228">
        <v>400.24</v>
      </c>
      <c r="EU70" s="231">
        <v>2426.46</v>
      </c>
      <c r="EV70" s="231">
        <v>15844372</v>
      </c>
      <c r="EW70" s="231">
        <v>3413</v>
      </c>
      <c r="EX70" s="231">
        <v>3032.67</v>
      </c>
      <c r="EY70" s="228">
        <v>380.33</v>
      </c>
      <c r="EZ70" s="229">
        <v>0.12540000000000001</v>
      </c>
      <c r="FA70" s="229">
        <v>0.92920000000000003</v>
      </c>
      <c r="FB70" s="227" t="s">
        <v>555</v>
      </c>
      <c r="FC70">
        <f t="shared" si="1"/>
        <v>1201</v>
      </c>
    </row>
    <row r="71" spans="1:159" ht="17.25" thickBot="1" x14ac:dyDescent="0.3">
      <c r="A71" s="226">
        <v>46135</v>
      </c>
      <c r="B71" s="227" t="s">
        <v>215</v>
      </c>
      <c r="C71" s="227" t="s">
        <v>630</v>
      </c>
      <c r="D71" s="228">
        <v>6975</v>
      </c>
      <c r="E71" s="228">
        <v>5</v>
      </c>
      <c r="F71" s="228">
        <v>96.51</v>
      </c>
      <c r="G71" s="228">
        <v>97.5</v>
      </c>
      <c r="H71" s="228">
        <v>-0.99</v>
      </c>
      <c r="I71" s="229">
        <v>-1.0200000000000001E-2</v>
      </c>
      <c r="J71" s="228">
        <v>96.44</v>
      </c>
      <c r="K71" s="228">
        <v>97.39</v>
      </c>
      <c r="L71" s="228">
        <v>-0.95</v>
      </c>
      <c r="M71" s="229">
        <v>-9.7999999999999997E-3</v>
      </c>
      <c r="N71" s="228">
        <v>96.51</v>
      </c>
      <c r="O71" s="228">
        <v>97.5</v>
      </c>
      <c r="P71" s="228">
        <v>-0.99</v>
      </c>
      <c r="Q71" s="229">
        <v>-1.0200000000000001E-2</v>
      </c>
      <c r="R71" s="228">
        <v>97.06</v>
      </c>
      <c r="S71" s="228">
        <v>98.04</v>
      </c>
      <c r="T71" s="228">
        <v>-0.98</v>
      </c>
      <c r="U71" s="229">
        <v>-0.01</v>
      </c>
      <c r="V71" s="228">
        <v>97.44</v>
      </c>
      <c r="W71" s="228">
        <v>98.55</v>
      </c>
      <c r="X71" s="228">
        <v>-1.1100000000000001</v>
      </c>
      <c r="Y71" s="229">
        <v>-1.1299999999999999E-2</v>
      </c>
      <c r="Z71" s="228">
        <v>7.0000000000000007E-2</v>
      </c>
      <c r="AA71" s="228">
        <v>0.11</v>
      </c>
      <c r="AB71" s="228">
        <v>-0.04</v>
      </c>
      <c r="AC71" s="229">
        <v>6.9999999999999999E-4</v>
      </c>
      <c r="AD71" s="228">
        <v>7.0000000000000007E-2</v>
      </c>
      <c r="AE71" s="228">
        <v>0.11</v>
      </c>
      <c r="AF71" s="228">
        <v>-0.04</v>
      </c>
      <c r="AG71" s="229">
        <v>6.9999999999999999E-4</v>
      </c>
      <c r="AH71" s="228">
        <v>0.62</v>
      </c>
      <c r="AI71" s="228">
        <v>0.65</v>
      </c>
      <c r="AJ71" s="228">
        <v>-0.03</v>
      </c>
      <c r="AK71" s="229">
        <v>6.4000000000000003E-3</v>
      </c>
      <c r="AL71" s="228">
        <v>1</v>
      </c>
      <c r="AM71" s="228">
        <v>1.1599999999999999</v>
      </c>
      <c r="AN71" s="228">
        <v>-0.16</v>
      </c>
      <c r="AO71" s="229">
        <v>1.04E-2</v>
      </c>
      <c r="AP71" s="228">
        <v>96.33</v>
      </c>
      <c r="AQ71" s="228">
        <v>96.88</v>
      </c>
      <c r="AR71" s="228">
        <v>0</v>
      </c>
      <c r="AS71" s="228">
        <v>719</v>
      </c>
      <c r="AT71" s="228">
        <v>194</v>
      </c>
      <c r="AU71" s="228">
        <v>525</v>
      </c>
      <c r="AV71" s="229">
        <v>2.7025999999999999</v>
      </c>
      <c r="AW71" s="228">
        <v>366</v>
      </c>
      <c r="AX71" s="228">
        <v>108</v>
      </c>
      <c r="AY71" s="228">
        <v>258</v>
      </c>
      <c r="AZ71" s="229">
        <v>2.3828</v>
      </c>
      <c r="BA71" s="228">
        <v>349</v>
      </c>
      <c r="BB71" s="228">
        <v>79</v>
      </c>
      <c r="BC71" s="228">
        <v>270</v>
      </c>
      <c r="BD71" s="229">
        <v>3.4308000000000001</v>
      </c>
      <c r="BE71" s="228">
        <v>4</v>
      </c>
      <c r="BF71" s="228">
        <v>7</v>
      </c>
      <c r="BG71" s="228">
        <v>-3</v>
      </c>
      <c r="BH71" s="229">
        <v>-0.48110000000000003</v>
      </c>
      <c r="BI71" s="228">
        <v>370</v>
      </c>
      <c r="BJ71" s="228">
        <v>366</v>
      </c>
      <c r="BK71" s="228">
        <v>3</v>
      </c>
      <c r="BL71" s="229">
        <v>9.4000000000000004E-3</v>
      </c>
      <c r="BM71" s="228">
        <v>179</v>
      </c>
      <c r="BN71" s="228">
        <v>109</v>
      </c>
      <c r="BO71" s="228">
        <v>70</v>
      </c>
      <c r="BP71" s="229">
        <v>0.64759999999999995</v>
      </c>
      <c r="BQ71" s="230">
        <v>1268</v>
      </c>
      <c r="BR71" s="228">
        <v>669</v>
      </c>
      <c r="BS71" s="228">
        <v>599</v>
      </c>
      <c r="BT71" s="229">
        <v>0.89470000000000005</v>
      </c>
      <c r="BU71" s="230">
        <v>11238685</v>
      </c>
      <c r="BV71" s="230">
        <v>11305254</v>
      </c>
      <c r="BW71" s="230">
        <v>-66569</v>
      </c>
      <c r="BX71" s="229">
        <v>-5.8999999999999999E-3</v>
      </c>
      <c r="BY71" s="230">
        <v>1324</v>
      </c>
      <c r="BZ71" s="230">
        <v>1332</v>
      </c>
      <c r="CA71" s="228">
        <v>-8</v>
      </c>
      <c r="CB71" s="229">
        <v>-6.1000000000000004E-3</v>
      </c>
      <c r="CC71" s="228">
        <v>826</v>
      </c>
      <c r="CD71" s="230">
        <v>1105</v>
      </c>
      <c r="CE71" s="228">
        <v>-279</v>
      </c>
      <c r="CF71" s="229">
        <v>-0.25259999999999999</v>
      </c>
      <c r="CG71" s="228">
        <v>447</v>
      </c>
      <c r="CH71" s="228">
        <v>177</v>
      </c>
      <c r="CI71" s="228">
        <v>269</v>
      </c>
      <c r="CJ71" s="229">
        <v>1.5221</v>
      </c>
      <c r="CK71" s="228">
        <v>51</v>
      </c>
      <c r="CL71" s="228">
        <v>49</v>
      </c>
      <c r="CM71" s="228">
        <v>2</v>
      </c>
      <c r="CN71" s="229">
        <v>3.4200000000000001E-2</v>
      </c>
      <c r="CO71" s="228">
        <v>524</v>
      </c>
      <c r="CP71" s="228">
        <v>515</v>
      </c>
      <c r="CQ71" s="228">
        <v>9</v>
      </c>
      <c r="CR71" s="229">
        <v>1.72E-2</v>
      </c>
      <c r="CS71" s="228">
        <v>361</v>
      </c>
      <c r="CT71" s="228">
        <v>337</v>
      </c>
      <c r="CU71" s="228">
        <v>24</v>
      </c>
      <c r="CV71" s="229">
        <v>7.1499999999999994E-2</v>
      </c>
      <c r="CW71" s="230">
        <v>2209</v>
      </c>
      <c r="CX71" s="230">
        <v>2184</v>
      </c>
      <c r="CY71" s="228">
        <v>25</v>
      </c>
      <c r="CZ71" s="229">
        <v>1.14E-2</v>
      </c>
      <c r="DA71" s="228">
        <v>41.15</v>
      </c>
      <c r="DB71" s="228">
        <v>36.9</v>
      </c>
      <c r="DC71" s="228">
        <v>4.25</v>
      </c>
      <c r="DD71" s="228">
        <v>4.25</v>
      </c>
      <c r="DE71" s="228">
        <v>41.13</v>
      </c>
      <c r="DF71" s="228">
        <v>41.21</v>
      </c>
      <c r="DG71" s="228">
        <v>0.02</v>
      </c>
      <c r="DH71" s="228">
        <v>-0.08</v>
      </c>
      <c r="DI71" s="228">
        <v>41.07</v>
      </c>
      <c r="DJ71" s="228">
        <v>36.71</v>
      </c>
      <c r="DK71" s="228">
        <v>4.3600000000000003</v>
      </c>
      <c r="DL71" s="228">
        <v>4.3600000000000003</v>
      </c>
      <c r="DM71" s="228">
        <v>41.26</v>
      </c>
      <c r="DN71" s="228">
        <v>37.54</v>
      </c>
      <c r="DO71" s="228">
        <v>3.72</v>
      </c>
      <c r="DP71" s="228">
        <v>3.72</v>
      </c>
      <c r="DQ71" s="228">
        <v>0.69</v>
      </c>
      <c r="DR71" s="228">
        <v>0.65</v>
      </c>
      <c r="DS71" s="228">
        <v>0.04</v>
      </c>
      <c r="DT71" s="229">
        <v>6.1499999999999999E-2</v>
      </c>
      <c r="DU71" s="228">
        <v>100</v>
      </c>
      <c r="DV71" s="228">
        <v>95</v>
      </c>
      <c r="DW71" s="228">
        <v>0.48</v>
      </c>
      <c r="DX71" s="228">
        <v>0.3</v>
      </c>
      <c r="DY71" s="228">
        <v>0.18</v>
      </c>
      <c r="DZ71" s="229">
        <v>0.6</v>
      </c>
      <c r="EA71" s="229">
        <v>0.37580000000000002</v>
      </c>
      <c r="EB71" s="230">
        <v>23449950</v>
      </c>
      <c r="EC71" s="229">
        <v>5.7000000000000002E-3</v>
      </c>
      <c r="ED71" s="229">
        <v>0.37580000000000002</v>
      </c>
      <c r="EE71" s="228">
        <v>0.55000000000000004</v>
      </c>
      <c r="EF71" s="229">
        <v>5.7000000000000002E-3</v>
      </c>
      <c r="EG71" s="230">
        <v>5052362</v>
      </c>
      <c r="EH71" s="230">
        <v>5634664</v>
      </c>
      <c r="EI71" s="229">
        <v>-0.1033</v>
      </c>
      <c r="EJ71" s="229">
        <v>0.4496</v>
      </c>
      <c r="EK71" s="228">
        <v>388.81</v>
      </c>
      <c r="EL71" s="228">
        <v>176.01</v>
      </c>
      <c r="EM71" s="228">
        <v>719.75</v>
      </c>
      <c r="EN71" s="228">
        <v>28.71</v>
      </c>
      <c r="EO71" s="231">
        <v>1284.57</v>
      </c>
      <c r="EP71" s="228">
        <v>692.9</v>
      </c>
      <c r="EQ71" s="228">
        <v>591.66999999999996</v>
      </c>
      <c r="ER71" s="229">
        <v>0.85389999999999999</v>
      </c>
      <c r="ES71" s="228">
        <v>542.15</v>
      </c>
      <c r="ET71" s="228">
        <v>347.65</v>
      </c>
      <c r="EU71" s="231">
        <v>1326.66</v>
      </c>
      <c r="EV71" s="231">
        <v>534704421</v>
      </c>
      <c r="EW71" s="231">
        <v>2216.4699999999998</v>
      </c>
      <c r="EX71" s="231">
        <v>2204.64</v>
      </c>
      <c r="EY71" s="228">
        <v>11.83</v>
      </c>
      <c r="EZ71" s="229">
        <v>5.4000000000000003E-3</v>
      </c>
      <c r="FA71" s="229">
        <v>0.42809999999999998</v>
      </c>
      <c r="FB71" s="227" t="s">
        <v>567</v>
      </c>
      <c r="FC71">
        <f t="shared" si="1"/>
        <v>498</v>
      </c>
    </row>
    <row r="72" spans="1:159" ht="17.25" thickBot="1" x14ac:dyDescent="0.3">
      <c r="A72" s="226">
        <v>46135</v>
      </c>
      <c r="B72" s="227" t="s">
        <v>168</v>
      </c>
      <c r="C72" s="227" t="s">
        <v>699</v>
      </c>
      <c r="D72" s="228">
        <v>275</v>
      </c>
      <c r="E72" s="228">
        <v>5</v>
      </c>
      <c r="F72" s="231">
        <v>2160.5</v>
      </c>
      <c r="G72" s="231">
        <v>2171.1999999999998</v>
      </c>
      <c r="H72" s="228">
        <v>-10.7</v>
      </c>
      <c r="I72" s="229">
        <v>-4.8999999999999998E-3</v>
      </c>
      <c r="J72" s="231">
        <v>2153.3000000000002</v>
      </c>
      <c r="K72" s="231">
        <v>2164.6</v>
      </c>
      <c r="L72" s="228">
        <v>-11.3</v>
      </c>
      <c r="M72" s="229">
        <v>-5.1999999999999998E-3</v>
      </c>
      <c r="N72" s="231">
        <v>2160.5</v>
      </c>
      <c r="O72" s="231">
        <v>2171.1999999999998</v>
      </c>
      <c r="P72" s="228">
        <v>-10.7</v>
      </c>
      <c r="Q72" s="229">
        <v>-4.8999999999999998E-3</v>
      </c>
      <c r="R72" s="231">
        <v>2127</v>
      </c>
      <c r="S72" s="231">
        <v>2155.8000000000002</v>
      </c>
      <c r="T72" s="228">
        <v>-28.8</v>
      </c>
      <c r="U72" s="229">
        <v>-1.34E-2</v>
      </c>
      <c r="V72" s="231">
        <v>2115</v>
      </c>
      <c r="W72" s="231">
        <v>2150.5</v>
      </c>
      <c r="X72" s="228">
        <v>-35.5</v>
      </c>
      <c r="Y72" s="229">
        <v>-1.6500000000000001E-2</v>
      </c>
      <c r="Z72" s="228">
        <v>7.2</v>
      </c>
      <c r="AA72" s="228">
        <v>6.6</v>
      </c>
      <c r="AB72" s="228">
        <v>0.6</v>
      </c>
      <c r="AC72" s="229">
        <v>3.3E-3</v>
      </c>
      <c r="AD72" s="228">
        <v>7.2</v>
      </c>
      <c r="AE72" s="228">
        <v>6.6</v>
      </c>
      <c r="AF72" s="228">
        <v>0.6</v>
      </c>
      <c r="AG72" s="229">
        <v>3.3E-3</v>
      </c>
      <c r="AH72" s="228">
        <v>-26.3</v>
      </c>
      <c r="AI72" s="228">
        <v>-8.8000000000000007</v>
      </c>
      <c r="AJ72" s="228">
        <v>-17.5</v>
      </c>
      <c r="AK72" s="229">
        <v>-1.2200000000000001E-2</v>
      </c>
      <c r="AL72" s="228">
        <v>-38.299999999999997</v>
      </c>
      <c r="AM72" s="228">
        <v>-14.1</v>
      </c>
      <c r="AN72" s="228">
        <v>-24.2</v>
      </c>
      <c r="AO72" s="229">
        <v>-1.78E-2</v>
      </c>
      <c r="AP72" s="231">
        <v>2160.2399999999998</v>
      </c>
      <c r="AQ72" s="231">
        <v>2128.2800000000002</v>
      </c>
      <c r="AR72" s="228">
        <v>0</v>
      </c>
      <c r="AS72" s="228">
        <v>228</v>
      </c>
      <c r="AT72" s="228">
        <v>184</v>
      </c>
      <c r="AU72" s="228">
        <v>44</v>
      </c>
      <c r="AV72" s="229">
        <v>0.23860000000000001</v>
      </c>
      <c r="AW72" s="228">
        <v>113</v>
      </c>
      <c r="AX72" s="228">
        <v>134</v>
      </c>
      <c r="AY72" s="228">
        <v>-20</v>
      </c>
      <c r="AZ72" s="229">
        <v>-0.1535</v>
      </c>
      <c r="BA72" s="228">
        <v>110</v>
      </c>
      <c r="BB72" s="228">
        <v>46</v>
      </c>
      <c r="BC72" s="228">
        <v>65</v>
      </c>
      <c r="BD72" s="229">
        <v>1.4269000000000001</v>
      </c>
      <c r="BE72" s="228">
        <v>4</v>
      </c>
      <c r="BF72" s="228">
        <v>5</v>
      </c>
      <c r="BG72" s="228">
        <v>-1</v>
      </c>
      <c r="BH72" s="229">
        <v>-0.12659999999999999</v>
      </c>
      <c r="BI72" s="228">
        <v>309</v>
      </c>
      <c r="BJ72" s="228">
        <v>530</v>
      </c>
      <c r="BK72" s="228">
        <v>-221</v>
      </c>
      <c r="BL72" s="229">
        <v>-0.41720000000000002</v>
      </c>
      <c r="BM72" s="228">
        <v>166</v>
      </c>
      <c r="BN72" s="228">
        <v>135</v>
      </c>
      <c r="BO72" s="228">
        <v>31</v>
      </c>
      <c r="BP72" s="229">
        <v>0.2291</v>
      </c>
      <c r="BQ72" s="228">
        <v>702</v>
      </c>
      <c r="BR72" s="228">
        <v>848</v>
      </c>
      <c r="BS72" s="228">
        <v>-146</v>
      </c>
      <c r="BT72" s="229">
        <v>-0.17230000000000001</v>
      </c>
      <c r="BU72" s="230">
        <v>571400</v>
      </c>
      <c r="BV72" s="230">
        <v>1337493</v>
      </c>
      <c r="BW72" s="230">
        <v>-766093</v>
      </c>
      <c r="BX72" s="229">
        <v>-0.57279999999999998</v>
      </c>
      <c r="BY72" s="228">
        <v>325</v>
      </c>
      <c r="BZ72" s="228">
        <v>312</v>
      </c>
      <c r="CA72" s="228">
        <v>13</v>
      </c>
      <c r="CB72" s="229">
        <v>4.2599999999999999E-2</v>
      </c>
      <c r="CC72" s="228">
        <v>191</v>
      </c>
      <c r="CD72" s="228">
        <v>230</v>
      </c>
      <c r="CE72" s="228">
        <v>-40</v>
      </c>
      <c r="CF72" s="229">
        <v>-0.17230000000000001</v>
      </c>
      <c r="CG72" s="228">
        <v>127</v>
      </c>
      <c r="CH72" s="228">
        <v>77</v>
      </c>
      <c r="CI72" s="228">
        <v>50</v>
      </c>
      <c r="CJ72" s="229">
        <v>0.65710000000000002</v>
      </c>
      <c r="CK72" s="228">
        <v>8</v>
      </c>
      <c r="CL72" s="228">
        <v>5</v>
      </c>
      <c r="CM72" s="228">
        <v>3</v>
      </c>
      <c r="CN72" s="229">
        <v>0.50560000000000005</v>
      </c>
      <c r="CO72" s="228">
        <v>212</v>
      </c>
      <c r="CP72" s="228">
        <v>202</v>
      </c>
      <c r="CQ72" s="228">
        <v>10</v>
      </c>
      <c r="CR72" s="229">
        <v>4.7E-2</v>
      </c>
      <c r="CS72" s="228">
        <v>91</v>
      </c>
      <c r="CT72" s="228">
        <v>85</v>
      </c>
      <c r="CU72" s="228">
        <v>6</v>
      </c>
      <c r="CV72" s="229">
        <v>7.0300000000000001E-2</v>
      </c>
      <c r="CW72" s="228">
        <v>629</v>
      </c>
      <c r="CX72" s="228">
        <v>600</v>
      </c>
      <c r="CY72" s="228">
        <v>29</v>
      </c>
      <c r="CZ72" s="229">
        <v>4.8000000000000001E-2</v>
      </c>
      <c r="DA72" s="228">
        <v>61.76</v>
      </c>
      <c r="DB72" s="228">
        <v>58.2</v>
      </c>
      <c r="DC72" s="228">
        <v>3.56</v>
      </c>
      <c r="DD72" s="228">
        <v>3.56</v>
      </c>
      <c r="DE72" s="228">
        <v>70.790000000000006</v>
      </c>
      <c r="DF72" s="228">
        <v>70.959999999999994</v>
      </c>
      <c r="DG72" s="228">
        <v>-9.0299999999999994</v>
      </c>
      <c r="DH72" s="228">
        <v>-0.17</v>
      </c>
      <c r="DI72" s="228">
        <v>62.02</v>
      </c>
      <c r="DJ72" s="228">
        <v>58.25</v>
      </c>
      <c r="DK72" s="228">
        <v>3.77</v>
      </c>
      <c r="DL72" s="228">
        <v>3.77</v>
      </c>
      <c r="DM72" s="228">
        <v>59.75</v>
      </c>
      <c r="DN72" s="228">
        <v>58</v>
      </c>
      <c r="DO72" s="228">
        <v>1.75</v>
      </c>
      <c r="DP72" s="228">
        <v>1.75</v>
      </c>
      <c r="DQ72" s="228">
        <v>0.43</v>
      </c>
      <c r="DR72" s="228">
        <v>0.42</v>
      </c>
      <c r="DS72" s="228">
        <v>0.01</v>
      </c>
      <c r="DT72" s="229">
        <v>2.3800000000000002E-2</v>
      </c>
      <c r="DU72" s="231">
        <v>2300</v>
      </c>
      <c r="DV72" s="231">
        <v>2000</v>
      </c>
      <c r="DW72" s="228">
        <v>0.54</v>
      </c>
      <c r="DX72" s="228">
        <v>0.26</v>
      </c>
      <c r="DY72" s="228">
        <v>0.28000000000000003</v>
      </c>
      <c r="DZ72" s="229">
        <v>1.0769</v>
      </c>
      <c r="EA72" s="229">
        <v>0.41439999999999999</v>
      </c>
      <c r="EB72" s="230">
        <v>378950</v>
      </c>
      <c r="EC72" s="229">
        <v>-1.55E-2</v>
      </c>
      <c r="ED72" s="229">
        <v>0.41439999999999999</v>
      </c>
      <c r="EE72" s="228">
        <v>-31.96</v>
      </c>
      <c r="EF72" s="229">
        <v>-1.4800000000000001E-2</v>
      </c>
      <c r="EG72" s="230">
        <v>132454</v>
      </c>
      <c r="EH72" s="230">
        <v>369928</v>
      </c>
      <c r="EI72" s="229">
        <v>-0.64190000000000003</v>
      </c>
      <c r="EJ72" s="229">
        <v>0.23180000000000001</v>
      </c>
      <c r="EK72" s="228">
        <v>331.42</v>
      </c>
      <c r="EL72" s="228">
        <v>148.30000000000001</v>
      </c>
      <c r="EM72" s="228">
        <v>225.86</v>
      </c>
      <c r="EN72" s="228">
        <v>29.4</v>
      </c>
      <c r="EO72" s="228">
        <v>705.58</v>
      </c>
      <c r="EP72" s="228">
        <v>879.73</v>
      </c>
      <c r="EQ72" s="228">
        <v>-174.15</v>
      </c>
      <c r="ER72" s="229">
        <v>-0.19800000000000001</v>
      </c>
      <c r="ES72" s="228">
        <v>221.44</v>
      </c>
      <c r="ET72" s="228">
        <v>86.02</v>
      </c>
      <c r="EU72" s="228">
        <v>323.33</v>
      </c>
      <c r="EV72" s="231">
        <v>6329596</v>
      </c>
      <c r="EW72" s="228">
        <v>630.78</v>
      </c>
      <c r="EX72" s="228">
        <v>605.16</v>
      </c>
      <c r="EY72" s="228">
        <v>25.62</v>
      </c>
      <c r="EZ72" s="229">
        <v>4.2299999999999997E-2</v>
      </c>
      <c r="FA72" s="229">
        <v>0.4597</v>
      </c>
      <c r="FB72" s="227" t="s">
        <v>566</v>
      </c>
      <c r="FC72">
        <f t="shared" si="1"/>
        <v>134</v>
      </c>
    </row>
    <row r="73" spans="1:159" ht="17.25" thickBot="1" x14ac:dyDescent="0.3">
      <c r="A73" s="226">
        <v>46135</v>
      </c>
      <c r="B73" s="227" t="s">
        <v>168</v>
      </c>
      <c r="C73" s="227" t="s">
        <v>217</v>
      </c>
      <c r="D73" s="228">
        <v>500</v>
      </c>
      <c r="E73" s="228">
        <v>5</v>
      </c>
      <c r="F73" s="231">
        <v>1140.8</v>
      </c>
      <c r="G73" s="231">
        <v>1137.9000000000001</v>
      </c>
      <c r="H73" s="228">
        <v>2.9</v>
      </c>
      <c r="I73" s="229">
        <v>2.5000000000000001E-3</v>
      </c>
      <c r="J73" s="231">
        <v>1142.95</v>
      </c>
      <c r="K73" s="231">
        <v>1139.55</v>
      </c>
      <c r="L73" s="228">
        <v>3.4</v>
      </c>
      <c r="M73" s="229">
        <v>3.0000000000000001E-3</v>
      </c>
      <c r="N73" s="231">
        <v>1140.8</v>
      </c>
      <c r="O73" s="231">
        <v>1137.9000000000001</v>
      </c>
      <c r="P73" s="228">
        <v>2.9</v>
      </c>
      <c r="Q73" s="229">
        <v>2.5000000000000001E-3</v>
      </c>
      <c r="R73" s="231">
        <v>1142</v>
      </c>
      <c r="S73" s="231">
        <v>1139.25</v>
      </c>
      <c r="T73" s="228">
        <v>2.75</v>
      </c>
      <c r="U73" s="229">
        <v>2.3999999999999998E-3</v>
      </c>
      <c r="V73" s="231">
        <v>1147.0999999999999</v>
      </c>
      <c r="W73" s="231">
        <v>1144.8499999999999</v>
      </c>
      <c r="X73" s="228">
        <v>2.25</v>
      </c>
      <c r="Y73" s="229">
        <v>2E-3</v>
      </c>
      <c r="Z73" s="228">
        <v>-2.15</v>
      </c>
      <c r="AA73" s="228">
        <v>-1.65</v>
      </c>
      <c r="AB73" s="228">
        <v>-0.5</v>
      </c>
      <c r="AC73" s="229">
        <v>-1.9E-3</v>
      </c>
      <c r="AD73" s="228">
        <v>-2.15</v>
      </c>
      <c r="AE73" s="228">
        <v>-1.65</v>
      </c>
      <c r="AF73" s="228">
        <v>-0.5</v>
      </c>
      <c r="AG73" s="229">
        <v>-1.9E-3</v>
      </c>
      <c r="AH73" s="228">
        <v>-0.95</v>
      </c>
      <c r="AI73" s="228">
        <v>-0.3</v>
      </c>
      <c r="AJ73" s="228">
        <v>-0.65</v>
      </c>
      <c r="AK73" s="229">
        <v>-8.0000000000000004E-4</v>
      </c>
      <c r="AL73" s="228">
        <v>4.1500000000000004</v>
      </c>
      <c r="AM73" s="228">
        <v>5.3</v>
      </c>
      <c r="AN73" s="228">
        <v>-1.1499999999999999</v>
      </c>
      <c r="AO73" s="229">
        <v>3.5999999999999999E-3</v>
      </c>
      <c r="AP73" s="231">
        <v>1133.57</v>
      </c>
      <c r="AQ73" s="231">
        <v>1134.3699999999999</v>
      </c>
      <c r="AR73" s="228">
        <v>0</v>
      </c>
      <c r="AS73" s="228">
        <v>746</v>
      </c>
      <c r="AT73" s="228">
        <v>208</v>
      </c>
      <c r="AU73" s="228">
        <v>538</v>
      </c>
      <c r="AV73" s="229">
        <v>2.5832000000000002</v>
      </c>
      <c r="AW73" s="228">
        <v>385</v>
      </c>
      <c r="AX73" s="228">
        <v>158</v>
      </c>
      <c r="AY73" s="228">
        <v>227</v>
      </c>
      <c r="AZ73" s="229">
        <v>1.4319999999999999</v>
      </c>
      <c r="BA73" s="228">
        <v>359</v>
      </c>
      <c r="BB73" s="228">
        <v>48</v>
      </c>
      <c r="BC73" s="228">
        <v>312</v>
      </c>
      <c r="BD73" s="229">
        <v>6.5190999999999999</v>
      </c>
      <c r="BE73" s="228">
        <v>1</v>
      </c>
      <c r="BF73" s="228">
        <v>2</v>
      </c>
      <c r="BG73" s="228">
        <v>-1</v>
      </c>
      <c r="BH73" s="229">
        <v>-0.45450000000000002</v>
      </c>
      <c r="BI73" s="228">
        <v>210</v>
      </c>
      <c r="BJ73" s="228">
        <v>484</v>
      </c>
      <c r="BK73" s="228">
        <v>-274</v>
      </c>
      <c r="BL73" s="229">
        <v>-0.56659999999999999</v>
      </c>
      <c r="BM73" s="228">
        <v>117</v>
      </c>
      <c r="BN73" s="228">
        <v>177</v>
      </c>
      <c r="BO73" s="228">
        <v>-60</v>
      </c>
      <c r="BP73" s="229">
        <v>-0.3397</v>
      </c>
      <c r="BQ73" s="230">
        <v>1072</v>
      </c>
      <c r="BR73" s="228">
        <v>869</v>
      </c>
      <c r="BS73" s="228">
        <v>204</v>
      </c>
      <c r="BT73" s="229">
        <v>0.23430000000000001</v>
      </c>
      <c r="BU73" s="230">
        <v>985698</v>
      </c>
      <c r="BV73" s="230">
        <v>2270854</v>
      </c>
      <c r="BW73" s="230">
        <v>-1285156</v>
      </c>
      <c r="BX73" s="229">
        <v>-0.56589999999999996</v>
      </c>
      <c r="BY73" s="230">
        <v>1471</v>
      </c>
      <c r="BZ73" s="230">
        <v>1470</v>
      </c>
      <c r="CA73" s="228">
        <v>1</v>
      </c>
      <c r="CB73" s="229">
        <v>6.9999999999999999E-4</v>
      </c>
      <c r="CC73" s="230">
        <v>1024</v>
      </c>
      <c r="CD73" s="230">
        <v>1313</v>
      </c>
      <c r="CE73" s="228">
        <v>-289</v>
      </c>
      <c r="CF73" s="229">
        <v>-0.2203</v>
      </c>
      <c r="CG73" s="228">
        <v>377</v>
      </c>
      <c r="CH73" s="228">
        <v>87</v>
      </c>
      <c r="CI73" s="228">
        <v>290</v>
      </c>
      <c r="CJ73" s="229">
        <v>3.3483000000000001</v>
      </c>
      <c r="CK73" s="228">
        <v>71</v>
      </c>
      <c r="CL73" s="228">
        <v>71</v>
      </c>
      <c r="CM73" s="228">
        <v>0</v>
      </c>
      <c r="CN73" s="229">
        <v>3.2000000000000002E-3</v>
      </c>
      <c r="CO73" s="228">
        <v>214</v>
      </c>
      <c r="CP73" s="228">
        <v>220</v>
      </c>
      <c r="CQ73" s="228">
        <v>-6</v>
      </c>
      <c r="CR73" s="229">
        <v>-2.5700000000000001E-2</v>
      </c>
      <c r="CS73" s="228">
        <v>189</v>
      </c>
      <c r="CT73" s="228">
        <v>186</v>
      </c>
      <c r="CU73" s="228">
        <v>3</v>
      </c>
      <c r="CV73" s="229">
        <v>1.66E-2</v>
      </c>
      <c r="CW73" s="230">
        <v>1874</v>
      </c>
      <c r="CX73" s="230">
        <v>1876</v>
      </c>
      <c r="CY73" s="228">
        <v>-1</v>
      </c>
      <c r="CZ73" s="229">
        <v>-8.0000000000000004E-4</v>
      </c>
      <c r="DA73" s="228">
        <v>29</v>
      </c>
      <c r="DB73" s="228">
        <v>27.57</v>
      </c>
      <c r="DC73" s="228">
        <v>1.43</v>
      </c>
      <c r="DD73" s="228">
        <v>1.43</v>
      </c>
      <c r="DE73" s="228">
        <v>30.25</v>
      </c>
      <c r="DF73" s="228">
        <v>30.33</v>
      </c>
      <c r="DG73" s="228">
        <v>-1.25</v>
      </c>
      <c r="DH73" s="228">
        <v>-0.08</v>
      </c>
      <c r="DI73" s="228">
        <v>29</v>
      </c>
      <c r="DJ73" s="228">
        <v>27.38</v>
      </c>
      <c r="DK73" s="228">
        <v>1.62</v>
      </c>
      <c r="DL73" s="228">
        <v>1.62</v>
      </c>
      <c r="DM73" s="228">
        <v>29</v>
      </c>
      <c r="DN73" s="228">
        <v>28.1</v>
      </c>
      <c r="DO73" s="228">
        <v>0.9</v>
      </c>
      <c r="DP73" s="228">
        <v>0.9</v>
      </c>
      <c r="DQ73" s="228">
        <v>0.88</v>
      </c>
      <c r="DR73" s="228">
        <v>0.85</v>
      </c>
      <c r="DS73" s="228">
        <v>0.03</v>
      </c>
      <c r="DT73" s="229">
        <v>3.5299999999999998E-2</v>
      </c>
      <c r="DU73" s="231">
        <v>1180</v>
      </c>
      <c r="DV73" s="231">
        <v>1100</v>
      </c>
      <c r="DW73" s="228">
        <v>0.56000000000000005</v>
      </c>
      <c r="DX73" s="228">
        <v>0.37</v>
      </c>
      <c r="DY73" s="228">
        <v>0.19</v>
      </c>
      <c r="DZ73" s="229">
        <v>0.51349999999999996</v>
      </c>
      <c r="EA73" s="229">
        <v>0.30420000000000003</v>
      </c>
      <c r="EB73" s="230">
        <v>1378500</v>
      </c>
      <c r="EC73" s="229">
        <v>1.1000000000000001E-3</v>
      </c>
      <c r="ED73" s="229">
        <v>0.30420000000000003</v>
      </c>
      <c r="EE73" s="228">
        <v>0.8</v>
      </c>
      <c r="EF73" s="229">
        <v>6.9999999999999999E-4</v>
      </c>
      <c r="EG73" s="230">
        <v>530355</v>
      </c>
      <c r="EH73" s="230">
        <v>1549192</v>
      </c>
      <c r="EI73" s="229">
        <v>-0.65769999999999995</v>
      </c>
      <c r="EJ73" s="229">
        <v>0.53810000000000002</v>
      </c>
      <c r="EK73" s="228">
        <v>215.13</v>
      </c>
      <c r="EL73" s="228">
        <v>113.88</v>
      </c>
      <c r="EM73" s="228">
        <v>741.33</v>
      </c>
      <c r="EN73" s="228">
        <v>38.81</v>
      </c>
      <c r="EO73" s="231">
        <v>1070.3399999999999</v>
      </c>
      <c r="EP73" s="228">
        <v>879.21</v>
      </c>
      <c r="EQ73" s="228">
        <v>191.13</v>
      </c>
      <c r="ER73" s="229">
        <v>0.21740000000000001</v>
      </c>
      <c r="ES73" s="228">
        <v>212.15</v>
      </c>
      <c r="ET73" s="228">
        <v>176.09</v>
      </c>
      <c r="EU73" s="231">
        <v>1472.19</v>
      </c>
      <c r="EV73" s="231">
        <v>53250524</v>
      </c>
      <c r="EW73" s="231">
        <v>1860.43</v>
      </c>
      <c r="EX73" s="231">
        <v>1857.87</v>
      </c>
      <c r="EY73" s="228">
        <v>2.56</v>
      </c>
      <c r="EZ73" s="229">
        <v>1.4E-3</v>
      </c>
      <c r="FA73" s="229">
        <v>0.30859999999999999</v>
      </c>
      <c r="FB73" s="227" t="s">
        <v>555</v>
      </c>
      <c r="FC73">
        <f t="shared" si="1"/>
        <v>447</v>
      </c>
    </row>
    <row r="74" spans="1:159" ht="17.25" thickBot="1" x14ac:dyDescent="0.3">
      <c r="A74" s="226">
        <v>46135</v>
      </c>
      <c r="B74" s="227" t="s">
        <v>206</v>
      </c>
      <c r="C74" s="227" t="s">
        <v>218</v>
      </c>
      <c r="D74" s="228">
        <v>275</v>
      </c>
      <c r="E74" s="228">
        <v>5</v>
      </c>
      <c r="F74" s="231">
        <v>1789.3</v>
      </c>
      <c r="G74" s="231">
        <v>1828.4</v>
      </c>
      <c r="H74" s="228">
        <v>-39.1</v>
      </c>
      <c r="I74" s="229">
        <v>-2.1399999999999999E-2</v>
      </c>
      <c r="J74" s="231">
        <v>1791</v>
      </c>
      <c r="K74" s="231">
        <v>1832.2</v>
      </c>
      <c r="L74" s="228">
        <v>-41.2</v>
      </c>
      <c r="M74" s="229">
        <v>-2.2499999999999999E-2</v>
      </c>
      <c r="N74" s="231">
        <v>1789.3</v>
      </c>
      <c r="O74" s="231">
        <v>1828.4</v>
      </c>
      <c r="P74" s="228">
        <v>-39.1</v>
      </c>
      <c r="Q74" s="229">
        <v>-2.1399999999999999E-2</v>
      </c>
      <c r="R74" s="231">
        <v>1798.7</v>
      </c>
      <c r="S74" s="231">
        <v>1838.7</v>
      </c>
      <c r="T74" s="228">
        <v>-40</v>
      </c>
      <c r="U74" s="229">
        <v>-2.18E-2</v>
      </c>
      <c r="V74" s="231">
        <v>1811.9</v>
      </c>
      <c r="W74" s="231">
        <v>1848.2</v>
      </c>
      <c r="X74" s="228">
        <v>-36.299999999999997</v>
      </c>
      <c r="Y74" s="229">
        <v>-1.9599999999999999E-2</v>
      </c>
      <c r="Z74" s="228">
        <v>-1.7</v>
      </c>
      <c r="AA74" s="228">
        <v>-3.8</v>
      </c>
      <c r="AB74" s="228">
        <v>2.1</v>
      </c>
      <c r="AC74" s="229">
        <v>-8.9999999999999998E-4</v>
      </c>
      <c r="AD74" s="228">
        <v>-1.7</v>
      </c>
      <c r="AE74" s="228">
        <v>-3.8</v>
      </c>
      <c r="AF74" s="228">
        <v>2.1</v>
      </c>
      <c r="AG74" s="229">
        <v>-8.9999999999999998E-4</v>
      </c>
      <c r="AH74" s="228">
        <v>7.7</v>
      </c>
      <c r="AI74" s="228">
        <v>6.5</v>
      </c>
      <c r="AJ74" s="228">
        <v>1.2</v>
      </c>
      <c r="AK74" s="229">
        <v>4.3E-3</v>
      </c>
      <c r="AL74" s="228">
        <v>20.9</v>
      </c>
      <c r="AM74" s="228">
        <v>16</v>
      </c>
      <c r="AN74" s="228">
        <v>4.9000000000000004</v>
      </c>
      <c r="AO74" s="229">
        <v>1.17E-2</v>
      </c>
      <c r="AP74" s="231">
        <v>1808.64</v>
      </c>
      <c r="AQ74" s="231">
        <v>1818.48</v>
      </c>
      <c r="AR74" s="228">
        <v>0</v>
      </c>
      <c r="AS74" s="230">
        <v>1015</v>
      </c>
      <c r="AT74" s="228">
        <v>508</v>
      </c>
      <c r="AU74" s="228">
        <v>506</v>
      </c>
      <c r="AV74" s="229">
        <v>0.99670000000000003</v>
      </c>
      <c r="AW74" s="228">
        <v>554</v>
      </c>
      <c r="AX74" s="228">
        <v>298</v>
      </c>
      <c r="AY74" s="228">
        <v>257</v>
      </c>
      <c r="AZ74" s="229">
        <v>0.86180000000000001</v>
      </c>
      <c r="BA74" s="228">
        <v>456</v>
      </c>
      <c r="BB74" s="228">
        <v>89</v>
      </c>
      <c r="BC74" s="228">
        <v>367</v>
      </c>
      <c r="BD74" s="229">
        <v>4.1154999999999999</v>
      </c>
      <c r="BE74" s="228">
        <v>5</v>
      </c>
      <c r="BF74" s="228">
        <v>121</v>
      </c>
      <c r="BG74" s="228">
        <v>-117</v>
      </c>
      <c r="BH74" s="229">
        <v>-0.9607</v>
      </c>
      <c r="BI74" s="228">
        <v>830</v>
      </c>
      <c r="BJ74" s="228">
        <v>880</v>
      </c>
      <c r="BK74" s="228">
        <v>-51</v>
      </c>
      <c r="BL74" s="229">
        <v>-5.7500000000000002E-2</v>
      </c>
      <c r="BM74" s="228">
        <v>562</v>
      </c>
      <c r="BN74" s="228">
        <v>719</v>
      </c>
      <c r="BO74" s="228">
        <v>-157</v>
      </c>
      <c r="BP74" s="229">
        <v>-0.21820000000000001</v>
      </c>
      <c r="BQ74" s="230">
        <v>2407</v>
      </c>
      <c r="BR74" s="230">
        <v>2108</v>
      </c>
      <c r="BS74" s="228">
        <v>299</v>
      </c>
      <c r="BT74" s="229">
        <v>0.14180000000000001</v>
      </c>
      <c r="BU74" s="230">
        <v>781440</v>
      </c>
      <c r="BV74" s="230">
        <v>1144751</v>
      </c>
      <c r="BW74" s="230">
        <v>-363311</v>
      </c>
      <c r="BX74" s="229">
        <v>-0.31740000000000002</v>
      </c>
      <c r="BY74" s="230">
        <v>1409</v>
      </c>
      <c r="BZ74" s="230">
        <v>1431</v>
      </c>
      <c r="CA74" s="228">
        <v>-22</v>
      </c>
      <c r="CB74" s="229">
        <v>-1.5299999999999999E-2</v>
      </c>
      <c r="CC74" s="228">
        <v>721</v>
      </c>
      <c r="CD74" s="230">
        <v>1126</v>
      </c>
      <c r="CE74" s="228">
        <v>-405</v>
      </c>
      <c r="CF74" s="229">
        <v>-0.35970000000000002</v>
      </c>
      <c r="CG74" s="228">
        <v>553</v>
      </c>
      <c r="CH74" s="228">
        <v>170</v>
      </c>
      <c r="CI74" s="228">
        <v>383</v>
      </c>
      <c r="CJ74" s="229">
        <v>2.2454000000000001</v>
      </c>
      <c r="CK74" s="228">
        <v>135</v>
      </c>
      <c r="CL74" s="228">
        <v>134</v>
      </c>
      <c r="CM74" s="228">
        <v>0</v>
      </c>
      <c r="CN74" s="229">
        <v>3.3E-3</v>
      </c>
      <c r="CO74" s="228">
        <v>634</v>
      </c>
      <c r="CP74" s="228">
        <v>626</v>
      </c>
      <c r="CQ74" s="228">
        <v>9</v>
      </c>
      <c r="CR74" s="229">
        <v>1.43E-2</v>
      </c>
      <c r="CS74" s="228">
        <v>519</v>
      </c>
      <c r="CT74" s="228">
        <v>522</v>
      </c>
      <c r="CU74" s="228">
        <v>-3</v>
      </c>
      <c r="CV74" s="229">
        <v>-5.4999999999999997E-3</v>
      </c>
      <c r="CW74" s="230">
        <v>2562</v>
      </c>
      <c r="CX74" s="230">
        <v>2578</v>
      </c>
      <c r="CY74" s="228">
        <v>-16</v>
      </c>
      <c r="CZ74" s="229">
        <v>-6.1000000000000004E-3</v>
      </c>
      <c r="DA74" s="228">
        <v>41.15</v>
      </c>
      <c r="DB74" s="228">
        <v>38.97</v>
      </c>
      <c r="DC74" s="228">
        <v>2.1800000000000002</v>
      </c>
      <c r="DD74" s="228">
        <v>2.1800000000000002</v>
      </c>
      <c r="DE74" s="228">
        <v>45.61</v>
      </c>
      <c r="DF74" s="228">
        <v>45.63</v>
      </c>
      <c r="DG74" s="228">
        <v>-4.46</v>
      </c>
      <c r="DH74" s="228">
        <v>-0.02</v>
      </c>
      <c r="DI74" s="228">
        <v>40.47</v>
      </c>
      <c r="DJ74" s="228">
        <v>33.590000000000003</v>
      </c>
      <c r="DK74" s="228">
        <v>6.88</v>
      </c>
      <c r="DL74" s="228">
        <v>6.88</v>
      </c>
      <c r="DM74" s="228">
        <v>42.74</v>
      </c>
      <c r="DN74" s="228">
        <v>45.56</v>
      </c>
      <c r="DO74" s="228">
        <v>-2.82</v>
      </c>
      <c r="DP74" s="228">
        <v>-2.82</v>
      </c>
      <c r="DQ74" s="228">
        <v>0.82</v>
      </c>
      <c r="DR74" s="228">
        <v>0.83</v>
      </c>
      <c r="DS74" s="228">
        <v>-0.01</v>
      </c>
      <c r="DT74" s="229">
        <v>-1.2E-2</v>
      </c>
      <c r="DU74" s="231">
        <v>1900</v>
      </c>
      <c r="DV74" s="231">
        <v>1800</v>
      </c>
      <c r="DW74" s="228">
        <v>0.68</v>
      </c>
      <c r="DX74" s="228">
        <v>0.82</v>
      </c>
      <c r="DY74" s="228">
        <v>-0.14000000000000001</v>
      </c>
      <c r="DZ74" s="229">
        <v>-0.17069999999999999</v>
      </c>
      <c r="EA74" s="229">
        <v>0.48830000000000001</v>
      </c>
      <c r="EB74" s="230">
        <v>1703625</v>
      </c>
      <c r="EC74" s="229">
        <v>5.3E-3</v>
      </c>
      <c r="ED74" s="229">
        <v>0.48830000000000001</v>
      </c>
      <c r="EE74" s="228">
        <v>9.84</v>
      </c>
      <c r="EF74" s="229">
        <v>5.4000000000000003E-3</v>
      </c>
      <c r="EG74" s="230">
        <v>310883</v>
      </c>
      <c r="EH74" s="230">
        <v>535825</v>
      </c>
      <c r="EI74" s="229">
        <v>-0.41980000000000001</v>
      </c>
      <c r="EJ74" s="229">
        <v>0.39779999999999999</v>
      </c>
      <c r="EK74" s="228">
        <v>870.13</v>
      </c>
      <c r="EL74" s="228">
        <v>554.9</v>
      </c>
      <c r="EM74" s="231">
        <v>1028.1500000000001</v>
      </c>
      <c r="EN74" s="228">
        <v>57.31</v>
      </c>
      <c r="EO74" s="231">
        <v>2453.1799999999998</v>
      </c>
      <c r="EP74" s="231">
        <v>2134.9</v>
      </c>
      <c r="EQ74" s="228">
        <v>318.29000000000002</v>
      </c>
      <c r="ER74" s="229">
        <v>0.14910000000000001</v>
      </c>
      <c r="ES74" s="228">
        <v>629.34</v>
      </c>
      <c r="ET74" s="228">
        <v>481.5</v>
      </c>
      <c r="EU74" s="231">
        <v>1413.57</v>
      </c>
      <c r="EV74" s="231">
        <v>23870110</v>
      </c>
      <c r="EW74" s="231">
        <v>2524.41</v>
      </c>
      <c r="EX74" s="231">
        <v>2565.23</v>
      </c>
      <c r="EY74" s="228">
        <v>-40.82</v>
      </c>
      <c r="EZ74" s="229">
        <v>-1.5900000000000001E-2</v>
      </c>
      <c r="FA74" s="229">
        <v>0.59989999999999999</v>
      </c>
      <c r="FB74" s="227" t="s">
        <v>567</v>
      </c>
      <c r="FC74">
        <f t="shared" si="1"/>
        <v>688</v>
      </c>
    </row>
    <row r="75" spans="1:159" ht="17.25" thickBot="1" x14ac:dyDescent="0.3">
      <c r="A75" s="226">
        <v>46135</v>
      </c>
      <c r="B75" s="227" t="s">
        <v>157</v>
      </c>
      <c r="C75" s="227" t="s">
        <v>219</v>
      </c>
      <c r="D75" s="228">
        <v>250</v>
      </c>
      <c r="E75" s="228">
        <v>5</v>
      </c>
      <c r="F75" s="231">
        <v>2738.9</v>
      </c>
      <c r="G75" s="231">
        <v>2784.1</v>
      </c>
      <c r="H75" s="228">
        <v>-45.2</v>
      </c>
      <c r="I75" s="229">
        <v>-1.6199999999999999E-2</v>
      </c>
      <c r="J75" s="231">
        <v>2735</v>
      </c>
      <c r="K75" s="231">
        <v>2776.6</v>
      </c>
      <c r="L75" s="228">
        <v>-41.6</v>
      </c>
      <c r="M75" s="229">
        <v>-1.4999999999999999E-2</v>
      </c>
      <c r="N75" s="231">
        <v>2738.9</v>
      </c>
      <c r="O75" s="231">
        <v>2784.1</v>
      </c>
      <c r="P75" s="228">
        <v>-45.2</v>
      </c>
      <c r="Q75" s="229">
        <v>-1.6199999999999999E-2</v>
      </c>
      <c r="R75" s="231">
        <v>2753.1</v>
      </c>
      <c r="S75" s="231">
        <v>2799.7</v>
      </c>
      <c r="T75" s="228">
        <v>-46.6</v>
      </c>
      <c r="U75" s="229">
        <v>-1.66E-2</v>
      </c>
      <c r="V75" s="231">
        <v>2769.7</v>
      </c>
      <c r="W75" s="231">
        <v>2814.9</v>
      </c>
      <c r="X75" s="228">
        <v>-45.2</v>
      </c>
      <c r="Y75" s="229">
        <v>-1.61E-2</v>
      </c>
      <c r="Z75" s="228">
        <v>3.9</v>
      </c>
      <c r="AA75" s="228">
        <v>7.5</v>
      </c>
      <c r="AB75" s="228">
        <v>-3.6</v>
      </c>
      <c r="AC75" s="229">
        <v>1.4E-3</v>
      </c>
      <c r="AD75" s="228">
        <v>3.9</v>
      </c>
      <c r="AE75" s="228">
        <v>7.5</v>
      </c>
      <c r="AF75" s="228">
        <v>-3.6</v>
      </c>
      <c r="AG75" s="229">
        <v>1.4E-3</v>
      </c>
      <c r="AH75" s="228">
        <v>18.100000000000001</v>
      </c>
      <c r="AI75" s="228">
        <v>23.1</v>
      </c>
      <c r="AJ75" s="228">
        <v>-5</v>
      </c>
      <c r="AK75" s="229">
        <v>6.6E-3</v>
      </c>
      <c r="AL75" s="228">
        <v>34.700000000000003</v>
      </c>
      <c r="AM75" s="228">
        <v>38.299999999999997</v>
      </c>
      <c r="AN75" s="228">
        <v>-3.6</v>
      </c>
      <c r="AO75" s="229">
        <v>1.2699999999999999E-2</v>
      </c>
      <c r="AP75" s="231">
        <v>2754.75</v>
      </c>
      <c r="AQ75" s="231">
        <v>2769.38</v>
      </c>
      <c r="AR75" s="228">
        <v>0</v>
      </c>
      <c r="AS75" s="230">
        <v>1957</v>
      </c>
      <c r="AT75" s="230">
        <v>1153</v>
      </c>
      <c r="AU75" s="228">
        <v>804</v>
      </c>
      <c r="AV75" s="229">
        <v>0.69730000000000003</v>
      </c>
      <c r="AW75" s="228">
        <v>993</v>
      </c>
      <c r="AX75" s="228">
        <v>615</v>
      </c>
      <c r="AY75" s="228">
        <v>378</v>
      </c>
      <c r="AZ75" s="229">
        <v>0.61429999999999996</v>
      </c>
      <c r="BA75" s="228">
        <v>909</v>
      </c>
      <c r="BB75" s="228">
        <v>513</v>
      </c>
      <c r="BC75" s="228">
        <v>396</v>
      </c>
      <c r="BD75" s="229">
        <v>0.77090000000000003</v>
      </c>
      <c r="BE75" s="228">
        <v>55</v>
      </c>
      <c r="BF75" s="228">
        <v>25</v>
      </c>
      <c r="BG75" s="228">
        <v>30</v>
      </c>
      <c r="BH75" s="229">
        <v>1.2402</v>
      </c>
      <c r="BI75" s="228">
        <v>312</v>
      </c>
      <c r="BJ75" s="228">
        <v>720</v>
      </c>
      <c r="BK75" s="228">
        <v>-408</v>
      </c>
      <c r="BL75" s="229">
        <v>-0.5665</v>
      </c>
      <c r="BM75" s="228">
        <v>230</v>
      </c>
      <c r="BN75" s="228">
        <v>329</v>
      </c>
      <c r="BO75" s="228">
        <v>-99</v>
      </c>
      <c r="BP75" s="229">
        <v>-0.3014</v>
      </c>
      <c r="BQ75" s="230">
        <v>2499</v>
      </c>
      <c r="BR75" s="230">
        <v>2202</v>
      </c>
      <c r="BS75" s="228">
        <v>298</v>
      </c>
      <c r="BT75" s="229">
        <v>0.1351</v>
      </c>
      <c r="BU75" s="230">
        <v>919493</v>
      </c>
      <c r="BV75" s="230">
        <v>939445</v>
      </c>
      <c r="BW75" s="230">
        <v>-19952</v>
      </c>
      <c r="BX75" s="229">
        <v>-2.12E-2</v>
      </c>
      <c r="BY75" s="230">
        <v>3913</v>
      </c>
      <c r="BZ75" s="230">
        <v>3881</v>
      </c>
      <c r="CA75" s="228">
        <v>32</v>
      </c>
      <c r="CB75" s="229">
        <v>8.3000000000000001E-3</v>
      </c>
      <c r="CC75" s="230">
        <v>1668</v>
      </c>
      <c r="CD75" s="230">
        <v>2523</v>
      </c>
      <c r="CE75" s="228">
        <v>-855</v>
      </c>
      <c r="CF75" s="229">
        <v>-0.33879999999999999</v>
      </c>
      <c r="CG75" s="230">
        <v>2067</v>
      </c>
      <c r="CH75" s="230">
        <v>1232</v>
      </c>
      <c r="CI75" s="228">
        <v>835</v>
      </c>
      <c r="CJ75" s="229">
        <v>0.67779999999999996</v>
      </c>
      <c r="CK75" s="228">
        <v>178</v>
      </c>
      <c r="CL75" s="228">
        <v>126</v>
      </c>
      <c r="CM75" s="228">
        <v>52</v>
      </c>
      <c r="CN75" s="229">
        <v>0.41139999999999999</v>
      </c>
      <c r="CO75" s="228">
        <v>408</v>
      </c>
      <c r="CP75" s="228">
        <v>419</v>
      </c>
      <c r="CQ75" s="228">
        <v>-11</v>
      </c>
      <c r="CR75" s="229">
        <v>-2.5700000000000001E-2</v>
      </c>
      <c r="CS75" s="228">
        <v>361</v>
      </c>
      <c r="CT75" s="228">
        <v>352</v>
      </c>
      <c r="CU75" s="228">
        <v>9</v>
      </c>
      <c r="CV75" s="229">
        <v>2.5700000000000001E-2</v>
      </c>
      <c r="CW75" s="230">
        <v>4682</v>
      </c>
      <c r="CX75" s="230">
        <v>4652</v>
      </c>
      <c r="CY75" s="228">
        <v>30</v>
      </c>
      <c r="CZ75" s="229">
        <v>6.4999999999999997E-3</v>
      </c>
      <c r="DA75" s="228">
        <v>27.25</v>
      </c>
      <c r="DB75" s="228">
        <v>24.37</v>
      </c>
      <c r="DC75" s="228">
        <v>2.88</v>
      </c>
      <c r="DD75" s="228">
        <v>2.88</v>
      </c>
      <c r="DE75" s="228">
        <v>28.24</v>
      </c>
      <c r="DF75" s="228">
        <v>28.22</v>
      </c>
      <c r="DG75" s="228">
        <v>-0.99</v>
      </c>
      <c r="DH75" s="228">
        <v>0.02</v>
      </c>
      <c r="DI75" s="228">
        <v>27.42</v>
      </c>
      <c r="DJ75" s="228">
        <v>22.66</v>
      </c>
      <c r="DK75" s="228">
        <v>4.76</v>
      </c>
      <c r="DL75" s="228">
        <v>4.76</v>
      </c>
      <c r="DM75" s="228">
        <v>27.11</v>
      </c>
      <c r="DN75" s="228">
        <v>28.12</v>
      </c>
      <c r="DO75" s="228">
        <v>-1.01</v>
      </c>
      <c r="DP75" s="228">
        <v>-1.01</v>
      </c>
      <c r="DQ75" s="228">
        <v>0.88</v>
      </c>
      <c r="DR75" s="228">
        <v>0.84</v>
      </c>
      <c r="DS75" s="228">
        <v>0.04</v>
      </c>
      <c r="DT75" s="229">
        <v>4.7600000000000003E-2</v>
      </c>
      <c r="DU75" s="231">
        <v>2800</v>
      </c>
      <c r="DV75" s="231">
        <v>2700</v>
      </c>
      <c r="DW75" s="228">
        <v>0.74</v>
      </c>
      <c r="DX75" s="228">
        <v>0.46</v>
      </c>
      <c r="DY75" s="228">
        <v>0.28000000000000003</v>
      </c>
      <c r="DZ75" s="229">
        <v>0.60870000000000002</v>
      </c>
      <c r="EA75" s="229">
        <v>0.57369999999999999</v>
      </c>
      <c r="EB75" s="230">
        <v>4958250</v>
      </c>
      <c r="EC75" s="229">
        <v>5.1999999999999998E-3</v>
      </c>
      <c r="ED75" s="229">
        <v>0.57369999999999999</v>
      </c>
      <c r="EE75" s="228">
        <v>14.63</v>
      </c>
      <c r="EF75" s="229">
        <v>5.3E-3</v>
      </c>
      <c r="EG75" s="230">
        <v>557782</v>
      </c>
      <c r="EH75" s="230">
        <v>539407</v>
      </c>
      <c r="EI75" s="229">
        <v>3.4099999999999998E-2</v>
      </c>
      <c r="EJ75" s="229">
        <v>0.60660000000000003</v>
      </c>
      <c r="EK75" s="228">
        <v>322.10000000000002</v>
      </c>
      <c r="EL75" s="228">
        <v>229.77</v>
      </c>
      <c r="EM75" s="231">
        <v>1974.43</v>
      </c>
      <c r="EN75" s="228">
        <v>98.97</v>
      </c>
      <c r="EO75" s="231">
        <v>2526.29</v>
      </c>
      <c r="EP75" s="231">
        <v>2254.33</v>
      </c>
      <c r="EQ75" s="228">
        <v>271.95999999999998</v>
      </c>
      <c r="ER75" s="229">
        <v>0.1206</v>
      </c>
      <c r="ES75" s="228">
        <v>420.37</v>
      </c>
      <c r="ET75" s="228">
        <v>343.15</v>
      </c>
      <c r="EU75" s="231">
        <v>3925.37</v>
      </c>
      <c r="EV75" s="231">
        <v>38401443</v>
      </c>
      <c r="EW75" s="231">
        <v>4688.8900000000003</v>
      </c>
      <c r="EX75" s="231">
        <v>4719.38</v>
      </c>
      <c r="EY75" s="228">
        <v>-30.49</v>
      </c>
      <c r="EZ75" s="229">
        <v>-6.4999999999999997E-3</v>
      </c>
      <c r="FA75" s="229">
        <v>0.4451</v>
      </c>
      <c r="FB75" s="227" t="s">
        <v>566</v>
      </c>
      <c r="FC75">
        <f t="shared" si="1"/>
        <v>2245</v>
      </c>
    </row>
    <row r="76" spans="1:159" ht="17.25" thickBot="1" x14ac:dyDescent="0.3">
      <c r="A76" s="226">
        <v>46135</v>
      </c>
      <c r="B76" s="227" t="s">
        <v>184</v>
      </c>
      <c r="C76" s="227" t="s">
        <v>513</v>
      </c>
      <c r="D76" s="228">
        <v>150</v>
      </c>
      <c r="E76" s="228">
        <v>5</v>
      </c>
      <c r="F76" s="231">
        <v>4357.7</v>
      </c>
      <c r="G76" s="231">
        <v>4399.8</v>
      </c>
      <c r="H76" s="228">
        <v>-42.1</v>
      </c>
      <c r="I76" s="229">
        <v>-9.5999999999999992E-3</v>
      </c>
      <c r="J76" s="231">
        <v>4352.5</v>
      </c>
      <c r="K76" s="231">
        <v>4400.6000000000004</v>
      </c>
      <c r="L76" s="228">
        <v>-48.1</v>
      </c>
      <c r="M76" s="229">
        <v>-1.09E-2</v>
      </c>
      <c r="N76" s="231">
        <v>4357.7</v>
      </c>
      <c r="O76" s="231">
        <v>4399.8</v>
      </c>
      <c r="P76" s="228">
        <v>-42.1</v>
      </c>
      <c r="Q76" s="229">
        <v>-9.5999999999999992E-3</v>
      </c>
      <c r="R76" s="231">
        <v>4381.7</v>
      </c>
      <c r="S76" s="231">
        <v>4424.2</v>
      </c>
      <c r="T76" s="228">
        <v>-42.5</v>
      </c>
      <c r="U76" s="229">
        <v>-9.5999999999999992E-3</v>
      </c>
      <c r="V76" s="231">
        <v>4407.2</v>
      </c>
      <c r="W76" s="231">
        <v>4452</v>
      </c>
      <c r="X76" s="228">
        <v>-44.8</v>
      </c>
      <c r="Y76" s="229">
        <v>-1.01E-2</v>
      </c>
      <c r="Z76" s="228">
        <v>5.2</v>
      </c>
      <c r="AA76" s="228">
        <v>-0.8</v>
      </c>
      <c r="AB76" s="228">
        <v>6</v>
      </c>
      <c r="AC76" s="229">
        <v>1.1999999999999999E-3</v>
      </c>
      <c r="AD76" s="228">
        <v>5.2</v>
      </c>
      <c r="AE76" s="228">
        <v>-0.8</v>
      </c>
      <c r="AF76" s="228">
        <v>6</v>
      </c>
      <c r="AG76" s="229">
        <v>1.1999999999999999E-3</v>
      </c>
      <c r="AH76" s="228">
        <v>29.2</v>
      </c>
      <c r="AI76" s="228">
        <v>23.6</v>
      </c>
      <c r="AJ76" s="228">
        <v>5.6</v>
      </c>
      <c r="AK76" s="229">
        <v>6.7000000000000002E-3</v>
      </c>
      <c r="AL76" s="228">
        <v>54.7</v>
      </c>
      <c r="AM76" s="228">
        <v>51.4</v>
      </c>
      <c r="AN76" s="228">
        <v>3.3</v>
      </c>
      <c r="AO76" s="229">
        <v>1.26E-2</v>
      </c>
      <c r="AP76" s="231">
        <v>4360.5200000000004</v>
      </c>
      <c r="AQ76" s="231">
        <v>4382.9399999999996</v>
      </c>
      <c r="AR76" s="228">
        <v>0</v>
      </c>
      <c r="AS76" s="230">
        <v>1178</v>
      </c>
      <c r="AT76" s="228">
        <v>897</v>
      </c>
      <c r="AU76" s="228">
        <v>281</v>
      </c>
      <c r="AV76" s="229">
        <v>0.31340000000000001</v>
      </c>
      <c r="AW76" s="228">
        <v>624</v>
      </c>
      <c r="AX76" s="228">
        <v>529</v>
      </c>
      <c r="AY76" s="228">
        <v>94</v>
      </c>
      <c r="AZ76" s="229">
        <v>0.17849999999999999</v>
      </c>
      <c r="BA76" s="228">
        <v>541</v>
      </c>
      <c r="BB76" s="228">
        <v>204</v>
      </c>
      <c r="BC76" s="228">
        <v>337</v>
      </c>
      <c r="BD76" s="229">
        <v>1.6506000000000001</v>
      </c>
      <c r="BE76" s="228">
        <v>13</v>
      </c>
      <c r="BF76" s="228">
        <v>163</v>
      </c>
      <c r="BG76" s="228">
        <v>-151</v>
      </c>
      <c r="BH76" s="229">
        <v>-0.92079999999999995</v>
      </c>
      <c r="BI76" s="230">
        <v>1999</v>
      </c>
      <c r="BJ76" s="230">
        <v>2181</v>
      </c>
      <c r="BK76" s="228">
        <v>-182</v>
      </c>
      <c r="BL76" s="229">
        <v>-8.3500000000000005E-2</v>
      </c>
      <c r="BM76" s="230">
        <v>1059</v>
      </c>
      <c r="BN76" s="230">
        <v>1082</v>
      </c>
      <c r="BO76" s="228">
        <v>-23</v>
      </c>
      <c r="BP76" s="229">
        <v>-2.1299999999999999E-2</v>
      </c>
      <c r="BQ76" s="230">
        <v>4236</v>
      </c>
      <c r="BR76" s="230">
        <v>4160</v>
      </c>
      <c r="BS76" s="228">
        <v>76</v>
      </c>
      <c r="BT76" s="229">
        <v>1.83E-2</v>
      </c>
      <c r="BU76" s="230">
        <v>668128</v>
      </c>
      <c r="BV76" s="230">
        <v>838309</v>
      </c>
      <c r="BW76" s="230">
        <v>-170181</v>
      </c>
      <c r="BX76" s="229">
        <v>-0.20300000000000001</v>
      </c>
      <c r="BY76" s="230">
        <v>3310</v>
      </c>
      <c r="BZ76" s="230">
        <v>3281</v>
      </c>
      <c r="CA76" s="228">
        <v>29</v>
      </c>
      <c r="CB76" s="229">
        <v>8.8000000000000005E-3</v>
      </c>
      <c r="CC76" s="230">
        <v>2046</v>
      </c>
      <c r="CD76" s="230">
        <v>2472</v>
      </c>
      <c r="CE76" s="228">
        <v>-426</v>
      </c>
      <c r="CF76" s="229">
        <v>-0.17219999999999999</v>
      </c>
      <c r="CG76" s="228">
        <v>999</v>
      </c>
      <c r="CH76" s="228">
        <v>550</v>
      </c>
      <c r="CI76" s="228">
        <v>449</v>
      </c>
      <c r="CJ76" s="229">
        <v>0.81589999999999996</v>
      </c>
      <c r="CK76" s="228">
        <v>264</v>
      </c>
      <c r="CL76" s="228">
        <v>259</v>
      </c>
      <c r="CM76" s="228">
        <v>6</v>
      </c>
      <c r="CN76" s="229">
        <v>2.1499999999999998E-2</v>
      </c>
      <c r="CO76" s="230">
        <v>1463</v>
      </c>
      <c r="CP76" s="230">
        <v>1484</v>
      </c>
      <c r="CQ76" s="228">
        <v>-22</v>
      </c>
      <c r="CR76" s="229">
        <v>-1.46E-2</v>
      </c>
      <c r="CS76" s="230">
        <v>1384</v>
      </c>
      <c r="CT76" s="230">
        <v>1386</v>
      </c>
      <c r="CU76" s="228">
        <v>-3</v>
      </c>
      <c r="CV76" s="229">
        <v>-2E-3</v>
      </c>
      <c r="CW76" s="230">
        <v>6156</v>
      </c>
      <c r="CX76" s="230">
        <v>6152</v>
      </c>
      <c r="CY76" s="228">
        <v>4</v>
      </c>
      <c r="CZ76" s="229">
        <v>6.9999999999999999E-4</v>
      </c>
      <c r="DA76" s="228">
        <v>33.47</v>
      </c>
      <c r="DB76" s="228">
        <v>30.36</v>
      </c>
      <c r="DC76" s="228">
        <v>3.11</v>
      </c>
      <c r="DD76" s="228">
        <v>3.11</v>
      </c>
      <c r="DE76" s="228">
        <v>38.86</v>
      </c>
      <c r="DF76" s="228">
        <v>38.94</v>
      </c>
      <c r="DG76" s="228">
        <v>-5.39</v>
      </c>
      <c r="DH76" s="228">
        <v>-0.08</v>
      </c>
      <c r="DI76" s="228">
        <v>33.75</v>
      </c>
      <c r="DJ76" s="228">
        <v>28.47</v>
      </c>
      <c r="DK76" s="228">
        <v>5.28</v>
      </c>
      <c r="DL76" s="228">
        <v>5.28</v>
      </c>
      <c r="DM76" s="228">
        <v>33</v>
      </c>
      <c r="DN76" s="228">
        <v>34.159999999999997</v>
      </c>
      <c r="DO76" s="228">
        <v>-1.1599999999999999</v>
      </c>
      <c r="DP76" s="228">
        <v>-1.1599999999999999</v>
      </c>
      <c r="DQ76" s="228">
        <v>0.95</v>
      </c>
      <c r="DR76" s="228">
        <v>0.93</v>
      </c>
      <c r="DS76" s="228">
        <v>0.02</v>
      </c>
      <c r="DT76" s="229">
        <v>2.1499999999999998E-2</v>
      </c>
      <c r="DU76" s="231">
        <v>4500</v>
      </c>
      <c r="DV76" s="231">
        <v>4000</v>
      </c>
      <c r="DW76" s="228">
        <v>0.53</v>
      </c>
      <c r="DX76" s="228">
        <v>0.5</v>
      </c>
      <c r="DY76" s="228">
        <v>0.03</v>
      </c>
      <c r="DZ76" s="229">
        <v>0.06</v>
      </c>
      <c r="EA76" s="229">
        <v>0.38179999999999997</v>
      </c>
      <c r="EB76" s="230">
        <v>1856850</v>
      </c>
      <c r="EC76" s="229">
        <v>5.4999999999999997E-3</v>
      </c>
      <c r="ED76" s="229">
        <v>0.38179999999999997</v>
      </c>
      <c r="EE76" s="228">
        <v>22.42</v>
      </c>
      <c r="EF76" s="229">
        <v>5.1000000000000004E-3</v>
      </c>
      <c r="EG76" s="230">
        <v>265854</v>
      </c>
      <c r="EH76" s="230">
        <v>408153</v>
      </c>
      <c r="EI76" s="229">
        <v>-0.34860000000000002</v>
      </c>
      <c r="EJ76" s="229">
        <v>0.39789999999999998</v>
      </c>
      <c r="EK76" s="231">
        <v>2072.96</v>
      </c>
      <c r="EL76" s="231">
        <v>1031.55</v>
      </c>
      <c r="EM76" s="231">
        <v>1181.6500000000001</v>
      </c>
      <c r="EN76" s="228">
        <v>98.86</v>
      </c>
      <c r="EO76" s="231">
        <v>4286.17</v>
      </c>
      <c r="EP76" s="231">
        <v>4219.7299999999996</v>
      </c>
      <c r="EQ76" s="228">
        <v>66.44</v>
      </c>
      <c r="ER76" s="229">
        <v>1.5699999999999999E-2</v>
      </c>
      <c r="ES76" s="231">
        <v>1432.7</v>
      </c>
      <c r="ET76" s="231">
        <v>1271.8900000000001</v>
      </c>
      <c r="EU76" s="231">
        <v>3318.62</v>
      </c>
      <c r="EV76" s="231">
        <v>28450886</v>
      </c>
      <c r="EW76" s="231">
        <v>6023.2</v>
      </c>
      <c r="EX76" s="231">
        <v>6041.63</v>
      </c>
      <c r="EY76" s="228">
        <v>-18.43</v>
      </c>
      <c r="EZ76" s="229">
        <v>-3.0999999999999999E-3</v>
      </c>
      <c r="FA76" s="229">
        <v>0.49659999999999999</v>
      </c>
      <c r="FB76" s="227" t="s">
        <v>566</v>
      </c>
      <c r="FC76">
        <f t="shared" si="1"/>
        <v>1264</v>
      </c>
    </row>
    <row r="77" spans="1:159" ht="17.25" thickBot="1" x14ac:dyDescent="0.3">
      <c r="A77" s="226">
        <v>46135</v>
      </c>
      <c r="B77" s="227" t="s">
        <v>184</v>
      </c>
      <c r="C77" s="227" t="s">
        <v>220</v>
      </c>
      <c r="D77" s="228">
        <v>500</v>
      </c>
      <c r="E77" s="228">
        <v>5</v>
      </c>
      <c r="F77" s="231">
        <v>1243</v>
      </c>
      <c r="G77" s="231">
        <v>1343.7</v>
      </c>
      <c r="H77" s="228">
        <v>-100.7</v>
      </c>
      <c r="I77" s="229">
        <v>-7.4899999999999994E-2</v>
      </c>
      <c r="J77" s="231">
        <v>1260.3</v>
      </c>
      <c r="K77" s="231">
        <v>1348.7</v>
      </c>
      <c r="L77" s="228">
        <v>-88.4</v>
      </c>
      <c r="M77" s="229">
        <v>-6.5500000000000003E-2</v>
      </c>
      <c r="N77" s="231">
        <v>1243</v>
      </c>
      <c r="O77" s="231">
        <v>1343.7</v>
      </c>
      <c r="P77" s="228">
        <v>-100.7</v>
      </c>
      <c r="Q77" s="229">
        <v>-7.4899999999999994E-2</v>
      </c>
      <c r="R77" s="231">
        <v>1233</v>
      </c>
      <c r="S77" s="231">
        <v>1347</v>
      </c>
      <c r="T77" s="228">
        <v>-114</v>
      </c>
      <c r="U77" s="229">
        <v>-8.4599999999999995E-2</v>
      </c>
      <c r="V77" s="231">
        <v>1233.0999999999999</v>
      </c>
      <c r="W77" s="231">
        <v>1348.7</v>
      </c>
      <c r="X77" s="228">
        <v>-115.6</v>
      </c>
      <c r="Y77" s="229">
        <v>-8.5699999999999998E-2</v>
      </c>
      <c r="Z77" s="228">
        <v>-17.3</v>
      </c>
      <c r="AA77" s="228">
        <v>-5</v>
      </c>
      <c r="AB77" s="228">
        <v>-12.3</v>
      </c>
      <c r="AC77" s="229">
        <v>-1.37E-2</v>
      </c>
      <c r="AD77" s="228">
        <v>-17.3</v>
      </c>
      <c r="AE77" s="228">
        <v>-5</v>
      </c>
      <c r="AF77" s="228">
        <v>-12.3</v>
      </c>
      <c r="AG77" s="229">
        <v>-1.37E-2</v>
      </c>
      <c r="AH77" s="228">
        <v>-27.3</v>
      </c>
      <c r="AI77" s="228">
        <v>-1.7</v>
      </c>
      <c r="AJ77" s="228">
        <v>-25.6</v>
      </c>
      <c r="AK77" s="229">
        <v>-2.1700000000000001E-2</v>
      </c>
      <c r="AL77" s="228">
        <v>-27.2</v>
      </c>
      <c r="AM77" s="228">
        <v>0</v>
      </c>
      <c r="AN77" s="228">
        <v>-27.2</v>
      </c>
      <c r="AO77" s="229">
        <v>-2.1600000000000001E-2</v>
      </c>
      <c r="AP77" s="231">
        <v>1259.44</v>
      </c>
      <c r="AQ77" s="231">
        <v>1253.6099999999999</v>
      </c>
      <c r="AR77" s="228">
        <v>0</v>
      </c>
      <c r="AS77" s="230">
        <v>1921</v>
      </c>
      <c r="AT77" s="230">
        <v>1736</v>
      </c>
      <c r="AU77" s="228">
        <v>185</v>
      </c>
      <c r="AV77" s="229">
        <v>0.1066</v>
      </c>
      <c r="AW77" s="228">
        <v>998</v>
      </c>
      <c r="AX77" s="230">
        <v>1372</v>
      </c>
      <c r="AY77" s="228">
        <v>-374</v>
      </c>
      <c r="AZ77" s="229">
        <v>-0.27260000000000001</v>
      </c>
      <c r="BA77" s="228">
        <v>877</v>
      </c>
      <c r="BB77" s="228">
        <v>342</v>
      </c>
      <c r="BC77" s="228">
        <v>535</v>
      </c>
      <c r="BD77" s="229">
        <v>1.5645</v>
      </c>
      <c r="BE77" s="228">
        <v>46</v>
      </c>
      <c r="BF77" s="228">
        <v>22</v>
      </c>
      <c r="BG77" s="228">
        <v>24</v>
      </c>
      <c r="BH77" s="229">
        <v>1.0722</v>
      </c>
      <c r="BI77" s="230">
        <v>6164</v>
      </c>
      <c r="BJ77" s="230">
        <v>10295</v>
      </c>
      <c r="BK77" s="230">
        <v>-4131</v>
      </c>
      <c r="BL77" s="229">
        <v>-0.40129999999999999</v>
      </c>
      <c r="BM77" s="230">
        <v>3782</v>
      </c>
      <c r="BN77" s="230">
        <v>4264</v>
      </c>
      <c r="BO77" s="228">
        <v>-482</v>
      </c>
      <c r="BP77" s="229">
        <v>-0.11310000000000001</v>
      </c>
      <c r="BQ77" s="230">
        <v>11867</v>
      </c>
      <c r="BR77" s="230">
        <v>16295</v>
      </c>
      <c r="BS77" s="230">
        <v>-4428</v>
      </c>
      <c r="BT77" s="229">
        <v>-0.2717</v>
      </c>
      <c r="BU77" s="230">
        <v>5962026</v>
      </c>
      <c r="BV77" s="230">
        <v>4974464</v>
      </c>
      <c r="BW77" s="230">
        <v>987562</v>
      </c>
      <c r="BX77" s="229">
        <v>0.19850000000000001</v>
      </c>
      <c r="BY77" s="230">
        <v>1357</v>
      </c>
      <c r="BZ77" s="230">
        <v>1303</v>
      </c>
      <c r="CA77" s="228">
        <v>55</v>
      </c>
      <c r="CB77" s="229">
        <v>4.19E-2</v>
      </c>
      <c r="CC77" s="228">
        <v>705</v>
      </c>
      <c r="CD77" s="230">
        <v>1100</v>
      </c>
      <c r="CE77" s="228">
        <v>-395</v>
      </c>
      <c r="CF77" s="229">
        <v>-0.35930000000000001</v>
      </c>
      <c r="CG77" s="228">
        <v>622</v>
      </c>
      <c r="CH77" s="228">
        <v>193</v>
      </c>
      <c r="CI77" s="228">
        <v>429</v>
      </c>
      <c r="CJ77" s="229">
        <v>2.2269000000000001</v>
      </c>
      <c r="CK77" s="228">
        <v>30</v>
      </c>
      <c r="CL77" s="228">
        <v>9</v>
      </c>
      <c r="CM77" s="228">
        <v>21</v>
      </c>
      <c r="CN77" s="229">
        <v>2.2067000000000001</v>
      </c>
      <c r="CO77" s="230">
        <v>1782</v>
      </c>
      <c r="CP77" s="230">
        <v>1411</v>
      </c>
      <c r="CQ77" s="228">
        <v>371</v>
      </c>
      <c r="CR77" s="229">
        <v>0.2626</v>
      </c>
      <c r="CS77" s="228">
        <v>740</v>
      </c>
      <c r="CT77" s="228">
        <v>675</v>
      </c>
      <c r="CU77" s="228">
        <v>66</v>
      </c>
      <c r="CV77" s="229">
        <v>9.7500000000000003E-2</v>
      </c>
      <c r="CW77" s="230">
        <v>3880</v>
      </c>
      <c r="CX77" s="230">
        <v>3389</v>
      </c>
      <c r="CY77" s="228">
        <v>491</v>
      </c>
      <c r="CZ77" s="229">
        <v>0.1449</v>
      </c>
      <c r="DA77" s="228">
        <v>34.01</v>
      </c>
      <c r="DB77" s="228">
        <v>45.89</v>
      </c>
      <c r="DC77" s="228">
        <v>-11.88</v>
      </c>
      <c r="DD77" s="228">
        <v>-11.88</v>
      </c>
      <c r="DE77" s="228">
        <v>31.25</v>
      </c>
      <c r="DF77" s="228">
        <v>29.5</v>
      </c>
      <c r="DG77" s="228">
        <v>2.76</v>
      </c>
      <c r="DH77" s="228">
        <v>1.75</v>
      </c>
      <c r="DI77" s="228">
        <v>34.4</v>
      </c>
      <c r="DJ77" s="228">
        <v>46.31</v>
      </c>
      <c r="DK77" s="228">
        <v>-11.91</v>
      </c>
      <c r="DL77" s="228">
        <v>-11.91</v>
      </c>
      <c r="DM77" s="228">
        <v>33.11</v>
      </c>
      <c r="DN77" s="228">
        <v>44.89</v>
      </c>
      <c r="DO77" s="228">
        <v>-11.78</v>
      </c>
      <c r="DP77" s="228">
        <v>-11.78</v>
      </c>
      <c r="DQ77" s="228">
        <v>0.42</v>
      </c>
      <c r="DR77" s="228">
        <v>0.48</v>
      </c>
      <c r="DS77" s="228">
        <v>-0.06</v>
      </c>
      <c r="DT77" s="229">
        <v>-0.125</v>
      </c>
      <c r="DU77" s="231">
        <v>1400</v>
      </c>
      <c r="DV77" s="231">
        <v>1200</v>
      </c>
      <c r="DW77" s="228">
        <v>0.61</v>
      </c>
      <c r="DX77" s="228">
        <v>0.41</v>
      </c>
      <c r="DY77" s="228">
        <v>0.2</v>
      </c>
      <c r="DZ77" s="229">
        <v>0.48780000000000001</v>
      </c>
      <c r="EA77" s="229">
        <v>0.48060000000000003</v>
      </c>
      <c r="EB77" s="230">
        <v>1626500</v>
      </c>
      <c r="EC77" s="229">
        <v>-8.0000000000000002E-3</v>
      </c>
      <c r="ED77" s="229">
        <v>0.48060000000000003</v>
      </c>
      <c r="EE77" s="228">
        <v>-5.83</v>
      </c>
      <c r="EF77" s="229">
        <v>-4.5999999999999999E-3</v>
      </c>
      <c r="EG77" s="230">
        <v>2562302</v>
      </c>
      <c r="EH77" s="230">
        <v>1029559</v>
      </c>
      <c r="EI77" s="229">
        <v>1.4886999999999999</v>
      </c>
      <c r="EJ77" s="229">
        <v>0.42980000000000002</v>
      </c>
      <c r="EK77" s="231">
        <v>6710.67</v>
      </c>
      <c r="EL77" s="231">
        <v>3874.85</v>
      </c>
      <c r="EM77" s="231">
        <v>1942.45</v>
      </c>
      <c r="EN77" s="228">
        <v>85.17</v>
      </c>
      <c r="EO77" s="231">
        <v>12527.97</v>
      </c>
      <c r="EP77" s="231">
        <v>18254.04</v>
      </c>
      <c r="EQ77" s="231">
        <v>-5726.07</v>
      </c>
      <c r="ER77" s="229">
        <v>-0.31369999999999998</v>
      </c>
      <c r="ES77" s="231">
        <v>1957.41</v>
      </c>
      <c r="ET77" s="228">
        <v>747.87</v>
      </c>
      <c r="EU77" s="231">
        <v>1351.92</v>
      </c>
      <c r="EV77" s="231">
        <v>29751886</v>
      </c>
      <c r="EW77" s="231">
        <v>4057.2</v>
      </c>
      <c r="EX77" s="231">
        <v>3687.9</v>
      </c>
      <c r="EY77" s="228">
        <v>369.3</v>
      </c>
      <c r="EZ77" s="229">
        <v>0.10009999999999999</v>
      </c>
      <c r="FA77" s="229">
        <v>1.0490999999999999</v>
      </c>
      <c r="FB77" s="227" t="s">
        <v>566</v>
      </c>
      <c r="FC77">
        <f t="shared" si="1"/>
        <v>652</v>
      </c>
    </row>
    <row r="78" spans="1:159" ht="17.25" thickBot="1" x14ac:dyDescent="0.3">
      <c r="A78" s="226">
        <v>46135</v>
      </c>
      <c r="B78" s="227" t="s">
        <v>221</v>
      </c>
      <c r="C78" s="227" t="s">
        <v>222</v>
      </c>
      <c r="D78" s="228">
        <v>350</v>
      </c>
      <c r="E78" s="228">
        <v>5</v>
      </c>
      <c r="F78" s="231">
        <v>1247.9000000000001</v>
      </c>
      <c r="G78" s="231">
        <v>1264.5</v>
      </c>
      <c r="H78" s="228">
        <v>-16.600000000000001</v>
      </c>
      <c r="I78" s="229">
        <v>-1.3100000000000001E-2</v>
      </c>
      <c r="J78" s="231">
        <v>1277.5999999999999</v>
      </c>
      <c r="K78" s="231">
        <v>1285.3</v>
      </c>
      <c r="L78" s="228">
        <v>-7.7</v>
      </c>
      <c r="M78" s="229">
        <v>-6.0000000000000001E-3</v>
      </c>
      <c r="N78" s="231">
        <v>1247.9000000000001</v>
      </c>
      <c r="O78" s="231">
        <v>1264.5</v>
      </c>
      <c r="P78" s="228">
        <v>-16.600000000000001</v>
      </c>
      <c r="Q78" s="229">
        <v>-1.3100000000000001E-2</v>
      </c>
      <c r="R78" s="231">
        <v>1231.2</v>
      </c>
      <c r="S78" s="231">
        <v>1255.0999999999999</v>
      </c>
      <c r="T78" s="228">
        <v>-23.9</v>
      </c>
      <c r="U78" s="229">
        <v>-1.9E-2</v>
      </c>
      <c r="V78" s="231">
        <v>1225.5999999999999</v>
      </c>
      <c r="W78" s="231">
        <v>1257.4000000000001</v>
      </c>
      <c r="X78" s="228">
        <v>-31.8</v>
      </c>
      <c r="Y78" s="229">
        <v>-2.53E-2</v>
      </c>
      <c r="Z78" s="228">
        <v>-29.7</v>
      </c>
      <c r="AA78" s="228">
        <v>-20.8</v>
      </c>
      <c r="AB78" s="228">
        <v>-8.9</v>
      </c>
      <c r="AC78" s="229">
        <v>-2.3199999999999998E-2</v>
      </c>
      <c r="AD78" s="228">
        <v>-29.7</v>
      </c>
      <c r="AE78" s="228">
        <v>-20.8</v>
      </c>
      <c r="AF78" s="228">
        <v>-8.9</v>
      </c>
      <c r="AG78" s="229">
        <v>-2.3199999999999998E-2</v>
      </c>
      <c r="AH78" s="228">
        <v>-46.4</v>
      </c>
      <c r="AI78" s="228">
        <v>-30.2</v>
      </c>
      <c r="AJ78" s="228">
        <v>-16.2</v>
      </c>
      <c r="AK78" s="229">
        <v>-3.6299999999999999E-2</v>
      </c>
      <c r="AL78" s="228">
        <v>-52</v>
      </c>
      <c r="AM78" s="228">
        <v>-27.9</v>
      </c>
      <c r="AN78" s="228">
        <v>-24.1</v>
      </c>
      <c r="AO78" s="229">
        <v>-4.07E-2</v>
      </c>
      <c r="AP78" s="231">
        <v>1250.9000000000001</v>
      </c>
      <c r="AQ78" s="231">
        <v>1234.58</v>
      </c>
      <c r="AR78" s="228">
        <v>0</v>
      </c>
      <c r="AS78" s="230">
        <v>4603</v>
      </c>
      <c r="AT78" s="230">
        <v>5326</v>
      </c>
      <c r="AU78" s="228">
        <v>-723</v>
      </c>
      <c r="AV78" s="229">
        <v>-0.1358</v>
      </c>
      <c r="AW78" s="230">
        <v>2212</v>
      </c>
      <c r="AX78" s="230">
        <v>3468</v>
      </c>
      <c r="AY78" s="230">
        <v>-1256</v>
      </c>
      <c r="AZ78" s="229">
        <v>-0.36209999999999998</v>
      </c>
      <c r="BA78" s="230">
        <v>2305</v>
      </c>
      <c r="BB78" s="230">
        <v>1746</v>
      </c>
      <c r="BC78" s="228">
        <v>559</v>
      </c>
      <c r="BD78" s="229">
        <v>0.32019999999999998</v>
      </c>
      <c r="BE78" s="228">
        <v>86</v>
      </c>
      <c r="BF78" s="228">
        <v>112</v>
      </c>
      <c r="BG78" s="228">
        <v>-27</v>
      </c>
      <c r="BH78" s="229">
        <v>-0.2364</v>
      </c>
      <c r="BI78" s="230">
        <v>9203</v>
      </c>
      <c r="BJ78" s="230">
        <v>19317</v>
      </c>
      <c r="BK78" s="230">
        <v>-10114</v>
      </c>
      <c r="BL78" s="229">
        <v>-0.52359999999999995</v>
      </c>
      <c r="BM78" s="230">
        <v>3376</v>
      </c>
      <c r="BN78" s="230">
        <v>12323</v>
      </c>
      <c r="BO78" s="230">
        <v>-8947</v>
      </c>
      <c r="BP78" s="229">
        <v>-0.72609999999999997</v>
      </c>
      <c r="BQ78" s="230">
        <v>17182</v>
      </c>
      <c r="BR78" s="230">
        <v>36966</v>
      </c>
      <c r="BS78" s="230">
        <v>-19784</v>
      </c>
      <c r="BT78" s="229">
        <v>-0.53520000000000001</v>
      </c>
      <c r="BU78" s="230">
        <v>8790348</v>
      </c>
      <c r="BV78" s="230">
        <v>35017097</v>
      </c>
      <c r="BW78" s="230">
        <v>-26226749</v>
      </c>
      <c r="BX78" s="229">
        <v>-0.749</v>
      </c>
      <c r="BY78" s="230">
        <v>6078</v>
      </c>
      <c r="BZ78" s="230">
        <v>6485</v>
      </c>
      <c r="CA78" s="228">
        <v>-407</v>
      </c>
      <c r="CB78" s="229">
        <v>-6.2799999999999995E-2</v>
      </c>
      <c r="CC78" s="230">
        <v>2823</v>
      </c>
      <c r="CD78" s="230">
        <v>4424</v>
      </c>
      <c r="CE78" s="230">
        <v>-1601</v>
      </c>
      <c r="CF78" s="229">
        <v>-0.36180000000000001</v>
      </c>
      <c r="CG78" s="230">
        <v>3111</v>
      </c>
      <c r="CH78" s="230">
        <v>1959</v>
      </c>
      <c r="CI78" s="230">
        <v>1152</v>
      </c>
      <c r="CJ78" s="229">
        <v>0.58789999999999998</v>
      </c>
      <c r="CK78" s="228">
        <v>143</v>
      </c>
      <c r="CL78" s="228">
        <v>101</v>
      </c>
      <c r="CM78" s="228">
        <v>42</v>
      </c>
      <c r="CN78" s="229">
        <v>0.41260000000000002</v>
      </c>
      <c r="CO78" s="230">
        <v>4960</v>
      </c>
      <c r="CP78" s="230">
        <v>4713</v>
      </c>
      <c r="CQ78" s="228">
        <v>247</v>
      </c>
      <c r="CR78" s="229">
        <v>5.2499999999999998E-2</v>
      </c>
      <c r="CS78" s="230">
        <v>2169</v>
      </c>
      <c r="CT78" s="230">
        <v>2063</v>
      </c>
      <c r="CU78" s="228">
        <v>106</v>
      </c>
      <c r="CV78" s="229">
        <v>5.1400000000000001E-2</v>
      </c>
      <c r="CW78" s="230">
        <v>13207</v>
      </c>
      <c r="CX78" s="230">
        <v>13261</v>
      </c>
      <c r="CY78" s="228">
        <v>-54</v>
      </c>
      <c r="CZ78" s="229">
        <v>-4.1000000000000003E-3</v>
      </c>
      <c r="DA78" s="228">
        <v>33.42</v>
      </c>
      <c r="DB78" s="228">
        <v>37.950000000000003</v>
      </c>
      <c r="DC78" s="228">
        <v>-4.53</v>
      </c>
      <c r="DD78" s="228">
        <v>-4.53</v>
      </c>
      <c r="DE78" s="228">
        <v>32.950000000000003</v>
      </c>
      <c r="DF78" s="228">
        <v>33.020000000000003</v>
      </c>
      <c r="DG78" s="228">
        <v>0.47</v>
      </c>
      <c r="DH78" s="228">
        <v>-7.0000000000000007E-2</v>
      </c>
      <c r="DI78" s="228">
        <v>33.78</v>
      </c>
      <c r="DJ78" s="228">
        <v>39.549999999999997</v>
      </c>
      <c r="DK78" s="228">
        <v>-5.77</v>
      </c>
      <c r="DL78" s="228">
        <v>-5.77</v>
      </c>
      <c r="DM78" s="228">
        <v>32.54</v>
      </c>
      <c r="DN78" s="228">
        <v>35.450000000000003</v>
      </c>
      <c r="DO78" s="228">
        <v>-2.91</v>
      </c>
      <c r="DP78" s="228">
        <v>-2.91</v>
      </c>
      <c r="DQ78" s="228">
        <v>0.44</v>
      </c>
      <c r="DR78" s="228">
        <v>0.44</v>
      </c>
      <c r="DS78" s="228">
        <v>0</v>
      </c>
      <c r="DT78" s="229">
        <v>0</v>
      </c>
      <c r="DU78" s="231">
        <v>1300</v>
      </c>
      <c r="DV78" s="231">
        <v>1200</v>
      </c>
      <c r="DW78" s="228">
        <v>0.37</v>
      </c>
      <c r="DX78" s="228">
        <v>0.64</v>
      </c>
      <c r="DY78" s="228">
        <v>-0.27</v>
      </c>
      <c r="DZ78" s="229">
        <v>-0.4219</v>
      </c>
      <c r="EA78" s="229">
        <v>0.53539999999999999</v>
      </c>
      <c r="EB78" s="230">
        <v>16511600</v>
      </c>
      <c r="EC78" s="229">
        <v>-1.34E-2</v>
      </c>
      <c r="ED78" s="229">
        <v>0.53539999999999999</v>
      </c>
      <c r="EE78" s="228">
        <v>-16.32</v>
      </c>
      <c r="EF78" s="229">
        <v>-1.2999999999999999E-2</v>
      </c>
      <c r="EG78" s="230">
        <v>4232838</v>
      </c>
      <c r="EH78" s="230">
        <v>15901185</v>
      </c>
      <c r="EI78" s="229">
        <v>-0.73380000000000001</v>
      </c>
      <c r="EJ78" s="229">
        <v>0.48149999999999998</v>
      </c>
      <c r="EK78" s="231">
        <v>9808.7199999999993</v>
      </c>
      <c r="EL78" s="231">
        <v>3410.63</v>
      </c>
      <c r="EM78" s="231">
        <v>4582.83</v>
      </c>
      <c r="EN78" s="228">
        <v>428.99</v>
      </c>
      <c r="EO78" s="231">
        <v>17802.18</v>
      </c>
      <c r="EP78" s="231">
        <v>39517.86</v>
      </c>
      <c r="EQ78" s="231">
        <v>-21715.68</v>
      </c>
      <c r="ER78" s="229">
        <v>-0.54949999999999999</v>
      </c>
      <c r="ES78" s="231">
        <v>5396.03</v>
      </c>
      <c r="ET78" s="231">
        <v>2214.2399999999998</v>
      </c>
      <c r="EU78" s="231">
        <v>6033.35</v>
      </c>
      <c r="EV78" s="231">
        <v>145140505</v>
      </c>
      <c r="EW78" s="231">
        <v>13643.62</v>
      </c>
      <c r="EX78" s="231">
        <v>13844.62</v>
      </c>
      <c r="EY78" s="228">
        <v>-201</v>
      </c>
      <c r="EZ78" s="229">
        <v>-1.4500000000000001E-2</v>
      </c>
      <c r="FA78" s="229">
        <v>0.72919999999999996</v>
      </c>
      <c r="FB78" s="227" t="s">
        <v>567</v>
      </c>
      <c r="FC78">
        <f t="shared" si="1"/>
        <v>3255</v>
      </c>
    </row>
    <row r="79" spans="1:159" ht="17.25" thickBot="1" x14ac:dyDescent="0.3">
      <c r="A79" s="226">
        <v>46135</v>
      </c>
      <c r="B79" s="227" t="s">
        <v>175</v>
      </c>
      <c r="C79" s="227" t="s">
        <v>475</v>
      </c>
      <c r="D79" s="228">
        <v>300</v>
      </c>
      <c r="E79" s="228">
        <v>5</v>
      </c>
      <c r="F79" s="231">
        <v>2713.8</v>
      </c>
      <c r="G79" s="231">
        <v>2770.5</v>
      </c>
      <c r="H79" s="228">
        <v>-56.7</v>
      </c>
      <c r="I79" s="229">
        <v>-2.0500000000000001E-2</v>
      </c>
      <c r="J79" s="231">
        <v>2708.2</v>
      </c>
      <c r="K79" s="231">
        <v>2766.4</v>
      </c>
      <c r="L79" s="228">
        <v>-58.2</v>
      </c>
      <c r="M79" s="229">
        <v>-2.1000000000000001E-2</v>
      </c>
      <c r="N79" s="231">
        <v>2713.8</v>
      </c>
      <c r="O79" s="231">
        <v>2770.5</v>
      </c>
      <c r="P79" s="228">
        <v>-56.7</v>
      </c>
      <c r="Q79" s="229">
        <v>-2.0500000000000001E-2</v>
      </c>
      <c r="R79" s="231">
        <v>2726.9</v>
      </c>
      <c r="S79" s="231">
        <v>2785.2</v>
      </c>
      <c r="T79" s="228">
        <v>-58.3</v>
      </c>
      <c r="U79" s="229">
        <v>-2.0899999999999998E-2</v>
      </c>
      <c r="V79" s="231">
        <v>2739.6</v>
      </c>
      <c r="W79" s="231">
        <v>2798.6</v>
      </c>
      <c r="X79" s="228">
        <v>-59</v>
      </c>
      <c r="Y79" s="229">
        <v>-2.1100000000000001E-2</v>
      </c>
      <c r="Z79" s="228">
        <v>5.6</v>
      </c>
      <c r="AA79" s="228">
        <v>4.0999999999999996</v>
      </c>
      <c r="AB79" s="228">
        <v>1.5</v>
      </c>
      <c r="AC79" s="229">
        <v>2.0999999999999999E-3</v>
      </c>
      <c r="AD79" s="228">
        <v>5.6</v>
      </c>
      <c r="AE79" s="228">
        <v>4.0999999999999996</v>
      </c>
      <c r="AF79" s="228">
        <v>1.5</v>
      </c>
      <c r="AG79" s="229">
        <v>2.0999999999999999E-3</v>
      </c>
      <c r="AH79" s="228">
        <v>18.7</v>
      </c>
      <c r="AI79" s="228">
        <v>18.8</v>
      </c>
      <c r="AJ79" s="228">
        <v>-0.1</v>
      </c>
      <c r="AK79" s="229">
        <v>6.8999999999999999E-3</v>
      </c>
      <c r="AL79" s="228">
        <v>31.4</v>
      </c>
      <c r="AM79" s="228">
        <v>32.200000000000003</v>
      </c>
      <c r="AN79" s="228">
        <v>-0.8</v>
      </c>
      <c r="AO79" s="229">
        <v>1.1599999999999999E-2</v>
      </c>
      <c r="AP79" s="231">
        <v>2736.42</v>
      </c>
      <c r="AQ79" s="231">
        <v>2749.5</v>
      </c>
      <c r="AR79" s="228">
        <v>0</v>
      </c>
      <c r="AS79" s="228">
        <v>959</v>
      </c>
      <c r="AT79" s="228">
        <v>246</v>
      </c>
      <c r="AU79" s="228">
        <v>714</v>
      </c>
      <c r="AV79" s="229">
        <v>2.9033000000000002</v>
      </c>
      <c r="AW79" s="228">
        <v>492</v>
      </c>
      <c r="AX79" s="228">
        <v>161</v>
      </c>
      <c r="AY79" s="228">
        <v>331</v>
      </c>
      <c r="AZ79" s="229">
        <v>2.0525000000000002</v>
      </c>
      <c r="BA79" s="228">
        <v>466</v>
      </c>
      <c r="BB79" s="228">
        <v>83</v>
      </c>
      <c r="BC79" s="228">
        <v>383</v>
      </c>
      <c r="BD79" s="229">
        <v>4.5862999999999996</v>
      </c>
      <c r="BE79" s="228">
        <v>1</v>
      </c>
      <c r="BF79" s="228">
        <v>1</v>
      </c>
      <c r="BG79" s="228">
        <v>0</v>
      </c>
      <c r="BH79" s="229">
        <v>-0.15379999999999999</v>
      </c>
      <c r="BI79" s="228">
        <v>725</v>
      </c>
      <c r="BJ79" s="228">
        <v>658</v>
      </c>
      <c r="BK79" s="228">
        <v>67</v>
      </c>
      <c r="BL79" s="229">
        <v>0.1026</v>
      </c>
      <c r="BM79" s="228">
        <v>659</v>
      </c>
      <c r="BN79" s="228">
        <v>572</v>
      </c>
      <c r="BO79" s="228">
        <v>87</v>
      </c>
      <c r="BP79" s="229">
        <v>0.15279999999999999</v>
      </c>
      <c r="BQ79" s="230">
        <v>2344</v>
      </c>
      <c r="BR79" s="230">
        <v>1476</v>
      </c>
      <c r="BS79" s="228">
        <v>868</v>
      </c>
      <c r="BT79" s="229">
        <v>0.58860000000000001</v>
      </c>
      <c r="BU79" s="230">
        <v>1209438</v>
      </c>
      <c r="BV79" s="230">
        <v>1209545</v>
      </c>
      <c r="BW79" s="228">
        <v>-107</v>
      </c>
      <c r="BX79" s="229">
        <v>-1E-4</v>
      </c>
      <c r="BY79" s="230">
        <v>1455</v>
      </c>
      <c r="BZ79" s="230">
        <v>1470</v>
      </c>
      <c r="CA79" s="228">
        <v>-15</v>
      </c>
      <c r="CB79" s="229">
        <v>-1.0200000000000001E-2</v>
      </c>
      <c r="CC79" s="230">
        <v>1000</v>
      </c>
      <c r="CD79" s="230">
        <v>1339</v>
      </c>
      <c r="CE79" s="228">
        <v>-339</v>
      </c>
      <c r="CF79" s="229">
        <v>-0.253</v>
      </c>
      <c r="CG79" s="228">
        <v>437</v>
      </c>
      <c r="CH79" s="228">
        <v>114</v>
      </c>
      <c r="CI79" s="228">
        <v>324</v>
      </c>
      <c r="CJ79" s="229">
        <v>2.8426</v>
      </c>
      <c r="CK79" s="228">
        <v>17</v>
      </c>
      <c r="CL79" s="228">
        <v>17</v>
      </c>
      <c r="CM79" s="228">
        <v>0</v>
      </c>
      <c r="CN79" s="229">
        <v>4.7000000000000002E-3</v>
      </c>
      <c r="CO79" s="228">
        <v>551</v>
      </c>
      <c r="CP79" s="228">
        <v>618</v>
      </c>
      <c r="CQ79" s="228">
        <v>-67</v>
      </c>
      <c r="CR79" s="229">
        <v>-0.10920000000000001</v>
      </c>
      <c r="CS79" s="228">
        <v>454</v>
      </c>
      <c r="CT79" s="228">
        <v>524</v>
      </c>
      <c r="CU79" s="228">
        <v>-71</v>
      </c>
      <c r="CV79" s="229">
        <v>-0.1351</v>
      </c>
      <c r="CW79" s="230">
        <v>2459</v>
      </c>
      <c r="CX79" s="230">
        <v>2612</v>
      </c>
      <c r="CY79" s="228">
        <v>-153</v>
      </c>
      <c r="CZ79" s="229">
        <v>-5.8700000000000002E-2</v>
      </c>
      <c r="DA79" s="228">
        <v>30.35</v>
      </c>
      <c r="DB79" s="228">
        <v>32.6</v>
      </c>
      <c r="DC79" s="228">
        <v>-2.25</v>
      </c>
      <c r="DD79" s="228">
        <v>-2.25</v>
      </c>
      <c r="DE79" s="228">
        <v>39.19</v>
      </c>
      <c r="DF79" s="228">
        <v>39.18</v>
      </c>
      <c r="DG79" s="228">
        <v>-8.84</v>
      </c>
      <c r="DH79" s="228">
        <v>0.01</v>
      </c>
      <c r="DI79" s="228">
        <v>29.86</v>
      </c>
      <c r="DJ79" s="228">
        <v>30.81</v>
      </c>
      <c r="DK79" s="228">
        <v>-0.95</v>
      </c>
      <c r="DL79" s="228">
        <v>-0.95</v>
      </c>
      <c r="DM79" s="228">
        <v>30.92</v>
      </c>
      <c r="DN79" s="228">
        <v>34.659999999999997</v>
      </c>
      <c r="DO79" s="228">
        <v>-3.74</v>
      </c>
      <c r="DP79" s="228">
        <v>-3.74</v>
      </c>
      <c r="DQ79" s="228">
        <v>0.82</v>
      </c>
      <c r="DR79" s="228">
        <v>0.85</v>
      </c>
      <c r="DS79" s="228">
        <v>-0.03</v>
      </c>
      <c r="DT79" s="229">
        <v>-3.5299999999999998E-2</v>
      </c>
      <c r="DU79" s="231">
        <v>2800</v>
      </c>
      <c r="DV79" s="231">
        <v>2500</v>
      </c>
      <c r="DW79" s="228">
        <v>0.91</v>
      </c>
      <c r="DX79" s="228">
        <v>0.87</v>
      </c>
      <c r="DY79" s="228">
        <v>0.04</v>
      </c>
      <c r="DZ79" s="229">
        <v>4.5999999999999999E-2</v>
      </c>
      <c r="EA79" s="229">
        <v>0.31259999999999999</v>
      </c>
      <c r="EB79" s="230">
        <v>483300</v>
      </c>
      <c r="EC79" s="229">
        <v>4.7999999999999996E-3</v>
      </c>
      <c r="ED79" s="229">
        <v>0.31259999999999999</v>
      </c>
      <c r="EE79" s="228">
        <v>13.08</v>
      </c>
      <c r="EF79" s="229">
        <v>4.7999999999999996E-3</v>
      </c>
      <c r="EG79" s="230">
        <v>771433</v>
      </c>
      <c r="EH79" s="230">
        <v>766144</v>
      </c>
      <c r="EI79" s="229">
        <v>6.8999999999999999E-3</v>
      </c>
      <c r="EJ79" s="229">
        <v>0.63780000000000003</v>
      </c>
      <c r="EK79" s="228">
        <v>759.65</v>
      </c>
      <c r="EL79" s="228">
        <v>649.54</v>
      </c>
      <c r="EM79" s="228">
        <v>969.63</v>
      </c>
      <c r="EN79" s="228">
        <v>61.31</v>
      </c>
      <c r="EO79" s="231">
        <v>2378.83</v>
      </c>
      <c r="EP79" s="231">
        <v>1518.25</v>
      </c>
      <c r="EQ79" s="228">
        <v>860.57</v>
      </c>
      <c r="ER79" s="229">
        <v>0.56679999999999997</v>
      </c>
      <c r="ES79" s="228">
        <v>558.03</v>
      </c>
      <c r="ET79" s="228">
        <v>423.88</v>
      </c>
      <c r="EU79" s="231">
        <v>1456.9</v>
      </c>
      <c r="EV79" s="231">
        <v>30592324</v>
      </c>
      <c r="EW79" s="231">
        <v>2438.81</v>
      </c>
      <c r="EX79" s="231">
        <v>2623.67</v>
      </c>
      <c r="EY79" s="228">
        <v>-184.86</v>
      </c>
      <c r="EZ79" s="229">
        <v>-7.0499999999999993E-2</v>
      </c>
      <c r="FA79" s="229">
        <v>0.29620000000000002</v>
      </c>
      <c r="FB79" s="227" t="s">
        <v>567</v>
      </c>
      <c r="FC79">
        <f t="shared" si="1"/>
        <v>455</v>
      </c>
    </row>
    <row r="80" spans="1:159" ht="17.25" thickBot="1" x14ac:dyDescent="0.3">
      <c r="A80" s="226">
        <v>46135</v>
      </c>
      <c r="B80" s="227" t="s">
        <v>172</v>
      </c>
      <c r="C80" s="227" t="s">
        <v>224</v>
      </c>
      <c r="D80" s="228">
        <v>550</v>
      </c>
      <c r="E80" s="228">
        <v>5</v>
      </c>
      <c r="F80" s="228">
        <v>784.45</v>
      </c>
      <c r="G80" s="228">
        <v>800</v>
      </c>
      <c r="H80" s="228">
        <v>-15.55</v>
      </c>
      <c r="I80" s="229">
        <v>-1.9400000000000001E-2</v>
      </c>
      <c r="J80" s="228">
        <v>784.35</v>
      </c>
      <c r="K80" s="228">
        <v>799.9</v>
      </c>
      <c r="L80" s="228">
        <v>-15.55</v>
      </c>
      <c r="M80" s="229">
        <v>-1.9400000000000001E-2</v>
      </c>
      <c r="N80" s="228">
        <v>784.45</v>
      </c>
      <c r="O80" s="228">
        <v>800</v>
      </c>
      <c r="P80" s="228">
        <v>-15.55</v>
      </c>
      <c r="Q80" s="229">
        <v>-1.9400000000000001E-2</v>
      </c>
      <c r="R80" s="228">
        <v>788.75</v>
      </c>
      <c r="S80" s="228">
        <v>804.6</v>
      </c>
      <c r="T80" s="228">
        <v>-15.85</v>
      </c>
      <c r="U80" s="229">
        <v>-1.9699999999999999E-2</v>
      </c>
      <c r="V80" s="228">
        <v>780.55</v>
      </c>
      <c r="W80" s="228">
        <v>796.3</v>
      </c>
      <c r="X80" s="228">
        <v>-15.75</v>
      </c>
      <c r="Y80" s="229">
        <v>-1.9800000000000002E-2</v>
      </c>
      <c r="Z80" s="228">
        <v>0.1</v>
      </c>
      <c r="AA80" s="228">
        <v>0.1</v>
      </c>
      <c r="AB80" s="228">
        <v>0</v>
      </c>
      <c r="AC80" s="229">
        <v>1E-4</v>
      </c>
      <c r="AD80" s="228">
        <v>0.1</v>
      </c>
      <c r="AE80" s="228">
        <v>0.1</v>
      </c>
      <c r="AF80" s="228">
        <v>0</v>
      </c>
      <c r="AG80" s="229">
        <v>1E-4</v>
      </c>
      <c r="AH80" s="228">
        <v>4.4000000000000004</v>
      </c>
      <c r="AI80" s="228">
        <v>4.7</v>
      </c>
      <c r="AJ80" s="228">
        <v>-0.3</v>
      </c>
      <c r="AK80" s="229">
        <v>5.5999999999999999E-3</v>
      </c>
      <c r="AL80" s="228">
        <v>-3.8</v>
      </c>
      <c r="AM80" s="228">
        <v>-3.6</v>
      </c>
      <c r="AN80" s="228">
        <v>-0.2</v>
      </c>
      <c r="AO80" s="229">
        <v>-4.7999999999999996E-3</v>
      </c>
      <c r="AP80" s="228">
        <v>788.17</v>
      </c>
      <c r="AQ80" s="228">
        <v>792.63</v>
      </c>
      <c r="AR80" s="228">
        <v>0</v>
      </c>
      <c r="AS80" s="230">
        <v>10501</v>
      </c>
      <c r="AT80" s="230">
        <v>4557</v>
      </c>
      <c r="AU80" s="230">
        <v>5944</v>
      </c>
      <c r="AV80" s="229">
        <v>1.3042</v>
      </c>
      <c r="AW80" s="230">
        <v>5304</v>
      </c>
      <c r="AX80" s="230">
        <v>2609</v>
      </c>
      <c r="AY80" s="230">
        <v>2694</v>
      </c>
      <c r="AZ80" s="229">
        <v>1.0326</v>
      </c>
      <c r="BA80" s="230">
        <v>4380</v>
      </c>
      <c r="BB80" s="230">
        <v>1303</v>
      </c>
      <c r="BC80" s="230">
        <v>3077</v>
      </c>
      <c r="BD80" s="229">
        <v>2.3616000000000001</v>
      </c>
      <c r="BE80" s="228">
        <v>817</v>
      </c>
      <c r="BF80" s="228">
        <v>645</v>
      </c>
      <c r="BG80" s="228">
        <v>172</v>
      </c>
      <c r="BH80" s="229">
        <v>0.26700000000000002</v>
      </c>
      <c r="BI80" s="230">
        <v>11100</v>
      </c>
      <c r="BJ80" s="230">
        <v>8611</v>
      </c>
      <c r="BK80" s="230">
        <v>2489</v>
      </c>
      <c r="BL80" s="229">
        <v>0.28899999999999998</v>
      </c>
      <c r="BM80" s="230">
        <v>6511</v>
      </c>
      <c r="BN80" s="230">
        <v>5635</v>
      </c>
      <c r="BO80" s="228">
        <v>877</v>
      </c>
      <c r="BP80" s="229">
        <v>0.15559999999999999</v>
      </c>
      <c r="BQ80" s="230">
        <v>28112</v>
      </c>
      <c r="BR80" s="230">
        <v>18803</v>
      </c>
      <c r="BS80" s="230">
        <v>9309</v>
      </c>
      <c r="BT80" s="229">
        <v>0.49509999999999998</v>
      </c>
      <c r="BU80" s="230">
        <v>41366901</v>
      </c>
      <c r="BV80" s="230">
        <v>24823211</v>
      </c>
      <c r="BW80" s="230">
        <v>16543690</v>
      </c>
      <c r="BX80" s="229">
        <v>0.66649999999999998</v>
      </c>
      <c r="BY80" s="230">
        <v>25939</v>
      </c>
      <c r="BZ80" s="230">
        <v>25433</v>
      </c>
      <c r="CA80" s="228">
        <v>506</v>
      </c>
      <c r="CB80" s="229">
        <v>1.9900000000000001E-2</v>
      </c>
      <c r="CC80" s="230">
        <v>13031</v>
      </c>
      <c r="CD80" s="230">
        <v>17205</v>
      </c>
      <c r="CE80" s="230">
        <v>-4175</v>
      </c>
      <c r="CF80" s="229">
        <v>-0.24260000000000001</v>
      </c>
      <c r="CG80" s="230">
        <v>9072</v>
      </c>
      <c r="CH80" s="230">
        <v>5171</v>
      </c>
      <c r="CI80" s="230">
        <v>3901</v>
      </c>
      <c r="CJ80" s="229">
        <v>0.75449999999999995</v>
      </c>
      <c r="CK80" s="230">
        <v>3837</v>
      </c>
      <c r="CL80" s="230">
        <v>3057</v>
      </c>
      <c r="CM80" s="228">
        <v>780</v>
      </c>
      <c r="CN80" s="229">
        <v>0.25509999999999999</v>
      </c>
      <c r="CO80" s="230">
        <v>8242</v>
      </c>
      <c r="CP80" s="230">
        <v>7518</v>
      </c>
      <c r="CQ80" s="228">
        <v>724</v>
      </c>
      <c r="CR80" s="229">
        <v>9.6299999999999997E-2</v>
      </c>
      <c r="CS80" s="230">
        <v>4210</v>
      </c>
      <c r="CT80" s="230">
        <v>4186</v>
      </c>
      <c r="CU80" s="228">
        <v>24</v>
      </c>
      <c r="CV80" s="229">
        <v>5.7999999999999996E-3</v>
      </c>
      <c r="CW80" s="230">
        <v>38391</v>
      </c>
      <c r="CX80" s="230">
        <v>37137</v>
      </c>
      <c r="CY80" s="230">
        <v>1254</v>
      </c>
      <c r="CZ80" s="229">
        <v>3.3799999999999997E-2</v>
      </c>
      <c r="DA80" s="228">
        <v>27.25</v>
      </c>
      <c r="DB80" s="228">
        <v>26.79</v>
      </c>
      <c r="DC80" s="228">
        <v>0.46</v>
      </c>
      <c r="DD80" s="228">
        <v>0.46</v>
      </c>
      <c r="DE80" s="228">
        <v>25.47</v>
      </c>
      <c r="DF80" s="228">
        <v>25.4</v>
      </c>
      <c r="DG80" s="228">
        <v>1.78</v>
      </c>
      <c r="DH80" s="228">
        <v>7.0000000000000007E-2</v>
      </c>
      <c r="DI80" s="228">
        <v>27.51</v>
      </c>
      <c r="DJ80" s="228">
        <v>27.33</v>
      </c>
      <c r="DK80" s="228">
        <v>0.18</v>
      </c>
      <c r="DL80" s="228">
        <v>0.18</v>
      </c>
      <c r="DM80" s="228">
        <v>26.77</v>
      </c>
      <c r="DN80" s="228">
        <v>25.96</v>
      </c>
      <c r="DO80" s="228">
        <v>0.81</v>
      </c>
      <c r="DP80" s="228">
        <v>0.81</v>
      </c>
      <c r="DQ80" s="228">
        <v>0.51</v>
      </c>
      <c r="DR80" s="228">
        <v>0.56000000000000005</v>
      </c>
      <c r="DS80" s="228">
        <v>-0.05</v>
      </c>
      <c r="DT80" s="229">
        <v>-8.9300000000000004E-2</v>
      </c>
      <c r="DU80" s="228">
        <v>800</v>
      </c>
      <c r="DV80" s="228">
        <v>800</v>
      </c>
      <c r="DW80" s="228">
        <v>0.59</v>
      </c>
      <c r="DX80" s="228">
        <v>0.65</v>
      </c>
      <c r="DY80" s="228">
        <v>-0.06</v>
      </c>
      <c r="DZ80" s="229">
        <v>-9.2299999999999993E-2</v>
      </c>
      <c r="EA80" s="229">
        <v>0.49759999999999999</v>
      </c>
      <c r="EB80" s="230">
        <v>104881700</v>
      </c>
      <c r="EC80" s="229">
        <v>5.4999999999999997E-3</v>
      </c>
      <c r="ED80" s="229">
        <v>0.49759999999999999</v>
      </c>
      <c r="EE80" s="228">
        <v>4.46</v>
      </c>
      <c r="EF80" s="229">
        <v>5.7000000000000002E-3</v>
      </c>
      <c r="EG80" s="230">
        <v>22753657</v>
      </c>
      <c r="EH80" s="230">
        <v>15591957</v>
      </c>
      <c r="EI80" s="229">
        <v>0.45929999999999999</v>
      </c>
      <c r="EJ80" s="229">
        <v>0.55000000000000004</v>
      </c>
      <c r="EK80" s="231">
        <v>11646.55</v>
      </c>
      <c r="EL80" s="231">
        <v>6492.1</v>
      </c>
      <c r="EM80" s="231">
        <v>10570.95</v>
      </c>
      <c r="EN80" s="231">
        <v>1038.6500000000001</v>
      </c>
      <c r="EO80" s="231">
        <v>28709.61</v>
      </c>
      <c r="EP80" s="231">
        <v>19575.48</v>
      </c>
      <c r="EQ80" s="231">
        <v>9134.1200000000008</v>
      </c>
      <c r="ER80" s="229">
        <v>0.46660000000000001</v>
      </c>
      <c r="ES80" s="231">
        <v>8742.0300000000007</v>
      </c>
      <c r="ET80" s="231">
        <v>4179.03</v>
      </c>
      <c r="EU80" s="231">
        <v>25969.58</v>
      </c>
      <c r="EV80" s="231">
        <v>1496665645</v>
      </c>
      <c r="EW80" s="231">
        <v>38890.629999999997</v>
      </c>
      <c r="EX80" s="231">
        <v>38133.47</v>
      </c>
      <c r="EY80" s="228">
        <v>757.16</v>
      </c>
      <c r="EZ80" s="229">
        <v>1.9900000000000001E-2</v>
      </c>
      <c r="FA80" s="229">
        <v>0.32700000000000001</v>
      </c>
      <c r="FB80" s="227" t="s">
        <v>566</v>
      </c>
      <c r="FC80">
        <f t="shared" si="1"/>
        <v>12908</v>
      </c>
    </row>
    <row r="81" spans="1:159" ht="17.25" thickBot="1" x14ac:dyDescent="0.3">
      <c r="A81" s="226">
        <v>46135</v>
      </c>
      <c r="B81" s="227" t="s">
        <v>175</v>
      </c>
      <c r="C81" s="227" t="s">
        <v>225</v>
      </c>
      <c r="D81" s="228">
        <v>1100</v>
      </c>
      <c r="E81" s="228">
        <v>5</v>
      </c>
      <c r="F81" s="228">
        <v>598.95000000000005</v>
      </c>
      <c r="G81" s="228">
        <v>604.70000000000005</v>
      </c>
      <c r="H81" s="228">
        <v>-5.75</v>
      </c>
      <c r="I81" s="229">
        <v>-9.4999999999999998E-3</v>
      </c>
      <c r="J81" s="228">
        <v>598.65</v>
      </c>
      <c r="K81" s="228">
        <v>604.04999999999995</v>
      </c>
      <c r="L81" s="228">
        <v>-5.4</v>
      </c>
      <c r="M81" s="229">
        <v>-8.8999999999999999E-3</v>
      </c>
      <c r="N81" s="228">
        <v>598.95000000000005</v>
      </c>
      <c r="O81" s="228">
        <v>604.70000000000005</v>
      </c>
      <c r="P81" s="228">
        <v>-5.75</v>
      </c>
      <c r="Q81" s="229">
        <v>-9.4999999999999998E-3</v>
      </c>
      <c r="R81" s="228">
        <v>602.35</v>
      </c>
      <c r="S81" s="228">
        <v>607.95000000000005</v>
      </c>
      <c r="T81" s="228">
        <v>-5.6</v>
      </c>
      <c r="U81" s="229">
        <v>-9.1999999999999998E-3</v>
      </c>
      <c r="V81" s="228">
        <v>603.5</v>
      </c>
      <c r="W81" s="228">
        <v>610.1</v>
      </c>
      <c r="X81" s="228">
        <v>-6.6</v>
      </c>
      <c r="Y81" s="229">
        <v>-1.0800000000000001E-2</v>
      </c>
      <c r="Z81" s="228">
        <v>0.3</v>
      </c>
      <c r="AA81" s="228">
        <v>0.65</v>
      </c>
      <c r="AB81" s="228">
        <v>-0.35</v>
      </c>
      <c r="AC81" s="229">
        <v>5.0000000000000001E-4</v>
      </c>
      <c r="AD81" s="228">
        <v>0.3</v>
      </c>
      <c r="AE81" s="228">
        <v>0.65</v>
      </c>
      <c r="AF81" s="228">
        <v>-0.35</v>
      </c>
      <c r="AG81" s="229">
        <v>5.0000000000000001E-4</v>
      </c>
      <c r="AH81" s="228">
        <v>3.7</v>
      </c>
      <c r="AI81" s="228">
        <v>3.9</v>
      </c>
      <c r="AJ81" s="228">
        <v>-0.2</v>
      </c>
      <c r="AK81" s="229">
        <v>6.1999999999999998E-3</v>
      </c>
      <c r="AL81" s="228">
        <v>4.8499999999999996</v>
      </c>
      <c r="AM81" s="228">
        <v>6.05</v>
      </c>
      <c r="AN81" s="228">
        <v>-1.2</v>
      </c>
      <c r="AO81" s="229">
        <v>8.0999999999999996E-3</v>
      </c>
      <c r="AP81" s="228">
        <v>601.99</v>
      </c>
      <c r="AQ81" s="228">
        <v>605.30999999999995</v>
      </c>
      <c r="AR81" s="228">
        <v>0</v>
      </c>
      <c r="AS81" s="230">
        <v>1055</v>
      </c>
      <c r="AT81" s="228">
        <v>718</v>
      </c>
      <c r="AU81" s="228">
        <v>337</v>
      </c>
      <c r="AV81" s="229">
        <v>0.47020000000000001</v>
      </c>
      <c r="AW81" s="228">
        <v>532</v>
      </c>
      <c r="AX81" s="228">
        <v>385</v>
      </c>
      <c r="AY81" s="228">
        <v>147</v>
      </c>
      <c r="AZ81" s="229">
        <v>0.3831</v>
      </c>
      <c r="BA81" s="228">
        <v>476</v>
      </c>
      <c r="BB81" s="228">
        <v>194</v>
      </c>
      <c r="BC81" s="228">
        <v>282</v>
      </c>
      <c r="BD81" s="229">
        <v>1.4573</v>
      </c>
      <c r="BE81" s="228">
        <v>48</v>
      </c>
      <c r="BF81" s="228">
        <v>140</v>
      </c>
      <c r="BG81" s="228">
        <v>-92</v>
      </c>
      <c r="BH81" s="229">
        <v>-0.6593</v>
      </c>
      <c r="BI81" s="230">
        <v>1824</v>
      </c>
      <c r="BJ81" s="230">
        <v>1564</v>
      </c>
      <c r="BK81" s="228">
        <v>260</v>
      </c>
      <c r="BL81" s="229">
        <v>0.16650000000000001</v>
      </c>
      <c r="BM81" s="228">
        <v>811</v>
      </c>
      <c r="BN81" s="228">
        <v>660</v>
      </c>
      <c r="BO81" s="228">
        <v>150</v>
      </c>
      <c r="BP81" s="229">
        <v>0.22750000000000001</v>
      </c>
      <c r="BQ81" s="230">
        <v>3690</v>
      </c>
      <c r="BR81" s="230">
        <v>2942</v>
      </c>
      <c r="BS81" s="228">
        <v>748</v>
      </c>
      <c r="BT81" s="229">
        <v>0.25430000000000003</v>
      </c>
      <c r="BU81" s="230">
        <v>4695367</v>
      </c>
      <c r="BV81" s="230">
        <v>4272762</v>
      </c>
      <c r="BW81" s="230">
        <v>422605</v>
      </c>
      <c r="BX81" s="229">
        <v>9.8900000000000002E-2</v>
      </c>
      <c r="BY81" s="230">
        <v>2764</v>
      </c>
      <c r="BZ81" s="230">
        <v>2733</v>
      </c>
      <c r="CA81" s="228">
        <v>31</v>
      </c>
      <c r="CB81" s="229">
        <v>1.1299999999999999E-2</v>
      </c>
      <c r="CC81" s="230">
        <v>1487</v>
      </c>
      <c r="CD81" s="230">
        <v>1873</v>
      </c>
      <c r="CE81" s="228">
        <v>-386</v>
      </c>
      <c r="CF81" s="229">
        <v>-0.20610000000000001</v>
      </c>
      <c r="CG81" s="230">
        <v>1074</v>
      </c>
      <c r="CH81" s="228">
        <v>698</v>
      </c>
      <c r="CI81" s="228">
        <v>376</v>
      </c>
      <c r="CJ81" s="229">
        <v>0.53890000000000005</v>
      </c>
      <c r="CK81" s="228">
        <v>202</v>
      </c>
      <c r="CL81" s="228">
        <v>162</v>
      </c>
      <c r="CM81" s="228">
        <v>41</v>
      </c>
      <c r="CN81" s="229">
        <v>0.25190000000000001</v>
      </c>
      <c r="CO81" s="230">
        <v>1192</v>
      </c>
      <c r="CP81" s="230">
        <v>1259</v>
      </c>
      <c r="CQ81" s="228">
        <v>-67</v>
      </c>
      <c r="CR81" s="229">
        <v>-5.3100000000000001E-2</v>
      </c>
      <c r="CS81" s="228">
        <v>659</v>
      </c>
      <c r="CT81" s="228">
        <v>715</v>
      </c>
      <c r="CU81" s="228">
        <v>-56</v>
      </c>
      <c r="CV81" s="229">
        <v>-7.8200000000000006E-2</v>
      </c>
      <c r="CW81" s="230">
        <v>4615</v>
      </c>
      <c r="CX81" s="230">
        <v>4707</v>
      </c>
      <c r="CY81" s="228">
        <v>-92</v>
      </c>
      <c r="CZ81" s="229">
        <v>-1.95E-2</v>
      </c>
      <c r="DA81" s="228">
        <v>27.59</v>
      </c>
      <c r="DB81" s="228">
        <v>28.58</v>
      </c>
      <c r="DC81" s="228">
        <v>-0.99</v>
      </c>
      <c r="DD81" s="228">
        <v>-0.99</v>
      </c>
      <c r="DE81" s="228">
        <v>27.68</v>
      </c>
      <c r="DF81" s="228">
        <v>27.72</v>
      </c>
      <c r="DG81" s="228">
        <v>-0.09</v>
      </c>
      <c r="DH81" s="228">
        <v>-0.04</v>
      </c>
      <c r="DI81" s="228">
        <v>27.67</v>
      </c>
      <c r="DJ81" s="228">
        <v>29.41</v>
      </c>
      <c r="DK81" s="228">
        <v>-1.74</v>
      </c>
      <c r="DL81" s="228">
        <v>-1.74</v>
      </c>
      <c r="DM81" s="228">
        <v>27.31</v>
      </c>
      <c r="DN81" s="228">
        <v>26.63</v>
      </c>
      <c r="DO81" s="228">
        <v>0.68</v>
      </c>
      <c r="DP81" s="228">
        <v>0.68</v>
      </c>
      <c r="DQ81" s="228">
        <v>0.55000000000000004</v>
      </c>
      <c r="DR81" s="228">
        <v>0.56999999999999995</v>
      </c>
      <c r="DS81" s="228">
        <v>-0.02</v>
      </c>
      <c r="DT81" s="229">
        <v>-3.5099999999999999E-2</v>
      </c>
      <c r="DU81" s="228">
        <v>600</v>
      </c>
      <c r="DV81" s="228">
        <v>520</v>
      </c>
      <c r="DW81" s="228">
        <v>0.44</v>
      </c>
      <c r="DX81" s="228">
        <v>0.42</v>
      </c>
      <c r="DY81" s="228">
        <v>0.02</v>
      </c>
      <c r="DZ81" s="229">
        <v>4.7600000000000003E-2</v>
      </c>
      <c r="EA81" s="229">
        <v>0.46200000000000002</v>
      </c>
      <c r="EB81" s="230">
        <v>14355000</v>
      </c>
      <c r="EC81" s="229">
        <v>5.7000000000000002E-3</v>
      </c>
      <c r="ED81" s="229">
        <v>0.46200000000000002</v>
      </c>
      <c r="EE81" s="228">
        <v>3.32</v>
      </c>
      <c r="EF81" s="229">
        <v>5.4999999999999997E-3</v>
      </c>
      <c r="EG81" s="230">
        <v>2653752</v>
      </c>
      <c r="EH81" s="230">
        <v>2788450</v>
      </c>
      <c r="EI81" s="229">
        <v>-4.8300000000000003E-2</v>
      </c>
      <c r="EJ81" s="229">
        <v>0.56520000000000004</v>
      </c>
      <c r="EK81" s="231">
        <v>1907.14</v>
      </c>
      <c r="EL81" s="228">
        <v>821.82</v>
      </c>
      <c r="EM81" s="231">
        <v>1063.5999999999999</v>
      </c>
      <c r="EN81" s="228">
        <v>95.13</v>
      </c>
      <c r="EO81" s="231">
        <v>3792.56</v>
      </c>
      <c r="EP81" s="231">
        <v>3068.87</v>
      </c>
      <c r="EQ81" s="228">
        <v>723.7</v>
      </c>
      <c r="ER81" s="229">
        <v>0.23580000000000001</v>
      </c>
      <c r="ES81" s="231">
        <v>1272.2</v>
      </c>
      <c r="ET81" s="228">
        <v>646.84</v>
      </c>
      <c r="EU81" s="231">
        <v>2771.36</v>
      </c>
      <c r="EV81" s="231">
        <v>156090005</v>
      </c>
      <c r="EW81" s="231">
        <v>4690.3900000000003</v>
      </c>
      <c r="EX81" s="231">
        <v>4814.0200000000004</v>
      </c>
      <c r="EY81" s="228">
        <v>-123.63</v>
      </c>
      <c r="EZ81" s="229">
        <v>-2.5700000000000001E-2</v>
      </c>
      <c r="FA81" s="229">
        <v>0.49359999999999998</v>
      </c>
      <c r="FB81" s="227" t="s">
        <v>566</v>
      </c>
      <c r="FC81">
        <f t="shared" si="1"/>
        <v>1277</v>
      </c>
    </row>
    <row r="82" spans="1:159" ht="17.25" thickBot="1" x14ac:dyDescent="0.3">
      <c r="A82" s="226">
        <v>46135</v>
      </c>
      <c r="B82" s="227" t="s">
        <v>162</v>
      </c>
      <c r="C82" s="227" t="s">
        <v>226</v>
      </c>
      <c r="D82" s="228">
        <v>150</v>
      </c>
      <c r="E82" s="228">
        <v>5</v>
      </c>
      <c r="F82" s="231">
        <v>5034.5</v>
      </c>
      <c r="G82" s="231">
        <v>5193</v>
      </c>
      <c r="H82" s="228">
        <v>-158.5</v>
      </c>
      <c r="I82" s="229">
        <v>-3.0499999999999999E-2</v>
      </c>
      <c r="J82" s="231">
        <v>5032</v>
      </c>
      <c r="K82" s="231">
        <v>5189</v>
      </c>
      <c r="L82" s="228">
        <v>-157</v>
      </c>
      <c r="M82" s="229">
        <v>-3.0300000000000001E-2</v>
      </c>
      <c r="N82" s="231">
        <v>5034.5</v>
      </c>
      <c r="O82" s="231">
        <v>5193</v>
      </c>
      <c r="P82" s="228">
        <v>-158.5</v>
      </c>
      <c r="Q82" s="229">
        <v>-3.0499999999999999E-2</v>
      </c>
      <c r="R82" s="231">
        <v>5062.5</v>
      </c>
      <c r="S82" s="231">
        <v>5222</v>
      </c>
      <c r="T82" s="228">
        <v>-159.5</v>
      </c>
      <c r="U82" s="229">
        <v>-3.0499999999999999E-2</v>
      </c>
      <c r="V82" s="231">
        <v>5087.5</v>
      </c>
      <c r="W82" s="231">
        <v>5256</v>
      </c>
      <c r="X82" s="228">
        <v>-168.5</v>
      </c>
      <c r="Y82" s="229">
        <v>-3.2099999999999997E-2</v>
      </c>
      <c r="Z82" s="228">
        <v>2.5</v>
      </c>
      <c r="AA82" s="228">
        <v>4</v>
      </c>
      <c r="AB82" s="228">
        <v>-1.5</v>
      </c>
      <c r="AC82" s="229">
        <v>5.0000000000000001E-4</v>
      </c>
      <c r="AD82" s="228">
        <v>2.5</v>
      </c>
      <c r="AE82" s="228">
        <v>4</v>
      </c>
      <c r="AF82" s="228">
        <v>-1.5</v>
      </c>
      <c r="AG82" s="229">
        <v>5.0000000000000001E-4</v>
      </c>
      <c r="AH82" s="228">
        <v>30.5</v>
      </c>
      <c r="AI82" s="228">
        <v>33</v>
      </c>
      <c r="AJ82" s="228">
        <v>-2.5</v>
      </c>
      <c r="AK82" s="229">
        <v>6.1000000000000004E-3</v>
      </c>
      <c r="AL82" s="228">
        <v>55.5</v>
      </c>
      <c r="AM82" s="228">
        <v>67</v>
      </c>
      <c r="AN82" s="228">
        <v>-11.5</v>
      </c>
      <c r="AO82" s="229">
        <v>1.0999999999999999E-2</v>
      </c>
      <c r="AP82" s="231">
        <v>5065.67</v>
      </c>
      <c r="AQ82" s="231">
        <v>5091.17</v>
      </c>
      <c r="AR82" s="228">
        <v>0</v>
      </c>
      <c r="AS82" s="230">
        <v>1503</v>
      </c>
      <c r="AT82" s="228">
        <v>353</v>
      </c>
      <c r="AU82" s="230">
        <v>1150</v>
      </c>
      <c r="AV82" s="229">
        <v>3.2591000000000001</v>
      </c>
      <c r="AW82" s="228">
        <v>790</v>
      </c>
      <c r="AX82" s="228">
        <v>227</v>
      </c>
      <c r="AY82" s="228">
        <v>563</v>
      </c>
      <c r="AZ82" s="229">
        <v>2.4786000000000001</v>
      </c>
      <c r="BA82" s="228">
        <v>699</v>
      </c>
      <c r="BB82" s="228">
        <v>123</v>
      </c>
      <c r="BC82" s="228">
        <v>576</v>
      </c>
      <c r="BD82" s="229">
        <v>4.7005999999999997</v>
      </c>
      <c r="BE82" s="228">
        <v>14</v>
      </c>
      <c r="BF82" s="228">
        <v>3</v>
      </c>
      <c r="BG82" s="228">
        <v>11</v>
      </c>
      <c r="BH82" s="229">
        <v>3.4762</v>
      </c>
      <c r="BI82" s="230">
        <v>2721</v>
      </c>
      <c r="BJ82" s="230">
        <v>1442</v>
      </c>
      <c r="BK82" s="230">
        <v>1279</v>
      </c>
      <c r="BL82" s="229">
        <v>0.88649999999999995</v>
      </c>
      <c r="BM82" s="230">
        <v>1157</v>
      </c>
      <c r="BN82" s="228">
        <v>538</v>
      </c>
      <c r="BO82" s="228">
        <v>619</v>
      </c>
      <c r="BP82" s="229">
        <v>1.1509</v>
      </c>
      <c r="BQ82" s="230">
        <v>5381</v>
      </c>
      <c r="BR82" s="230">
        <v>2333</v>
      </c>
      <c r="BS82" s="230">
        <v>3048</v>
      </c>
      <c r="BT82" s="229">
        <v>1.3064</v>
      </c>
      <c r="BU82" s="230">
        <v>655717</v>
      </c>
      <c r="BV82" s="230">
        <v>311869</v>
      </c>
      <c r="BW82" s="230">
        <v>343848</v>
      </c>
      <c r="BX82" s="229">
        <v>1.1025</v>
      </c>
      <c r="BY82" s="230">
        <v>2290</v>
      </c>
      <c r="BZ82" s="230">
        <v>2223</v>
      </c>
      <c r="CA82" s="228">
        <v>67</v>
      </c>
      <c r="CB82" s="229">
        <v>0.03</v>
      </c>
      <c r="CC82" s="230">
        <v>1447</v>
      </c>
      <c r="CD82" s="230">
        <v>1933</v>
      </c>
      <c r="CE82" s="228">
        <v>-486</v>
      </c>
      <c r="CF82" s="229">
        <v>-0.2515</v>
      </c>
      <c r="CG82" s="228">
        <v>777</v>
      </c>
      <c r="CH82" s="228">
        <v>233</v>
      </c>
      <c r="CI82" s="228">
        <v>545</v>
      </c>
      <c r="CJ82" s="229">
        <v>2.3397000000000001</v>
      </c>
      <c r="CK82" s="228">
        <v>65</v>
      </c>
      <c r="CL82" s="228">
        <v>57</v>
      </c>
      <c r="CM82" s="228">
        <v>8</v>
      </c>
      <c r="CN82" s="229">
        <v>0.14549999999999999</v>
      </c>
      <c r="CO82" s="230">
        <v>1510</v>
      </c>
      <c r="CP82" s="230">
        <v>1278</v>
      </c>
      <c r="CQ82" s="228">
        <v>232</v>
      </c>
      <c r="CR82" s="229">
        <v>0.18140000000000001</v>
      </c>
      <c r="CS82" s="228">
        <v>671</v>
      </c>
      <c r="CT82" s="228">
        <v>699</v>
      </c>
      <c r="CU82" s="228">
        <v>-28</v>
      </c>
      <c r="CV82" s="229">
        <v>-3.9600000000000003E-2</v>
      </c>
      <c r="CW82" s="230">
        <v>4471</v>
      </c>
      <c r="CX82" s="230">
        <v>4200</v>
      </c>
      <c r="CY82" s="228">
        <v>271</v>
      </c>
      <c r="CZ82" s="229">
        <v>6.4500000000000002E-2</v>
      </c>
      <c r="DA82" s="228">
        <v>35.78</v>
      </c>
      <c r="DB82" s="228">
        <v>32.42</v>
      </c>
      <c r="DC82" s="228">
        <v>3.36</v>
      </c>
      <c r="DD82" s="228">
        <v>3.36</v>
      </c>
      <c r="DE82" s="228">
        <v>33.61</v>
      </c>
      <c r="DF82" s="228">
        <v>33.43</v>
      </c>
      <c r="DG82" s="228">
        <v>2.17</v>
      </c>
      <c r="DH82" s="228">
        <v>0.18</v>
      </c>
      <c r="DI82" s="228">
        <v>35.75</v>
      </c>
      <c r="DJ82" s="228">
        <v>32.26</v>
      </c>
      <c r="DK82" s="228">
        <v>3.49</v>
      </c>
      <c r="DL82" s="228">
        <v>3.49</v>
      </c>
      <c r="DM82" s="228">
        <v>35.869999999999997</v>
      </c>
      <c r="DN82" s="228">
        <v>32.82</v>
      </c>
      <c r="DO82" s="228">
        <v>3.05</v>
      </c>
      <c r="DP82" s="228">
        <v>3.05</v>
      </c>
      <c r="DQ82" s="228">
        <v>0.44</v>
      </c>
      <c r="DR82" s="228">
        <v>0.55000000000000004</v>
      </c>
      <c r="DS82" s="228">
        <v>-0.11</v>
      </c>
      <c r="DT82" s="229">
        <v>-0.2</v>
      </c>
      <c r="DU82" s="231">
        <v>5300</v>
      </c>
      <c r="DV82" s="231">
        <v>5200</v>
      </c>
      <c r="DW82" s="228">
        <v>0.43</v>
      </c>
      <c r="DX82" s="228">
        <v>0.37</v>
      </c>
      <c r="DY82" s="228">
        <v>0.06</v>
      </c>
      <c r="DZ82" s="229">
        <v>0.16220000000000001</v>
      </c>
      <c r="EA82" s="229">
        <v>0.36799999999999999</v>
      </c>
      <c r="EB82" s="230">
        <v>575700</v>
      </c>
      <c r="EC82" s="229">
        <v>5.5999999999999999E-3</v>
      </c>
      <c r="ED82" s="229">
        <v>0.36799999999999999</v>
      </c>
      <c r="EE82" s="228">
        <v>25.5</v>
      </c>
      <c r="EF82" s="229">
        <v>5.0000000000000001E-3</v>
      </c>
      <c r="EG82" s="230">
        <v>351338</v>
      </c>
      <c r="EH82" s="230">
        <v>172016</v>
      </c>
      <c r="EI82" s="229">
        <v>1.0425</v>
      </c>
      <c r="EJ82" s="229">
        <v>0.53580000000000005</v>
      </c>
      <c r="EK82" s="231">
        <v>2901.9</v>
      </c>
      <c r="EL82" s="231">
        <v>1163.95</v>
      </c>
      <c r="EM82" s="231">
        <v>1516.34</v>
      </c>
      <c r="EN82" s="228">
        <v>49.87</v>
      </c>
      <c r="EO82" s="231">
        <v>5582.18</v>
      </c>
      <c r="EP82" s="231">
        <v>2489.1999999999998</v>
      </c>
      <c r="EQ82" s="231">
        <v>3092.98</v>
      </c>
      <c r="ER82" s="229">
        <v>1.2425999999999999</v>
      </c>
      <c r="ES82" s="231">
        <v>1619.59</v>
      </c>
      <c r="ET82" s="228">
        <v>673.86</v>
      </c>
      <c r="EU82" s="231">
        <v>2294.7800000000002</v>
      </c>
      <c r="EV82" s="231">
        <v>19589014</v>
      </c>
      <c r="EW82" s="231">
        <v>4588.2299999999996</v>
      </c>
      <c r="EX82" s="231">
        <v>4382.3599999999997</v>
      </c>
      <c r="EY82" s="228">
        <v>205.87</v>
      </c>
      <c r="EZ82" s="229">
        <v>4.7E-2</v>
      </c>
      <c r="FA82" s="229">
        <v>0.45329999999999998</v>
      </c>
      <c r="FB82" s="227" t="s">
        <v>566</v>
      </c>
      <c r="FC82">
        <f t="shared" si="1"/>
        <v>843</v>
      </c>
    </row>
    <row r="83" spans="1:159" ht="17.25" thickBot="1" x14ac:dyDescent="0.3">
      <c r="A83" s="226">
        <v>46135</v>
      </c>
      <c r="B83" s="227" t="s">
        <v>227</v>
      </c>
      <c r="C83" s="227" t="s">
        <v>228</v>
      </c>
      <c r="D83" s="228">
        <v>700</v>
      </c>
      <c r="E83" s="228">
        <v>5</v>
      </c>
      <c r="F83" s="231">
        <v>1039.05</v>
      </c>
      <c r="G83" s="231">
        <v>1039.25</v>
      </c>
      <c r="H83" s="228">
        <v>-0.2</v>
      </c>
      <c r="I83" s="229">
        <v>-2.0000000000000001E-4</v>
      </c>
      <c r="J83" s="231">
        <v>1041.3499999999999</v>
      </c>
      <c r="K83" s="231">
        <v>1039.9000000000001</v>
      </c>
      <c r="L83" s="228">
        <v>1.45</v>
      </c>
      <c r="M83" s="229">
        <v>1.4E-3</v>
      </c>
      <c r="N83" s="231">
        <v>1039.05</v>
      </c>
      <c r="O83" s="231">
        <v>1039.25</v>
      </c>
      <c r="P83" s="228">
        <v>-0.2</v>
      </c>
      <c r="Q83" s="229">
        <v>-2.0000000000000001E-4</v>
      </c>
      <c r="R83" s="231">
        <v>1045.45</v>
      </c>
      <c r="S83" s="231">
        <v>1044.9000000000001</v>
      </c>
      <c r="T83" s="228">
        <v>0.55000000000000004</v>
      </c>
      <c r="U83" s="229">
        <v>5.0000000000000001E-4</v>
      </c>
      <c r="V83" s="231">
        <v>1052.3</v>
      </c>
      <c r="W83" s="231">
        <v>1051.8</v>
      </c>
      <c r="X83" s="228">
        <v>0.5</v>
      </c>
      <c r="Y83" s="229">
        <v>5.0000000000000001E-4</v>
      </c>
      <c r="Z83" s="228">
        <v>-2.2999999999999998</v>
      </c>
      <c r="AA83" s="228">
        <v>-0.65</v>
      </c>
      <c r="AB83" s="228">
        <v>-1.65</v>
      </c>
      <c r="AC83" s="229">
        <v>-2.2000000000000001E-3</v>
      </c>
      <c r="AD83" s="228">
        <v>-2.2999999999999998</v>
      </c>
      <c r="AE83" s="228">
        <v>-0.65</v>
      </c>
      <c r="AF83" s="228">
        <v>-1.65</v>
      </c>
      <c r="AG83" s="229">
        <v>-2.2000000000000001E-3</v>
      </c>
      <c r="AH83" s="228">
        <v>4.0999999999999996</v>
      </c>
      <c r="AI83" s="228">
        <v>5</v>
      </c>
      <c r="AJ83" s="228">
        <v>-0.9</v>
      </c>
      <c r="AK83" s="229">
        <v>3.8999999999999998E-3</v>
      </c>
      <c r="AL83" s="228">
        <v>10.95</v>
      </c>
      <c r="AM83" s="228">
        <v>11.9</v>
      </c>
      <c r="AN83" s="228">
        <v>-0.95</v>
      </c>
      <c r="AO83" s="229">
        <v>1.0500000000000001E-2</v>
      </c>
      <c r="AP83" s="231">
        <v>1039.51</v>
      </c>
      <c r="AQ83" s="231">
        <v>1045.8699999999999</v>
      </c>
      <c r="AR83" s="228">
        <v>0</v>
      </c>
      <c r="AS83" s="230">
        <v>2045</v>
      </c>
      <c r="AT83" s="228">
        <v>909</v>
      </c>
      <c r="AU83" s="230">
        <v>1136</v>
      </c>
      <c r="AV83" s="229">
        <v>1.2491000000000001</v>
      </c>
      <c r="AW83" s="230">
        <v>1091</v>
      </c>
      <c r="AX83" s="228">
        <v>585</v>
      </c>
      <c r="AY83" s="228">
        <v>506</v>
      </c>
      <c r="AZ83" s="229">
        <v>0.86529999999999996</v>
      </c>
      <c r="BA83" s="228">
        <v>942</v>
      </c>
      <c r="BB83" s="228">
        <v>310</v>
      </c>
      <c r="BC83" s="228">
        <v>632</v>
      </c>
      <c r="BD83" s="229">
        <v>2.0423</v>
      </c>
      <c r="BE83" s="228">
        <v>12</v>
      </c>
      <c r="BF83" s="228">
        <v>15</v>
      </c>
      <c r="BG83" s="228">
        <v>-2</v>
      </c>
      <c r="BH83" s="229">
        <v>-0.16589999999999999</v>
      </c>
      <c r="BI83" s="230">
        <v>2777</v>
      </c>
      <c r="BJ83" s="230">
        <v>3232</v>
      </c>
      <c r="BK83" s="228">
        <v>-455</v>
      </c>
      <c r="BL83" s="229">
        <v>-0.14069999999999999</v>
      </c>
      <c r="BM83" s="230">
        <v>1526</v>
      </c>
      <c r="BN83" s="230">
        <v>1482</v>
      </c>
      <c r="BO83" s="228">
        <v>44</v>
      </c>
      <c r="BP83" s="229">
        <v>2.98E-2</v>
      </c>
      <c r="BQ83" s="230">
        <v>6348</v>
      </c>
      <c r="BR83" s="230">
        <v>5623</v>
      </c>
      <c r="BS83" s="228">
        <v>725</v>
      </c>
      <c r="BT83" s="229">
        <v>0.129</v>
      </c>
      <c r="BU83" s="230">
        <v>4519950</v>
      </c>
      <c r="BV83" s="230">
        <v>4835434</v>
      </c>
      <c r="BW83" s="230">
        <v>-315484</v>
      </c>
      <c r="BX83" s="229">
        <v>-6.5199999999999994E-2</v>
      </c>
      <c r="BY83" s="230">
        <v>3818</v>
      </c>
      <c r="BZ83" s="230">
        <v>3762</v>
      </c>
      <c r="CA83" s="228">
        <v>56</v>
      </c>
      <c r="CB83" s="229">
        <v>1.4800000000000001E-2</v>
      </c>
      <c r="CC83" s="230">
        <v>2038</v>
      </c>
      <c r="CD83" s="230">
        <v>2748</v>
      </c>
      <c r="CE83" s="228">
        <v>-709</v>
      </c>
      <c r="CF83" s="229">
        <v>-0.25819999999999999</v>
      </c>
      <c r="CG83" s="230">
        <v>1546</v>
      </c>
      <c r="CH83" s="228">
        <v>788</v>
      </c>
      <c r="CI83" s="228">
        <v>757</v>
      </c>
      <c r="CJ83" s="229">
        <v>0.96050000000000002</v>
      </c>
      <c r="CK83" s="228">
        <v>234</v>
      </c>
      <c r="CL83" s="228">
        <v>226</v>
      </c>
      <c r="CM83" s="228">
        <v>8</v>
      </c>
      <c r="CN83" s="229">
        <v>3.3799999999999997E-2</v>
      </c>
      <c r="CO83" s="230">
        <v>1586</v>
      </c>
      <c r="CP83" s="230">
        <v>1577</v>
      </c>
      <c r="CQ83" s="228">
        <v>9</v>
      </c>
      <c r="CR83" s="229">
        <v>5.5999999999999999E-3</v>
      </c>
      <c r="CS83" s="230">
        <v>1201</v>
      </c>
      <c r="CT83" s="230">
        <v>1240</v>
      </c>
      <c r="CU83" s="228">
        <v>-40</v>
      </c>
      <c r="CV83" s="229">
        <v>-3.2000000000000001E-2</v>
      </c>
      <c r="CW83" s="230">
        <v>6604</v>
      </c>
      <c r="CX83" s="230">
        <v>6579</v>
      </c>
      <c r="CY83" s="228">
        <v>25</v>
      </c>
      <c r="CZ83" s="229">
        <v>3.8E-3</v>
      </c>
      <c r="DA83" s="228">
        <v>35.47</v>
      </c>
      <c r="DB83" s="228">
        <v>32.15</v>
      </c>
      <c r="DC83" s="228">
        <v>3.32</v>
      </c>
      <c r="DD83" s="228">
        <v>3.32</v>
      </c>
      <c r="DE83" s="228">
        <v>36.44</v>
      </c>
      <c r="DF83" s="228">
        <v>36.53</v>
      </c>
      <c r="DG83" s="228">
        <v>-0.97</v>
      </c>
      <c r="DH83" s="228">
        <v>-0.09</v>
      </c>
      <c r="DI83" s="228">
        <v>35.44</v>
      </c>
      <c r="DJ83" s="228">
        <v>31.14</v>
      </c>
      <c r="DK83" s="228">
        <v>4.3</v>
      </c>
      <c r="DL83" s="228">
        <v>4.3</v>
      </c>
      <c r="DM83" s="228">
        <v>35.549999999999997</v>
      </c>
      <c r="DN83" s="228">
        <v>34.369999999999997</v>
      </c>
      <c r="DO83" s="228">
        <v>1.18</v>
      </c>
      <c r="DP83" s="228">
        <v>1.18</v>
      </c>
      <c r="DQ83" s="228">
        <v>0.76</v>
      </c>
      <c r="DR83" s="228">
        <v>0.79</v>
      </c>
      <c r="DS83" s="228">
        <v>-0.03</v>
      </c>
      <c r="DT83" s="229">
        <v>-3.7999999999999999E-2</v>
      </c>
      <c r="DU83" s="228">
        <v>900</v>
      </c>
      <c r="DV83" s="228">
        <v>900</v>
      </c>
      <c r="DW83" s="228">
        <v>0.55000000000000004</v>
      </c>
      <c r="DX83" s="228">
        <v>0.46</v>
      </c>
      <c r="DY83" s="228">
        <v>0.09</v>
      </c>
      <c r="DZ83" s="229">
        <v>0.19570000000000001</v>
      </c>
      <c r="EA83" s="229">
        <v>0.46610000000000001</v>
      </c>
      <c r="EB83" s="230">
        <v>9763600</v>
      </c>
      <c r="EC83" s="229">
        <v>6.1999999999999998E-3</v>
      </c>
      <c r="ED83" s="229">
        <v>0.46610000000000001</v>
      </c>
      <c r="EE83" s="228">
        <v>6.36</v>
      </c>
      <c r="EF83" s="229">
        <v>6.1000000000000004E-3</v>
      </c>
      <c r="EG83" s="230">
        <v>2603501</v>
      </c>
      <c r="EH83" s="230">
        <v>2673349</v>
      </c>
      <c r="EI83" s="229">
        <v>-2.6100000000000002E-2</v>
      </c>
      <c r="EJ83" s="229">
        <v>0.57599999999999996</v>
      </c>
      <c r="EK83" s="231">
        <v>2874.25</v>
      </c>
      <c r="EL83" s="231">
        <v>1487.05</v>
      </c>
      <c r="EM83" s="231">
        <v>2051.64</v>
      </c>
      <c r="EN83" s="228">
        <v>111.5</v>
      </c>
      <c r="EO83" s="231">
        <v>6412.94</v>
      </c>
      <c r="EP83" s="231">
        <v>5650.4</v>
      </c>
      <c r="EQ83" s="228">
        <v>762.54</v>
      </c>
      <c r="ER83" s="229">
        <v>0.13500000000000001</v>
      </c>
      <c r="ES83" s="231">
        <v>1541.75</v>
      </c>
      <c r="ET83" s="231">
        <v>1098.82</v>
      </c>
      <c r="EU83" s="231">
        <v>3830.28</v>
      </c>
      <c r="EV83" s="231">
        <v>218611634</v>
      </c>
      <c r="EW83" s="231">
        <v>6470.86</v>
      </c>
      <c r="EX83" s="231">
        <v>6431.9</v>
      </c>
      <c r="EY83" s="228">
        <v>38.96</v>
      </c>
      <c r="EZ83" s="229">
        <v>6.1000000000000004E-3</v>
      </c>
      <c r="FA83" s="229">
        <v>0.29070000000000001</v>
      </c>
      <c r="FB83" s="227" t="s">
        <v>566</v>
      </c>
      <c r="FC83">
        <f t="shared" si="1"/>
        <v>1780</v>
      </c>
    </row>
    <row r="84" spans="1:159" ht="17.25" thickBot="1" x14ac:dyDescent="0.3">
      <c r="A84" s="226">
        <v>46135</v>
      </c>
      <c r="B84" s="227" t="s">
        <v>193</v>
      </c>
      <c r="C84" s="227" t="s">
        <v>229</v>
      </c>
      <c r="D84" s="228">
        <v>2025</v>
      </c>
      <c r="E84" s="228">
        <v>5</v>
      </c>
      <c r="F84" s="228">
        <v>376.65</v>
      </c>
      <c r="G84" s="228">
        <v>383.2</v>
      </c>
      <c r="H84" s="228">
        <v>-6.55</v>
      </c>
      <c r="I84" s="229">
        <v>-1.7100000000000001E-2</v>
      </c>
      <c r="J84" s="228">
        <v>376.9</v>
      </c>
      <c r="K84" s="228">
        <v>382.55</v>
      </c>
      <c r="L84" s="228">
        <v>-5.65</v>
      </c>
      <c r="M84" s="229">
        <v>-1.4800000000000001E-2</v>
      </c>
      <c r="N84" s="228">
        <v>376.65</v>
      </c>
      <c r="O84" s="228">
        <v>383.2</v>
      </c>
      <c r="P84" s="228">
        <v>-6.55</v>
      </c>
      <c r="Q84" s="229">
        <v>-1.7100000000000001E-2</v>
      </c>
      <c r="R84" s="228">
        <v>378.3</v>
      </c>
      <c r="S84" s="228">
        <v>385.05</v>
      </c>
      <c r="T84" s="228">
        <v>-6.75</v>
      </c>
      <c r="U84" s="229">
        <v>-1.7500000000000002E-2</v>
      </c>
      <c r="V84" s="228">
        <v>380.2</v>
      </c>
      <c r="W84" s="228">
        <v>387.2</v>
      </c>
      <c r="X84" s="228">
        <v>-7</v>
      </c>
      <c r="Y84" s="229">
        <v>-1.8100000000000002E-2</v>
      </c>
      <c r="Z84" s="228">
        <v>-0.25</v>
      </c>
      <c r="AA84" s="228">
        <v>0.65</v>
      </c>
      <c r="AB84" s="228">
        <v>-0.9</v>
      </c>
      <c r="AC84" s="229">
        <v>-6.9999999999999999E-4</v>
      </c>
      <c r="AD84" s="228">
        <v>-0.25</v>
      </c>
      <c r="AE84" s="228">
        <v>0.65</v>
      </c>
      <c r="AF84" s="228">
        <v>-0.9</v>
      </c>
      <c r="AG84" s="229">
        <v>-6.9999999999999999E-4</v>
      </c>
      <c r="AH84" s="228">
        <v>1.4</v>
      </c>
      <c r="AI84" s="228">
        <v>2.5</v>
      </c>
      <c r="AJ84" s="228">
        <v>-1.1000000000000001</v>
      </c>
      <c r="AK84" s="229">
        <v>3.7000000000000002E-3</v>
      </c>
      <c r="AL84" s="228">
        <v>3.3</v>
      </c>
      <c r="AM84" s="228">
        <v>4.6500000000000004</v>
      </c>
      <c r="AN84" s="228">
        <v>-1.35</v>
      </c>
      <c r="AO84" s="229">
        <v>8.8000000000000005E-3</v>
      </c>
      <c r="AP84" s="228">
        <v>375.29</v>
      </c>
      <c r="AQ84" s="228">
        <v>377.26</v>
      </c>
      <c r="AR84" s="228">
        <v>0</v>
      </c>
      <c r="AS84" s="230">
        <v>1037</v>
      </c>
      <c r="AT84" s="228">
        <v>405</v>
      </c>
      <c r="AU84" s="228">
        <v>632</v>
      </c>
      <c r="AV84" s="229">
        <v>1.5623</v>
      </c>
      <c r="AW84" s="228">
        <v>564</v>
      </c>
      <c r="AX84" s="228">
        <v>282</v>
      </c>
      <c r="AY84" s="228">
        <v>282</v>
      </c>
      <c r="AZ84" s="229">
        <v>0.99760000000000004</v>
      </c>
      <c r="BA84" s="228">
        <v>467</v>
      </c>
      <c r="BB84" s="228">
        <v>88</v>
      </c>
      <c r="BC84" s="228">
        <v>379</v>
      </c>
      <c r="BD84" s="229">
        <v>4.2957999999999998</v>
      </c>
      <c r="BE84" s="228">
        <v>6</v>
      </c>
      <c r="BF84" s="228">
        <v>34</v>
      </c>
      <c r="BG84" s="228">
        <v>-28</v>
      </c>
      <c r="BH84" s="229">
        <v>-0.8196</v>
      </c>
      <c r="BI84" s="228">
        <v>808</v>
      </c>
      <c r="BJ84" s="228">
        <v>766</v>
      </c>
      <c r="BK84" s="228">
        <v>41</v>
      </c>
      <c r="BL84" s="229">
        <v>5.3999999999999999E-2</v>
      </c>
      <c r="BM84" s="228">
        <v>875</v>
      </c>
      <c r="BN84" s="228">
        <v>613</v>
      </c>
      <c r="BO84" s="228">
        <v>262</v>
      </c>
      <c r="BP84" s="229">
        <v>0.42649999999999999</v>
      </c>
      <c r="BQ84" s="230">
        <v>2720</v>
      </c>
      <c r="BR84" s="230">
        <v>1784</v>
      </c>
      <c r="BS84" s="228">
        <v>935</v>
      </c>
      <c r="BT84" s="229">
        <v>0.52410000000000001</v>
      </c>
      <c r="BU84" s="230">
        <v>7062182</v>
      </c>
      <c r="BV84" s="230">
        <v>4981893</v>
      </c>
      <c r="BW84" s="230">
        <v>2080289</v>
      </c>
      <c r="BX84" s="229">
        <v>0.41760000000000003</v>
      </c>
      <c r="BY84" s="230">
        <v>1455</v>
      </c>
      <c r="BZ84" s="230">
        <v>1422</v>
      </c>
      <c r="CA84" s="228">
        <v>34</v>
      </c>
      <c r="CB84" s="229">
        <v>2.3699999999999999E-2</v>
      </c>
      <c r="CC84" s="228">
        <v>939</v>
      </c>
      <c r="CD84" s="230">
        <v>1214</v>
      </c>
      <c r="CE84" s="228">
        <v>-275</v>
      </c>
      <c r="CF84" s="229">
        <v>-0.22650000000000001</v>
      </c>
      <c r="CG84" s="228">
        <v>481</v>
      </c>
      <c r="CH84" s="228">
        <v>174</v>
      </c>
      <c r="CI84" s="228">
        <v>307</v>
      </c>
      <c r="CJ84" s="229">
        <v>1.7619</v>
      </c>
      <c r="CK84" s="228">
        <v>35</v>
      </c>
      <c r="CL84" s="228">
        <v>34</v>
      </c>
      <c r="CM84" s="228">
        <v>2</v>
      </c>
      <c r="CN84" s="229">
        <v>4.5400000000000003E-2</v>
      </c>
      <c r="CO84" s="228">
        <v>684</v>
      </c>
      <c r="CP84" s="228">
        <v>682</v>
      </c>
      <c r="CQ84" s="228">
        <v>2</v>
      </c>
      <c r="CR84" s="229">
        <v>2.8E-3</v>
      </c>
      <c r="CS84" s="228">
        <v>659</v>
      </c>
      <c r="CT84" s="228">
        <v>698</v>
      </c>
      <c r="CU84" s="228">
        <v>-39</v>
      </c>
      <c r="CV84" s="229">
        <v>-5.6300000000000003E-2</v>
      </c>
      <c r="CW84" s="230">
        <v>2798</v>
      </c>
      <c r="CX84" s="230">
        <v>2802</v>
      </c>
      <c r="CY84" s="228">
        <v>-4</v>
      </c>
      <c r="CZ84" s="229">
        <v>-1.2999999999999999E-3</v>
      </c>
      <c r="DA84" s="228">
        <v>41.19</v>
      </c>
      <c r="DB84" s="228">
        <v>42.3</v>
      </c>
      <c r="DC84" s="228">
        <v>-1.1100000000000001</v>
      </c>
      <c r="DD84" s="228">
        <v>-1.1100000000000001</v>
      </c>
      <c r="DE84" s="228">
        <v>44.04</v>
      </c>
      <c r="DF84" s="228">
        <v>44.11</v>
      </c>
      <c r="DG84" s="228">
        <v>-2.85</v>
      </c>
      <c r="DH84" s="228">
        <v>-7.0000000000000007E-2</v>
      </c>
      <c r="DI84" s="228">
        <v>41.1</v>
      </c>
      <c r="DJ84" s="228">
        <v>41.95</v>
      </c>
      <c r="DK84" s="228">
        <v>-0.85</v>
      </c>
      <c r="DL84" s="228">
        <v>-0.85</v>
      </c>
      <c r="DM84" s="228">
        <v>41.26</v>
      </c>
      <c r="DN84" s="228">
        <v>42.73</v>
      </c>
      <c r="DO84" s="228">
        <v>-1.47</v>
      </c>
      <c r="DP84" s="228">
        <v>-1.47</v>
      </c>
      <c r="DQ84" s="228">
        <v>0.96</v>
      </c>
      <c r="DR84" s="228">
        <v>1.02</v>
      </c>
      <c r="DS84" s="228">
        <v>-0.06</v>
      </c>
      <c r="DT84" s="229">
        <v>-5.8799999999999998E-2</v>
      </c>
      <c r="DU84" s="228">
        <v>400</v>
      </c>
      <c r="DV84" s="228">
        <v>350</v>
      </c>
      <c r="DW84" s="228">
        <v>1.08</v>
      </c>
      <c r="DX84" s="228">
        <v>0.8</v>
      </c>
      <c r="DY84" s="228">
        <v>0.28000000000000003</v>
      </c>
      <c r="DZ84" s="229">
        <v>0.35</v>
      </c>
      <c r="EA84" s="229">
        <v>0.35489999999999999</v>
      </c>
      <c r="EB84" s="230">
        <v>5520150</v>
      </c>
      <c r="EC84" s="229">
        <v>4.4000000000000003E-3</v>
      </c>
      <c r="ED84" s="229">
        <v>0.35489999999999999</v>
      </c>
      <c r="EE84" s="228">
        <v>1.97</v>
      </c>
      <c r="EF84" s="229">
        <v>5.1999999999999998E-3</v>
      </c>
      <c r="EG84" s="230">
        <v>2996487</v>
      </c>
      <c r="EH84" s="230">
        <v>2295473</v>
      </c>
      <c r="EI84" s="229">
        <v>0.3054</v>
      </c>
      <c r="EJ84" s="229">
        <v>0.42430000000000001</v>
      </c>
      <c r="EK84" s="228">
        <v>842.98</v>
      </c>
      <c r="EL84" s="228">
        <v>860.29</v>
      </c>
      <c r="EM84" s="231">
        <v>1035.9000000000001</v>
      </c>
      <c r="EN84" s="228">
        <v>47.52</v>
      </c>
      <c r="EO84" s="231">
        <v>2739.16</v>
      </c>
      <c r="EP84" s="231">
        <v>1836.33</v>
      </c>
      <c r="EQ84" s="228">
        <v>902.83</v>
      </c>
      <c r="ER84" s="229">
        <v>0.49170000000000003</v>
      </c>
      <c r="ES84" s="228">
        <v>691.7</v>
      </c>
      <c r="ET84" s="228">
        <v>608.54</v>
      </c>
      <c r="EU84" s="231">
        <v>1457.7</v>
      </c>
      <c r="EV84" s="231">
        <v>143933168</v>
      </c>
      <c r="EW84" s="231">
        <v>2757.95</v>
      </c>
      <c r="EX84" s="231">
        <v>2778.68</v>
      </c>
      <c r="EY84" s="228">
        <v>-20.73</v>
      </c>
      <c r="EZ84" s="229">
        <v>-7.4999999999999997E-3</v>
      </c>
      <c r="FA84" s="229">
        <v>0.5161</v>
      </c>
      <c r="FB84" s="227" t="s">
        <v>566</v>
      </c>
      <c r="FC84">
        <f t="shared" si="1"/>
        <v>516</v>
      </c>
    </row>
    <row r="85" spans="1:159" ht="17.25" thickBot="1" x14ac:dyDescent="0.3">
      <c r="A85" s="226">
        <v>46135</v>
      </c>
      <c r="B85" s="227" t="s">
        <v>168</v>
      </c>
      <c r="C85" s="227" t="s">
        <v>230</v>
      </c>
      <c r="D85" s="228">
        <v>300</v>
      </c>
      <c r="E85" s="228">
        <v>5</v>
      </c>
      <c r="F85" s="231">
        <v>2364.4</v>
      </c>
      <c r="G85" s="231">
        <v>2366.8000000000002</v>
      </c>
      <c r="H85" s="228">
        <v>-2.4</v>
      </c>
      <c r="I85" s="229">
        <v>-1E-3</v>
      </c>
      <c r="J85" s="231">
        <v>2366.4</v>
      </c>
      <c r="K85" s="231">
        <v>2368.8000000000002</v>
      </c>
      <c r="L85" s="228">
        <v>-2.4</v>
      </c>
      <c r="M85" s="229">
        <v>-1E-3</v>
      </c>
      <c r="N85" s="231">
        <v>2364.4</v>
      </c>
      <c r="O85" s="231">
        <v>2366.8000000000002</v>
      </c>
      <c r="P85" s="228">
        <v>-2.4</v>
      </c>
      <c r="Q85" s="229">
        <v>-1E-3</v>
      </c>
      <c r="R85" s="231">
        <v>2374.5</v>
      </c>
      <c r="S85" s="231">
        <v>2376.1999999999998</v>
      </c>
      <c r="T85" s="228">
        <v>-1.7</v>
      </c>
      <c r="U85" s="229">
        <v>-6.9999999999999999E-4</v>
      </c>
      <c r="V85" s="231">
        <v>2366.4</v>
      </c>
      <c r="W85" s="231">
        <v>2371</v>
      </c>
      <c r="X85" s="228">
        <v>-4.5999999999999996</v>
      </c>
      <c r="Y85" s="229">
        <v>-1.9E-3</v>
      </c>
      <c r="Z85" s="228">
        <v>-2</v>
      </c>
      <c r="AA85" s="228">
        <v>-2</v>
      </c>
      <c r="AB85" s="228">
        <v>0</v>
      </c>
      <c r="AC85" s="229">
        <v>-8.0000000000000004E-4</v>
      </c>
      <c r="AD85" s="228">
        <v>-2</v>
      </c>
      <c r="AE85" s="228">
        <v>-2</v>
      </c>
      <c r="AF85" s="228">
        <v>0</v>
      </c>
      <c r="AG85" s="229">
        <v>-8.0000000000000004E-4</v>
      </c>
      <c r="AH85" s="228">
        <v>8.1</v>
      </c>
      <c r="AI85" s="228">
        <v>7.4</v>
      </c>
      <c r="AJ85" s="228">
        <v>0.7</v>
      </c>
      <c r="AK85" s="229">
        <v>3.3999999999999998E-3</v>
      </c>
      <c r="AL85" s="228">
        <v>0</v>
      </c>
      <c r="AM85" s="228">
        <v>2.2000000000000002</v>
      </c>
      <c r="AN85" s="228">
        <v>-2.2000000000000002</v>
      </c>
      <c r="AO85" s="229">
        <v>0</v>
      </c>
      <c r="AP85" s="231">
        <v>2368.9499999999998</v>
      </c>
      <c r="AQ85" s="231">
        <v>2374.65</v>
      </c>
      <c r="AR85" s="228">
        <v>0</v>
      </c>
      <c r="AS85" s="230">
        <v>3240</v>
      </c>
      <c r="AT85" s="230">
        <v>1369</v>
      </c>
      <c r="AU85" s="230">
        <v>1871</v>
      </c>
      <c r="AV85" s="229">
        <v>1.3667</v>
      </c>
      <c r="AW85" s="230">
        <v>1689</v>
      </c>
      <c r="AX85" s="230">
        <v>1052</v>
      </c>
      <c r="AY85" s="228">
        <v>637</v>
      </c>
      <c r="AZ85" s="229">
        <v>0.60560000000000003</v>
      </c>
      <c r="BA85" s="230">
        <v>1521</v>
      </c>
      <c r="BB85" s="228">
        <v>295</v>
      </c>
      <c r="BC85" s="230">
        <v>1226</v>
      </c>
      <c r="BD85" s="229">
        <v>4.1604999999999999</v>
      </c>
      <c r="BE85" s="228">
        <v>30</v>
      </c>
      <c r="BF85" s="228">
        <v>22</v>
      </c>
      <c r="BG85" s="228">
        <v>8</v>
      </c>
      <c r="BH85" s="229">
        <v>0.34289999999999998</v>
      </c>
      <c r="BI85" s="230">
        <v>4134</v>
      </c>
      <c r="BJ85" s="230">
        <v>12114</v>
      </c>
      <c r="BK85" s="230">
        <v>-7980</v>
      </c>
      <c r="BL85" s="229">
        <v>-0.65869999999999995</v>
      </c>
      <c r="BM85" s="230">
        <v>2507</v>
      </c>
      <c r="BN85" s="230">
        <v>5515</v>
      </c>
      <c r="BO85" s="230">
        <v>-3008</v>
      </c>
      <c r="BP85" s="229">
        <v>-0.5454</v>
      </c>
      <c r="BQ85" s="230">
        <v>9881</v>
      </c>
      <c r="BR85" s="230">
        <v>18997</v>
      </c>
      <c r="BS85" s="230">
        <v>-9116</v>
      </c>
      <c r="BT85" s="229">
        <v>-0.47989999999999999</v>
      </c>
      <c r="BU85" s="230">
        <v>2102984</v>
      </c>
      <c r="BV85" s="230">
        <v>5938091</v>
      </c>
      <c r="BW85" s="230">
        <v>-3835107</v>
      </c>
      <c r="BX85" s="229">
        <v>-0.64580000000000004</v>
      </c>
      <c r="BY85" s="230">
        <v>4259</v>
      </c>
      <c r="BZ85" s="230">
        <v>4356</v>
      </c>
      <c r="CA85" s="228">
        <v>-97</v>
      </c>
      <c r="CB85" s="229">
        <v>-2.2200000000000001E-2</v>
      </c>
      <c r="CC85" s="230">
        <v>2618</v>
      </c>
      <c r="CD85" s="230">
        <v>3895</v>
      </c>
      <c r="CE85" s="230">
        <v>-1277</v>
      </c>
      <c r="CF85" s="229">
        <v>-0.32779999999999998</v>
      </c>
      <c r="CG85" s="230">
        <v>1576</v>
      </c>
      <c r="CH85" s="228">
        <v>408</v>
      </c>
      <c r="CI85" s="230">
        <v>1168</v>
      </c>
      <c r="CJ85" s="229">
        <v>2.8616000000000001</v>
      </c>
      <c r="CK85" s="228">
        <v>65</v>
      </c>
      <c r="CL85" s="228">
        <v>52</v>
      </c>
      <c r="CM85" s="228">
        <v>13</v>
      </c>
      <c r="CN85" s="229">
        <v>0.23949999999999999</v>
      </c>
      <c r="CO85" s="230">
        <v>2162</v>
      </c>
      <c r="CP85" s="230">
        <v>2101</v>
      </c>
      <c r="CQ85" s="228">
        <v>61</v>
      </c>
      <c r="CR85" s="229">
        <v>2.9000000000000001E-2</v>
      </c>
      <c r="CS85" s="230">
        <v>1650</v>
      </c>
      <c r="CT85" s="230">
        <v>1657</v>
      </c>
      <c r="CU85" s="228">
        <v>-7</v>
      </c>
      <c r="CV85" s="229">
        <v>-4.3E-3</v>
      </c>
      <c r="CW85" s="230">
        <v>8070</v>
      </c>
      <c r="CX85" s="230">
        <v>8113</v>
      </c>
      <c r="CY85" s="228">
        <v>-43</v>
      </c>
      <c r="CZ85" s="229">
        <v>-5.3E-3</v>
      </c>
      <c r="DA85" s="228">
        <v>27.34</v>
      </c>
      <c r="DB85" s="228">
        <v>24.36</v>
      </c>
      <c r="DC85" s="228">
        <v>2.98</v>
      </c>
      <c r="DD85" s="228">
        <v>2.98</v>
      </c>
      <c r="DE85" s="228">
        <v>24.39</v>
      </c>
      <c r="DF85" s="228">
        <v>24.45</v>
      </c>
      <c r="DG85" s="228">
        <v>2.95</v>
      </c>
      <c r="DH85" s="228">
        <v>-0.06</v>
      </c>
      <c r="DI85" s="228">
        <v>26.77</v>
      </c>
      <c r="DJ85" s="228">
        <v>23.9</v>
      </c>
      <c r="DK85" s="228">
        <v>2.87</v>
      </c>
      <c r="DL85" s="228">
        <v>2.87</v>
      </c>
      <c r="DM85" s="228">
        <v>28.3</v>
      </c>
      <c r="DN85" s="228">
        <v>25.38</v>
      </c>
      <c r="DO85" s="228">
        <v>2.92</v>
      </c>
      <c r="DP85" s="228">
        <v>2.92</v>
      </c>
      <c r="DQ85" s="228">
        <v>0.76</v>
      </c>
      <c r="DR85" s="228">
        <v>0.79</v>
      </c>
      <c r="DS85" s="228">
        <v>-0.03</v>
      </c>
      <c r="DT85" s="229">
        <v>-3.7999999999999999E-2</v>
      </c>
      <c r="DU85" s="231">
        <v>2260</v>
      </c>
      <c r="DV85" s="231">
        <v>2260</v>
      </c>
      <c r="DW85" s="228">
        <v>0.61</v>
      </c>
      <c r="DX85" s="228">
        <v>0.46</v>
      </c>
      <c r="DY85" s="228">
        <v>0.15</v>
      </c>
      <c r="DZ85" s="229">
        <v>0.3261</v>
      </c>
      <c r="EA85" s="229">
        <v>0.38519999999999999</v>
      </c>
      <c r="EB85" s="230">
        <v>1947300</v>
      </c>
      <c r="EC85" s="229">
        <v>4.3E-3</v>
      </c>
      <c r="ED85" s="229">
        <v>0.38519999999999999</v>
      </c>
      <c r="EE85" s="228">
        <v>5.7</v>
      </c>
      <c r="EF85" s="229">
        <v>2.3999999999999998E-3</v>
      </c>
      <c r="EG85" s="230">
        <v>1207201</v>
      </c>
      <c r="EH85" s="230">
        <v>3752988</v>
      </c>
      <c r="EI85" s="229">
        <v>-0.67830000000000001</v>
      </c>
      <c r="EJ85" s="229">
        <v>0.57399999999999995</v>
      </c>
      <c r="EK85" s="231">
        <v>4258.28</v>
      </c>
      <c r="EL85" s="231">
        <v>2468.64</v>
      </c>
      <c r="EM85" s="231">
        <v>3249.89</v>
      </c>
      <c r="EN85" s="228">
        <v>120.7</v>
      </c>
      <c r="EO85" s="231">
        <v>9976.82</v>
      </c>
      <c r="EP85" s="231">
        <v>19215.02</v>
      </c>
      <c r="EQ85" s="231">
        <v>-9238.2000000000007</v>
      </c>
      <c r="ER85" s="229">
        <v>-0.48080000000000001</v>
      </c>
      <c r="ES85" s="231">
        <v>2117.17</v>
      </c>
      <c r="ET85" s="231">
        <v>1529.61</v>
      </c>
      <c r="EU85" s="231">
        <v>4265.47</v>
      </c>
      <c r="EV85" s="231">
        <v>89517840</v>
      </c>
      <c r="EW85" s="231">
        <v>7912.25</v>
      </c>
      <c r="EX85" s="231">
        <v>7944.85</v>
      </c>
      <c r="EY85" s="228">
        <v>-32.6</v>
      </c>
      <c r="EZ85" s="229">
        <v>-4.1000000000000003E-3</v>
      </c>
      <c r="FA85" s="229">
        <v>0.38129999999999997</v>
      </c>
      <c r="FB85" s="227" t="s">
        <v>567</v>
      </c>
      <c r="FC85">
        <f t="shared" si="1"/>
        <v>1641</v>
      </c>
    </row>
    <row r="86" spans="1:159" ht="17.25" thickBot="1" x14ac:dyDescent="0.3">
      <c r="A86" s="226">
        <v>46135</v>
      </c>
      <c r="B86" s="227" t="s">
        <v>227</v>
      </c>
      <c r="C86" s="227" t="s">
        <v>666</v>
      </c>
      <c r="D86" s="228">
        <v>1225</v>
      </c>
      <c r="E86" s="228">
        <v>5</v>
      </c>
      <c r="F86" s="228">
        <v>594.04999999999995</v>
      </c>
      <c r="G86" s="228">
        <v>606.20000000000005</v>
      </c>
      <c r="H86" s="228">
        <v>-12.15</v>
      </c>
      <c r="I86" s="229">
        <v>-0.02</v>
      </c>
      <c r="J86" s="228">
        <v>592.1</v>
      </c>
      <c r="K86" s="228">
        <v>604.75</v>
      </c>
      <c r="L86" s="228">
        <v>-12.65</v>
      </c>
      <c r="M86" s="229">
        <v>-2.0899999999999998E-2</v>
      </c>
      <c r="N86" s="228">
        <v>594.04999999999995</v>
      </c>
      <c r="O86" s="228">
        <v>606.20000000000005</v>
      </c>
      <c r="P86" s="228">
        <v>-12.15</v>
      </c>
      <c r="Q86" s="229">
        <v>-0.02</v>
      </c>
      <c r="R86" s="228">
        <v>590.45000000000005</v>
      </c>
      <c r="S86" s="228">
        <v>606.20000000000005</v>
      </c>
      <c r="T86" s="228">
        <v>-15.75</v>
      </c>
      <c r="U86" s="229">
        <v>-2.5999999999999999E-2</v>
      </c>
      <c r="V86" s="228">
        <v>593.6</v>
      </c>
      <c r="W86" s="228">
        <v>608.65</v>
      </c>
      <c r="X86" s="228">
        <v>-15.05</v>
      </c>
      <c r="Y86" s="229">
        <v>-2.47E-2</v>
      </c>
      <c r="Z86" s="228">
        <v>1.95</v>
      </c>
      <c r="AA86" s="228">
        <v>1.45</v>
      </c>
      <c r="AB86" s="228">
        <v>0.5</v>
      </c>
      <c r="AC86" s="229">
        <v>3.3E-3</v>
      </c>
      <c r="AD86" s="228">
        <v>1.95</v>
      </c>
      <c r="AE86" s="228">
        <v>1.45</v>
      </c>
      <c r="AF86" s="228">
        <v>0.5</v>
      </c>
      <c r="AG86" s="229">
        <v>3.3E-3</v>
      </c>
      <c r="AH86" s="228">
        <v>-1.65</v>
      </c>
      <c r="AI86" s="228">
        <v>1.45</v>
      </c>
      <c r="AJ86" s="228">
        <v>-3.1</v>
      </c>
      <c r="AK86" s="229">
        <v>-2.8E-3</v>
      </c>
      <c r="AL86" s="228">
        <v>1.5</v>
      </c>
      <c r="AM86" s="228">
        <v>3.9</v>
      </c>
      <c r="AN86" s="228">
        <v>-2.4</v>
      </c>
      <c r="AO86" s="229">
        <v>2.5000000000000001E-3</v>
      </c>
      <c r="AP86" s="228">
        <v>594.83000000000004</v>
      </c>
      <c r="AQ86" s="228">
        <v>591.28</v>
      </c>
      <c r="AR86" s="228">
        <v>0</v>
      </c>
      <c r="AS86" s="230">
        <v>1312</v>
      </c>
      <c r="AT86" s="228">
        <v>931</v>
      </c>
      <c r="AU86" s="228">
        <v>382</v>
      </c>
      <c r="AV86" s="229">
        <v>0.41010000000000002</v>
      </c>
      <c r="AW86" s="228">
        <v>660</v>
      </c>
      <c r="AX86" s="228">
        <v>524</v>
      </c>
      <c r="AY86" s="228">
        <v>136</v>
      </c>
      <c r="AZ86" s="229">
        <v>0.25879999999999997</v>
      </c>
      <c r="BA86" s="228">
        <v>639</v>
      </c>
      <c r="BB86" s="228">
        <v>391</v>
      </c>
      <c r="BC86" s="228">
        <v>248</v>
      </c>
      <c r="BD86" s="229">
        <v>0.63549999999999995</v>
      </c>
      <c r="BE86" s="228">
        <v>13</v>
      </c>
      <c r="BF86" s="228">
        <v>16</v>
      </c>
      <c r="BG86" s="228">
        <v>-2</v>
      </c>
      <c r="BH86" s="229">
        <v>-0.15890000000000001</v>
      </c>
      <c r="BI86" s="230">
        <v>1787</v>
      </c>
      <c r="BJ86" s="230">
        <v>2980</v>
      </c>
      <c r="BK86" s="230">
        <v>-1193</v>
      </c>
      <c r="BL86" s="229">
        <v>-0.40039999999999998</v>
      </c>
      <c r="BM86" s="228">
        <v>838</v>
      </c>
      <c r="BN86" s="230">
        <v>1155</v>
      </c>
      <c r="BO86" s="228">
        <v>-317</v>
      </c>
      <c r="BP86" s="229">
        <v>-0.2742</v>
      </c>
      <c r="BQ86" s="230">
        <v>3937</v>
      </c>
      <c r="BR86" s="230">
        <v>5065</v>
      </c>
      <c r="BS86" s="230">
        <v>-1128</v>
      </c>
      <c r="BT86" s="229">
        <v>-0.22270000000000001</v>
      </c>
      <c r="BU86" s="230">
        <v>5078813</v>
      </c>
      <c r="BV86" s="230">
        <v>7416132</v>
      </c>
      <c r="BW86" s="230">
        <v>-2337319</v>
      </c>
      <c r="BX86" s="229">
        <v>-0.31519999999999998</v>
      </c>
      <c r="BY86" s="230">
        <v>2551</v>
      </c>
      <c r="BZ86" s="230">
        <v>2306</v>
      </c>
      <c r="CA86" s="228">
        <v>246</v>
      </c>
      <c r="CB86" s="229">
        <v>0.1065</v>
      </c>
      <c r="CC86" s="230">
        <v>1654</v>
      </c>
      <c r="CD86" s="230">
        <v>1805</v>
      </c>
      <c r="CE86" s="228">
        <v>-151</v>
      </c>
      <c r="CF86" s="229">
        <v>-8.3599999999999994E-2</v>
      </c>
      <c r="CG86" s="228">
        <v>850</v>
      </c>
      <c r="CH86" s="228">
        <v>457</v>
      </c>
      <c r="CI86" s="228">
        <v>393</v>
      </c>
      <c r="CJ86" s="229">
        <v>0.85940000000000005</v>
      </c>
      <c r="CK86" s="228">
        <v>48</v>
      </c>
      <c r="CL86" s="228">
        <v>44</v>
      </c>
      <c r="CM86" s="228">
        <v>4</v>
      </c>
      <c r="CN86" s="229">
        <v>8.8300000000000003E-2</v>
      </c>
      <c r="CO86" s="230">
        <v>1377</v>
      </c>
      <c r="CP86" s="230">
        <v>1269</v>
      </c>
      <c r="CQ86" s="228">
        <v>109</v>
      </c>
      <c r="CR86" s="229">
        <v>8.5599999999999996E-2</v>
      </c>
      <c r="CS86" s="230">
        <v>1003</v>
      </c>
      <c r="CT86" s="230">
        <v>1019</v>
      </c>
      <c r="CU86" s="228">
        <v>-16</v>
      </c>
      <c r="CV86" s="229">
        <v>-1.5800000000000002E-2</v>
      </c>
      <c r="CW86" s="230">
        <v>4932</v>
      </c>
      <c r="CX86" s="230">
        <v>4594</v>
      </c>
      <c r="CY86" s="228">
        <v>338</v>
      </c>
      <c r="CZ86" s="229">
        <v>7.3599999999999999E-2</v>
      </c>
      <c r="DA86" s="228">
        <v>40.520000000000003</v>
      </c>
      <c r="DB86" s="228">
        <v>43.21</v>
      </c>
      <c r="DC86" s="228">
        <v>-2.69</v>
      </c>
      <c r="DD86" s="228">
        <v>-2.69</v>
      </c>
      <c r="DE86" s="228">
        <v>50.26</v>
      </c>
      <c r="DF86" s="228">
        <v>50.32</v>
      </c>
      <c r="DG86" s="228">
        <v>-9.74</v>
      </c>
      <c r="DH86" s="228">
        <v>-0.06</v>
      </c>
      <c r="DI86" s="228">
        <v>40.75</v>
      </c>
      <c r="DJ86" s="228">
        <v>41.93</v>
      </c>
      <c r="DK86" s="228">
        <v>-1.18</v>
      </c>
      <c r="DL86" s="228">
        <v>-1.18</v>
      </c>
      <c r="DM86" s="228">
        <v>40.14</v>
      </c>
      <c r="DN86" s="228">
        <v>46.53</v>
      </c>
      <c r="DO86" s="228">
        <v>-6.39</v>
      </c>
      <c r="DP86" s="228">
        <v>-6.39</v>
      </c>
      <c r="DQ86" s="228">
        <v>0.73</v>
      </c>
      <c r="DR86" s="228">
        <v>0.8</v>
      </c>
      <c r="DS86" s="228">
        <v>-7.0000000000000007E-2</v>
      </c>
      <c r="DT86" s="229">
        <v>-8.7499999999999994E-2</v>
      </c>
      <c r="DU86" s="228">
        <v>600</v>
      </c>
      <c r="DV86" s="228">
        <v>570</v>
      </c>
      <c r="DW86" s="228">
        <v>0.47</v>
      </c>
      <c r="DX86" s="228">
        <v>0.39</v>
      </c>
      <c r="DY86" s="228">
        <v>0.08</v>
      </c>
      <c r="DZ86" s="229">
        <v>0.2051</v>
      </c>
      <c r="EA86" s="229">
        <v>0.35160000000000002</v>
      </c>
      <c r="EB86" s="230">
        <v>8426775</v>
      </c>
      <c r="EC86" s="229">
        <v>-6.1000000000000004E-3</v>
      </c>
      <c r="ED86" s="229">
        <v>0.35160000000000002</v>
      </c>
      <c r="EE86" s="228">
        <v>-3.55</v>
      </c>
      <c r="EF86" s="229">
        <v>-6.0000000000000001E-3</v>
      </c>
      <c r="EG86" s="230">
        <v>2465428</v>
      </c>
      <c r="EH86" s="230">
        <v>2594471</v>
      </c>
      <c r="EI86" s="229">
        <v>-4.9700000000000001E-2</v>
      </c>
      <c r="EJ86" s="229">
        <v>0.4854</v>
      </c>
      <c r="EK86" s="231">
        <v>1875.08</v>
      </c>
      <c r="EL86" s="228">
        <v>827.43</v>
      </c>
      <c r="EM86" s="231">
        <v>1310.0999999999999</v>
      </c>
      <c r="EN86" s="228">
        <v>60.94</v>
      </c>
      <c r="EO86" s="231">
        <v>4012.61</v>
      </c>
      <c r="EP86" s="231">
        <v>5204.1899999999996</v>
      </c>
      <c r="EQ86" s="231">
        <v>-1191.58</v>
      </c>
      <c r="ER86" s="229">
        <v>-0.22900000000000001</v>
      </c>
      <c r="ES86" s="231">
        <v>1384.13</v>
      </c>
      <c r="ET86" s="228">
        <v>928.93</v>
      </c>
      <c r="EU86" s="231">
        <v>2546.17</v>
      </c>
      <c r="EV86" s="231">
        <v>241870587</v>
      </c>
      <c r="EW86" s="231">
        <v>4859.2299999999996</v>
      </c>
      <c r="EX86" s="231">
        <v>4565.9399999999996</v>
      </c>
      <c r="EY86" s="228">
        <v>293.29000000000002</v>
      </c>
      <c r="EZ86" s="229">
        <v>6.4199999999999993E-2</v>
      </c>
      <c r="FA86" s="229">
        <v>0.34320000000000001</v>
      </c>
      <c r="FB86" s="227" t="s">
        <v>566</v>
      </c>
      <c r="FC86">
        <f t="shared" si="1"/>
        <v>897</v>
      </c>
    </row>
    <row r="87" spans="1:159" ht="17.25" thickBot="1" x14ac:dyDescent="0.3">
      <c r="A87" s="226">
        <v>46135</v>
      </c>
      <c r="B87" s="227" t="s">
        <v>206</v>
      </c>
      <c r="C87" s="227" t="s">
        <v>607</v>
      </c>
      <c r="D87" s="228">
        <v>2775</v>
      </c>
      <c r="E87" s="228">
        <v>5</v>
      </c>
      <c r="F87" s="228">
        <v>205</v>
      </c>
      <c r="G87" s="228">
        <v>200.12</v>
      </c>
      <c r="H87" s="228">
        <v>4.88</v>
      </c>
      <c r="I87" s="229">
        <v>2.4400000000000002E-2</v>
      </c>
      <c r="J87" s="228">
        <v>204.46</v>
      </c>
      <c r="K87" s="228">
        <v>199.88</v>
      </c>
      <c r="L87" s="228">
        <v>4.58</v>
      </c>
      <c r="M87" s="229">
        <v>2.29E-2</v>
      </c>
      <c r="N87" s="228">
        <v>205</v>
      </c>
      <c r="O87" s="228">
        <v>200.12</v>
      </c>
      <c r="P87" s="228">
        <v>4.88</v>
      </c>
      <c r="Q87" s="229">
        <v>2.4400000000000002E-2</v>
      </c>
      <c r="R87" s="228">
        <v>0</v>
      </c>
      <c r="S87" s="228">
        <v>0</v>
      </c>
      <c r="T87" s="228">
        <v>0</v>
      </c>
      <c r="U87" s="229">
        <v>0</v>
      </c>
      <c r="V87" s="228">
        <v>0</v>
      </c>
      <c r="W87" s="228">
        <v>0</v>
      </c>
      <c r="X87" s="228">
        <v>0</v>
      </c>
      <c r="Y87" s="229">
        <v>0</v>
      </c>
      <c r="Z87" s="228">
        <v>0.54</v>
      </c>
      <c r="AA87" s="228">
        <v>0.24</v>
      </c>
      <c r="AB87" s="228">
        <v>0.3</v>
      </c>
      <c r="AC87" s="229">
        <v>2.5999999999999999E-3</v>
      </c>
      <c r="AD87" s="228">
        <v>0.54</v>
      </c>
      <c r="AE87" s="228">
        <v>0.24</v>
      </c>
      <c r="AF87" s="228">
        <v>0.3</v>
      </c>
      <c r="AG87" s="229">
        <v>2.5999999999999999E-3</v>
      </c>
      <c r="AH87" s="228">
        <v>0</v>
      </c>
      <c r="AI87" s="228">
        <v>0</v>
      </c>
      <c r="AJ87" s="228">
        <v>0</v>
      </c>
      <c r="AK87" s="229">
        <v>0</v>
      </c>
      <c r="AL87" s="228">
        <v>0</v>
      </c>
      <c r="AM87" s="228">
        <v>0</v>
      </c>
      <c r="AN87" s="228">
        <v>0</v>
      </c>
      <c r="AO87" s="229">
        <v>0</v>
      </c>
      <c r="AP87" s="228">
        <v>204.46</v>
      </c>
      <c r="AQ87" s="228">
        <v>0</v>
      </c>
      <c r="AR87" s="228">
        <v>0</v>
      </c>
      <c r="AS87" s="228">
        <v>138</v>
      </c>
      <c r="AT87" s="228">
        <v>90</v>
      </c>
      <c r="AU87" s="228">
        <v>48</v>
      </c>
      <c r="AV87" s="229">
        <v>0.53349999999999997</v>
      </c>
      <c r="AW87" s="228">
        <v>138</v>
      </c>
      <c r="AX87" s="228">
        <v>90</v>
      </c>
      <c r="AY87" s="228">
        <v>48</v>
      </c>
      <c r="AZ87" s="229">
        <v>0.53349999999999997</v>
      </c>
      <c r="BA87" s="228">
        <v>0</v>
      </c>
      <c r="BB87" s="228">
        <v>0</v>
      </c>
      <c r="BC87" s="228">
        <v>0</v>
      </c>
      <c r="BD87" s="229">
        <v>0</v>
      </c>
      <c r="BE87" s="228">
        <v>0</v>
      </c>
      <c r="BF87" s="228">
        <v>0</v>
      </c>
      <c r="BG87" s="228">
        <v>0</v>
      </c>
      <c r="BH87" s="229">
        <v>0</v>
      </c>
      <c r="BI87" s="228">
        <v>644</v>
      </c>
      <c r="BJ87" s="228">
        <v>269</v>
      </c>
      <c r="BK87" s="228">
        <v>375</v>
      </c>
      <c r="BL87" s="229">
        <v>1.3920999999999999</v>
      </c>
      <c r="BM87" s="228">
        <v>289</v>
      </c>
      <c r="BN87" s="228">
        <v>92</v>
      </c>
      <c r="BO87" s="228">
        <v>197</v>
      </c>
      <c r="BP87" s="229">
        <v>2.1434000000000002</v>
      </c>
      <c r="BQ87" s="230">
        <v>1072</v>
      </c>
      <c r="BR87" s="228">
        <v>452</v>
      </c>
      <c r="BS87" s="228">
        <v>620</v>
      </c>
      <c r="BT87" s="229">
        <v>1.3738999999999999</v>
      </c>
      <c r="BU87" s="230">
        <v>7745352</v>
      </c>
      <c r="BV87" s="230">
        <v>3549388</v>
      </c>
      <c r="BW87" s="230">
        <v>4195964</v>
      </c>
      <c r="BX87" s="229">
        <v>1.1821999999999999</v>
      </c>
      <c r="BY87" s="228">
        <v>468</v>
      </c>
      <c r="BZ87" s="228">
        <v>498</v>
      </c>
      <c r="CA87" s="228">
        <v>-30</v>
      </c>
      <c r="CB87" s="229">
        <v>-6.0299999999999999E-2</v>
      </c>
      <c r="CC87" s="228">
        <v>468</v>
      </c>
      <c r="CD87" s="228">
        <v>498</v>
      </c>
      <c r="CE87" s="228">
        <v>-30</v>
      </c>
      <c r="CF87" s="229">
        <v>-6.0299999999999999E-2</v>
      </c>
      <c r="CG87" s="228">
        <v>0</v>
      </c>
      <c r="CH87" s="228">
        <v>0</v>
      </c>
      <c r="CI87" s="228">
        <v>0</v>
      </c>
      <c r="CJ87" s="229">
        <v>0</v>
      </c>
      <c r="CK87" s="228">
        <v>0</v>
      </c>
      <c r="CL87" s="228">
        <v>0</v>
      </c>
      <c r="CM87" s="228">
        <v>0</v>
      </c>
      <c r="CN87" s="229">
        <v>0</v>
      </c>
      <c r="CO87" s="228">
        <v>264</v>
      </c>
      <c r="CP87" s="228">
        <v>274</v>
      </c>
      <c r="CQ87" s="228">
        <v>-9</v>
      </c>
      <c r="CR87" s="229">
        <v>-3.4099999999999998E-2</v>
      </c>
      <c r="CS87" s="228">
        <v>253</v>
      </c>
      <c r="CT87" s="228">
        <v>222</v>
      </c>
      <c r="CU87" s="228">
        <v>31</v>
      </c>
      <c r="CV87" s="229">
        <v>0.14119999999999999</v>
      </c>
      <c r="CW87" s="228">
        <v>985</v>
      </c>
      <c r="CX87" s="228">
        <v>993</v>
      </c>
      <c r="CY87" s="228">
        <v>-8</v>
      </c>
      <c r="CZ87" s="229">
        <v>-8.0999999999999996E-3</v>
      </c>
      <c r="DA87" s="228">
        <v>49.98</v>
      </c>
      <c r="DB87" s="228">
        <v>37.72</v>
      </c>
      <c r="DC87" s="228">
        <v>12.26</v>
      </c>
      <c r="DD87" s="228">
        <v>12.26</v>
      </c>
      <c r="DE87" s="228">
        <v>49.98</v>
      </c>
      <c r="DF87" s="228">
        <v>50</v>
      </c>
      <c r="DG87" s="228">
        <v>0</v>
      </c>
      <c r="DH87" s="228">
        <v>-0.02</v>
      </c>
      <c r="DI87" s="228">
        <v>49.98</v>
      </c>
      <c r="DJ87" s="228">
        <v>35.83</v>
      </c>
      <c r="DK87" s="228">
        <v>14.15</v>
      </c>
      <c r="DL87" s="228">
        <v>14.15</v>
      </c>
      <c r="DM87" s="228">
        <v>49.98</v>
      </c>
      <c r="DN87" s="228">
        <v>43.27</v>
      </c>
      <c r="DO87" s="228">
        <v>6.71</v>
      </c>
      <c r="DP87" s="228">
        <v>6.71</v>
      </c>
      <c r="DQ87" s="228">
        <v>0.96</v>
      </c>
      <c r="DR87" s="228">
        <v>0.81</v>
      </c>
      <c r="DS87" s="228">
        <v>0.15</v>
      </c>
      <c r="DT87" s="229">
        <v>0.1852</v>
      </c>
      <c r="DU87" s="228">
        <v>210</v>
      </c>
      <c r="DV87" s="228">
        <v>200</v>
      </c>
      <c r="DW87" s="228">
        <v>0.45</v>
      </c>
      <c r="DX87" s="228">
        <v>0.34</v>
      </c>
      <c r="DY87" s="228">
        <v>0.11</v>
      </c>
      <c r="DZ87" s="229">
        <v>0.32350000000000001</v>
      </c>
      <c r="EA87" s="229">
        <v>0</v>
      </c>
      <c r="EB87" s="228">
        <v>0</v>
      </c>
      <c r="EC87" s="229">
        <v>0</v>
      </c>
      <c r="ED87" s="229">
        <v>0</v>
      </c>
      <c r="EE87" s="228">
        <v>0</v>
      </c>
      <c r="EF87" s="229">
        <v>0</v>
      </c>
      <c r="EG87" s="230">
        <v>2709662</v>
      </c>
      <c r="EH87" s="230">
        <v>1164624</v>
      </c>
      <c r="EI87" s="229">
        <v>1.3266</v>
      </c>
      <c r="EJ87" s="229">
        <v>0.3498</v>
      </c>
      <c r="EK87" s="228">
        <v>658.97</v>
      </c>
      <c r="EL87" s="228">
        <v>277.56</v>
      </c>
      <c r="EM87" s="228">
        <v>137.82</v>
      </c>
      <c r="EN87" s="228">
        <v>20.85</v>
      </c>
      <c r="EO87" s="231">
        <v>1074.3499999999999</v>
      </c>
      <c r="EP87" s="228">
        <v>447.13</v>
      </c>
      <c r="EQ87" s="228">
        <v>627.22</v>
      </c>
      <c r="ER87" s="229">
        <v>1.4028</v>
      </c>
      <c r="ES87" s="228">
        <v>255.81</v>
      </c>
      <c r="ET87" s="228">
        <v>228.75</v>
      </c>
      <c r="EU87" s="228">
        <v>467.79</v>
      </c>
      <c r="EV87" s="231">
        <v>75071250</v>
      </c>
      <c r="EW87" s="228">
        <v>952.34</v>
      </c>
      <c r="EX87" s="228">
        <v>946.59</v>
      </c>
      <c r="EY87" s="228">
        <v>5.75</v>
      </c>
      <c r="EZ87" s="229">
        <v>6.1000000000000004E-3</v>
      </c>
      <c r="FA87" s="229">
        <v>0.64029999999999998</v>
      </c>
      <c r="FB87" s="227" t="s">
        <v>693</v>
      </c>
      <c r="FC87">
        <f t="shared" si="1"/>
        <v>0</v>
      </c>
    </row>
    <row r="88" spans="1:159" ht="17.25" thickBot="1" x14ac:dyDescent="0.3">
      <c r="A88" s="226">
        <v>46135</v>
      </c>
      <c r="B88" s="227" t="s">
        <v>162</v>
      </c>
      <c r="C88" s="227" t="s">
        <v>694</v>
      </c>
      <c r="D88" s="228">
        <v>275</v>
      </c>
      <c r="E88" s="228">
        <v>5</v>
      </c>
      <c r="F88" s="231">
        <v>1847.1</v>
      </c>
      <c r="G88" s="231">
        <v>1841.8</v>
      </c>
      <c r="H88" s="228">
        <v>5.3</v>
      </c>
      <c r="I88" s="229">
        <v>2.8999999999999998E-3</v>
      </c>
      <c r="J88" s="231">
        <v>1844.2</v>
      </c>
      <c r="K88" s="231">
        <v>1849.5</v>
      </c>
      <c r="L88" s="228">
        <v>-5.3</v>
      </c>
      <c r="M88" s="229">
        <v>-2.8999999999999998E-3</v>
      </c>
      <c r="N88" s="231">
        <v>1847.1</v>
      </c>
      <c r="O88" s="231">
        <v>1841.8</v>
      </c>
      <c r="P88" s="228">
        <v>5.3</v>
      </c>
      <c r="Q88" s="229">
        <v>2.8999999999999998E-3</v>
      </c>
      <c r="R88" s="231">
        <v>1796.5</v>
      </c>
      <c r="S88" s="231">
        <v>1805.5</v>
      </c>
      <c r="T88" s="228">
        <v>-9</v>
      </c>
      <c r="U88" s="229">
        <v>-5.0000000000000001E-3</v>
      </c>
      <c r="V88" s="231">
        <v>1774.2</v>
      </c>
      <c r="W88" s="231">
        <v>1791.8</v>
      </c>
      <c r="X88" s="228">
        <v>-17.600000000000001</v>
      </c>
      <c r="Y88" s="229">
        <v>-9.7999999999999997E-3</v>
      </c>
      <c r="Z88" s="228">
        <v>2.9</v>
      </c>
      <c r="AA88" s="228">
        <v>-7.7</v>
      </c>
      <c r="AB88" s="228">
        <v>10.6</v>
      </c>
      <c r="AC88" s="229">
        <v>1.6000000000000001E-3</v>
      </c>
      <c r="AD88" s="228">
        <v>2.9</v>
      </c>
      <c r="AE88" s="228">
        <v>-7.7</v>
      </c>
      <c r="AF88" s="228">
        <v>10.6</v>
      </c>
      <c r="AG88" s="229">
        <v>1.6000000000000001E-3</v>
      </c>
      <c r="AH88" s="228">
        <v>-47.7</v>
      </c>
      <c r="AI88" s="228">
        <v>-44</v>
      </c>
      <c r="AJ88" s="228">
        <v>-3.7</v>
      </c>
      <c r="AK88" s="229">
        <v>-2.5899999999999999E-2</v>
      </c>
      <c r="AL88" s="228">
        <v>-70</v>
      </c>
      <c r="AM88" s="228">
        <v>-57.7</v>
      </c>
      <c r="AN88" s="228">
        <v>-12.3</v>
      </c>
      <c r="AO88" s="229">
        <v>-3.7999999999999999E-2</v>
      </c>
      <c r="AP88" s="231">
        <v>1829.27</v>
      </c>
      <c r="AQ88" s="231">
        <v>1781.87</v>
      </c>
      <c r="AR88" s="228">
        <v>0</v>
      </c>
      <c r="AS88" s="230">
        <v>1400</v>
      </c>
      <c r="AT88" s="228">
        <v>332</v>
      </c>
      <c r="AU88" s="230">
        <v>1068</v>
      </c>
      <c r="AV88" s="229">
        <v>3.2132999999999998</v>
      </c>
      <c r="AW88" s="228">
        <v>641</v>
      </c>
      <c r="AX88" s="228">
        <v>171</v>
      </c>
      <c r="AY88" s="228">
        <v>470</v>
      </c>
      <c r="AZ88" s="229">
        <v>2.7465999999999999</v>
      </c>
      <c r="BA88" s="228">
        <v>747</v>
      </c>
      <c r="BB88" s="228">
        <v>156</v>
      </c>
      <c r="BC88" s="228">
        <v>590</v>
      </c>
      <c r="BD88" s="229">
        <v>3.7765</v>
      </c>
      <c r="BE88" s="228">
        <v>12</v>
      </c>
      <c r="BF88" s="228">
        <v>5</v>
      </c>
      <c r="BG88" s="228">
        <v>7</v>
      </c>
      <c r="BH88" s="229">
        <v>1.4839</v>
      </c>
      <c r="BI88" s="228">
        <v>358</v>
      </c>
      <c r="BJ88" s="228">
        <v>171</v>
      </c>
      <c r="BK88" s="228">
        <v>188</v>
      </c>
      <c r="BL88" s="229">
        <v>1.101</v>
      </c>
      <c r="BM88" s="228">
        <v>123</v>
      </c>
      <c r="BN88" s="228">
        <v>46</v>
      </c>
      <c r="BO88" s="228">
        <v>77</v>
      </c>
      <c r="BP88" s="229">
        <v>1.6538999999999999</v>
      </c>
      <c r="BQ88" s="230">
        <v>1881</v>
      </c>
      <c r="BR88" s="228">
        <v>549</v>
      </c>
      <c r="BS88" s="230">
        <v>1332</v>
      </c>
      <c r="BT88" s="229">
        <v>2.4255</v>
      </c>
      <c r="BU88" s="230">
        <v>876210</v>
      </c>
      <c r="BV88" s="230">
        <v>549604</v>
      </c>
      <c r="BW88" s="230">
        <v>326606</v>
      </c>
      <c r="BX88" s="229">
        <v>0.59430000000000005</v>
      </c>
      <c r="BY88" s="230">
        <v>1454</v>
      </c>
      <c r="BZ88" s="230">
        <v>1649</v>
      </c>
      <c r="CA88" s="228">
        <v>-195</v>
      </c>
      <c r="CB88" s="229">
        <v>-0.1183</v>
      </c>
      <c r="CC88" s="228">
        <v>633</v>
      </c>
      <c r="CD88" s="230">
        <v>1128</v>
      </c>
      <c r="CE88" s="228">
        <v>-495</v>
      </c>
      <c r="CF88" s="229">
        <v>-0.43880000000000002</v>
      </c>
      <c r="CG88" s="228">
        <v>787</v>
      </c>
      <c r="CH88" s="228">
        <v>489</v>
      </c>
      <c r="CI88" s="228">
        <v>298</v>
      </c>
      <c r="CJ88" s="229">
        <v>0.60840000000000005</v>
      </c>
      <c r="CK88" s="228">
        <v>34</v>
      </c>
      <c r="CL88" s="228">
        <v>31</v>
      </c>
      <c r="CM88" s="228">
        <v>2</v>
      </c>
      <c r="CN88" s="229">
        <v>7.6300000000000007E-2</v>
      </c>
      <c r="CO88" s="228">
        <v>196</v>
      </c>
      <c r="CP88" s="228">
        <v>184</v>
      </c>
      <c r="CQ88" s="228">
        <v>12</v>
      </c>
      <c r="CR88" s="229">
        <v>6.5299999999999997E-2</v>
      </c>
      <c r="CS88" s="228">
        <v>109</v>
      </c>
      <c r="CT88" s="228">
        <v>125</v>
      </c>
      <c r="CU88" s="228">
        <v>-16</v>
      </c>
      <c r="CV88" s="229">
        <v>-0.13059999999999999</v>
      </c>
      <c r="CW88" s="230">
        <v>1759</v>
      </c>
      <c r="CX88" s="230">
        <v>1958</v>
      </c>
      <c r="CY88" s="228">
        <v>-199</v>
      </c>
      <c r="CZ88" s="229">
        <v>-0.1018</v>
      </c>
      <c r="DA88" s="228">
        <v>40.200000000000003</v>
      </c>
      <c r="DB88" s="228">
        <v>39.840000000000003</v>
      </c>
      <c r="DC88" s="228">
        <v>0.36</v>
      </c>
      <c r="DD88" s="228">
        <v>0.36</v>
      </c>
      <c r="DE88" s="228">
        <v>33.450000000000003</v>
      </c>
      <c r="DF88" s="228">
        <v>33.53</v>
      </c>
      <c r="DG88" s="228">
        <v>6.75</v>
      </c>
      <c r="DH88" s="228">
        <v>-0.08</v>
      </c>
      <c r="DI88" s="228">
        <v>40.53</v>
      </c>
      <c r="DJ88" s="228">
        <v>41.4</v>
      </c>
      <c r="DK88" s="228">
        <v>-0.87</v>
      </c>
      <c r="DL88" s="228">
        <v>-0.87</v>
      </c>
      <c r="DM88" s="228">
        <v>39.42</v>
      </c>
      <c r="DN88" s="228">
        <v>34.119999999999997</v>
      </c>
      <c r="DO88" s="228">
        <v>5.3</v>
      </c>
      <c r="DP88" s="228">
        <v>5.3</v>
      </c>
      <c r="DQ88" s="228">
        <v>0.55000000000000004</v>
      </c>
      <c r="DR88" s="228">
        <v>0.68</v>
      </c>
      <c r="DS88" s="228">
        <v>-0.13</v>
      </c>
      <c r="DT88" s="229">
        <v>-0.19120000000000001</v>
      </c>
      <c r="DU88" s="231">
        <v>1900</v>
      </c>
      <c r="DV88" s="231">
        <v>1800</v>
      </c>
      <c r="DW88" s="228">
        <v>0.34</v>
      </c>
      <c r="DX88" s="228">
        <v>0.27</v>
      </c>
      <c r="DY88" s="228">
        <v>7.0000000000000007E-2</v>
      </c>
      <c r="DZ88" s="229">
        <v>0.25929999999999997</v>
      </c>
      <c r="EA88" s="229">
        <v>0.56440000000000001</v>
      </c>
      <c r="EB88" s="230">
        <v>2818200</v>
      </c>
      <c r="EC88" s="229">
        <v>-2.7400000000000001E-2</v>
      </c>
      <c r="ED88" s="229">
        <v>0.56440000000000001</v>
      </c>
      <c r="EE88" s="228">
        <v>-47.4</v>
      </c>
      <c r="EF88" s="229">
        <v>-2.5899999999999999E-2</v>
      </c>
      <c r="EG88" s="230">
        <v>385560</v>
      </c>
      <c r="EH88" s="230">
        <v>257466</v>
      </c>
      <c r="EI88" s="229">
        <v>0.4975</v>
      </c>
      <c r="EJ88" s="229">
        <v>0.44</v>
      </c>
      <c r="EK88" s="228">
        <v>373.51</v>
      </c>
      <c r="EL88" s="228">
        <v>120.6</v>
      </c>
      <c r="EM88" s="231">
        <v>1366.77</v>
      </c>
      <c r="EN88" s="228">
        <v>64.8</v>
      </c>
      <c r="EO88" s="231">
        <v>1860.88</v>
      </c>
      <c r="EP88" s="228">
        <v>559.34</v>
      </c>
      <c r="EQ88" s="231">
        <v>1301.54</v>
      </c>
      <c r="ER88" s="229">
        <v>2.3269000000000002</v>
      </c>
      <c r="ES88" s="228">
        <v>201.43</v>
      </c>
      <c r="ET88" s="228">
        <v>102.69</v>
      </c>
      <c r="EU88" s="231">
        <v>1430.98</v>
      </c>
      <c r="EV88" s="231">
        <v>21329205</v>
      </c>
      <c r="EW88" s="231">
        <v>1735.09</v>
      </c>
      <c r="EX88" s="231">
        <v>1940.88</v>
      </c>
      <c r="EY88" s="228">
        <v>-205.79</v>
      </c>
      <c r="EZ88" s="229">
        <v>-0.106</v>
      </c>
      <c r="FA88" s="229">
        <v>0.44640000000000002</v>
      </c>
      <c r="FB88" s="227" t="s">
        <v>693</v>
      </c>
      <c r="FC88">
        <f t="shared" si="1"/>
        <v>821</v>
      </c>
    </row>
    <row r="89" spans="1:159" ht="17.25" thickBot="1" x14ac:dyDescent="0.3">
      <c r="A89" s="226">
        <v>46135</v>
      </c>
      <c r="B89" s="227" t="s">
        <v>172</v>
      </c>
      <c r="C89" s="227" t="s">
        <v>232</v>
      </c>
      <c r="D89" s="228">
        <v>700</v>
      </c>
      <c r="E89" s="228">
        <v>5</v>
      </c>
      <c r="F89" s="231">
        <v>1347.1</v>
      </c>
      <c r="G89" s="231">
        <v>1368.2</v>
      </c>
      <c r="H89" s="228">
        <v>-21.1</v>
      </c>
      <c r="I89" s="229">
        <v>-1.54E-2</v>
      </c>
      <c r="J89" s="231">
        <v>1348</v>
      </c>
      <c r="K89" s="231">
        <v>1367.6</v>
      </c>
      <c r="L89" s="228">
        <v>-19.600000000000001</v>
      </c>
      <c r="M89" s="229">
        <v>-1.43E-2</v>
      </c>
      <c r="N89" s="231">
        <v>1347.1</v>
      </c>
      <c r="O89" s="231">
        <v>1368.2</v>
      </c>
      <c r="P89" s="228">
        <v>-21.1</v>
      </c>
      <c r="Q89" s="229">
        <v>-1.54E-2</v>
      </c>
      <c r="R89" s="231">
        <v>1353.9</v>
      </c>
      <c r="S89" s="231">
        <v>1375.8</v>
      </c>
      <c r="T89" s="228">
        <v>-21.9</v>
      </c>
      <c r="U89" s="229">
        <v>-1.5900000000000001E-2</v>
      </c>
      <c r="V89" s="231">
        <v>1364</v>
      </c>
      <c r="W89" s="231">
        <v>1384.4</v>
      </c>
      <c r="X89" s="228">
        <v>-20.399999999999999</v>
      </c>
      <c r="Y89" s="229">
        <v>-1.47E-2</v>
      </c>
      <c r="Z89" s="228">
        <v>-0.9</v>
      </c>
      <c r="AA89" s="228">
        <v>0.6</v>
      </c>
      <c r="AB89" s="228">
        <v>-1.5</v>
      </c>
      <c r="AC89" s="229">
        <v>-6.9999999999999999E-4</v>
      </c>
      <c r="AD89" s="228">
        <v>-0.9</v>
      </c>
      <c r="AE89" s="228">
        <v>0.6</v>
      </c>
      <c r="AF89" s="228">
        <v>-1.5</v>
      </c>
      <c r="AG89" s="229">
        <v>-6.9999999999999999E-4</v>
      </c>
      <c r="AH89" s="228">
        <v>5.9</v>
      </c>
      <c r="AI89" s="228">
        <v>8.1999999999999993</v>
      </c>
      <c r="AJ89" s="228">
        <v>-2.2999999999999998</v>
      </c>
      <c r="AK89" s="229">
        <v>4.4000000000000003E-3</v>
      </c>
      <c r="AL89" s="228">
        <v>16</v>
      </c>
      <c r="AM89" s="228">
        <v>16.8</v>
      </c>
      <c r="AN89" s="228">
        <v>-0.8</v>
      </c>
      <c r="AO89" s="229">
        <v>1.1900000000000001E-2</v>
      </c>
      <c r="AP89" s="231">
        <v>1349.69</v>
      </c>
      <c r="AQ89" s="231">
        <v>1357.31</v>
      </c>
      <c r="AR89" s="228">
        <v>0</v>
      </c>
      <c r="AS89" s="230">
        <v>7401</v>
      </c>
      <c r="AT89" s="230">
        <v>3227</v>
      </c>
      <c r="AU89" s="230">
        <v>4174</v>
      </c>
      <c r="AV89" s="229">
        <v>1.2934000000000001</v>
      </c>
      <c r="AW89" s="230">
        <v>3886</v>
      </c>
      <c r="AX89" s="230">
        <v>2101</v>
      </c>
      <c r="AY89" s="230">
        <v>1785</v>
      </c>
      <c r="AZ89" s="229">
        <v>0.84989999999999999</v>
      </c>
      <c r="BA89" s="230">
        <v>2599</v>
      </c>
      <c r="BB89" s="228">
        <v>709</v>
      </c>
      <c r="BC89" s="230">
        <v>1890</v>
      </c>
      <c r="BD89" s="229">
        <v>2.6654</v>
      </c>
      <c r="BE89" s="228">
        <v>916</v>
      </c>
      <c r="BF89" s="228">
        <v>417</v>
      </c>
      <c r="BG89" s="228">
        <v>499</v>
      </c>
      <c r="BH89" s="229">
        <v>1.1954</v>
      </c>
      <c r="BI89" s="230">
        <v>8125</v>
      </c>
      <c r="BJ89" s="230">
        <v>7322</v>
      </c>
      <c r="BK89" s="228">
        <v>803</v>
      </c>
      <c r="BL89" s="229">
        <v>0.10970000000000001</v>
      </c>
      <c r="BM89" s="230">
        <v>5436</v>
      </c>
      <c r="BN89" s="230">
        <v>5203</v>
      </c>
      <c r="BO89" s="228">
        <v>233</v>
      </c>
      <c r="BP89" s="229">
        <v>4.48E-2</v>
      </c>
      <c r="BQ89" s="230">
        <v>20962</v>
      </c>
      <c r="BR89" s="230">
        <v>15752</v>
      </c>
      <c r="BS89" s="230">
        <v>5210</v>
      </c>
      <c r="BT89" s="229">
        <v>0.33069999999999999</v>
      </c>
      <c r="BU89" s="230">
        <v>22205562</v>
      </c>
      <c r="BV89" s="230">
        <v>13988708</v>
      </c>
      <c r="BW89" s="230">
        <v>8216854</v>
      </c>
      <c r="BX89" s="229">
        <v>0.58740000000000003</v>
      </c>
      <c r="BY89" s="230">
        <v>15565</v>
      </c>
      <c r="BZ89" s="230">
        <v>15476</v>
      </c>
      <c r="CA89" s="228">
        <v>88</v>
      </c>
      <c r="CB89" s="229">
        <v>5.7000000000000002E-3</v>
      </c>
      <c r="CC89" s="230">
        <v>6763</v>
      </c>
      <c r="CD89" s="230">
        <v>9769</v>
      </c>
      <c r="CE89" s="230">
        <v>-3007</v>
      </c>
      <c r="CF89" s="229">
        <v>-0.30780000000000002</v>
      </c>
      <c r="CG89" s="230">
        <v>6875</v>
      </c>
      <c r="CH89" s="230">
        <v>4669</v>
      </c>
      <c r="CI89" s="230">
        <v>2206</v>
      </c>
      <c r="CJ89" s="229">
        <v>0.47249999999999998</v>
      </c>
      <c r="CK89" s="230">
        <v>1927</v>
      </c>
      <c r="CL89" s="230">
        <v>1038</v>
      </c>
      <c r="CM89" s="228">
        <v>889</v>
      </c>
      <c r="CN89" s="229">
        <v>0.85670000000000002</v>
      </c>
      <c r="CO89" s="230">
        <v>3857</v>
      </c>
      <c r="CP89" s="230">
        <v>3913</v>
      </c>
      <c r="CQ89" s="228">
        <v>-56</v>
      </c>
      <c r="CR89" s="229">
        <v>-1.44E-2</v>
      </c>
      <c r="CS89" s="230">
        <v>2978</v>
      </c>
      <c r="CT89" s="230">
        <v>3085</v>
      </c>
      <c r="CU89" s="228">
        <v>-107</v>
      </c>
      <c r="CV89" s="229">
        <v>-3.4599999999999999E-2</v>
      </c>
      <c r="CW89" s="230">
        <v>22400</v>
      </c>
      <c r="CX89" s="230">
        <v>22474</v>
      </c>
      <c r="CY89" s="228">
        <v>-74</v>
      </c>
      <c r="CZ89" s="229">
        <v>-3.3E-3</v>
      </c>
      <c r="DA89" s="228">
        <v>23.52</v>
      </c>
      <c r="DB89" s="228">
        <v>21.22</v>
      </c>
      <c r="DC89" s="228">
        <v>2.2999999999999998</v>
      </c>
      <c r="DD89" s="228">
        <v>2.2999999999999998</v>
      </c>
      <c r="DE89" s="228">
        <v>24.04</v>
      </c>
      <c r="DF89" s="228">
        <v>24.02</v>
      </c>
      <c r="DG89" s="228">
        <v>-0.52</v>
      </c>
      <c r="DH89" s="228">
        <v>0.02</v>
      </c>
      <c r="DI89" s="228">
        <v>23.45</v>
      </c>
      <c r="DJ89" s="228">
        <v>20.78</v>
      </c>
      <c r="DK89" s="228">
        <v>2.67</v>
      </c>
      <c r="DL89" s="228">
        <v>2.67</v>
      </c>
      <c r="DM89" s="228">
        <v>23.63</v>
      </c>
      <c r="DN89" s="228">
        <v>21.85</v>
      </c>
      <c r="DO89" s="228">
        <v>1.78</v>
      </c>
      <c r="DP89" s="228">
        <v>1.78</v>
      </c>
      <c r="DQ89" s="228">
        <v>0.77</v>
      </c>
      <c r="DR89" s="228">
        <v>0.79</v>
      </c>
      <c r="DS89" s="228">
        <v>-0.02</v>
      </c>
      <c r="DT89" s="229">
        <v>-2.53E-2</v>
      </c>
      <c r="DU89" s="231">
        <v>1400</v>
      </c>
      <c r="DV89" s="231">
        <v>1300</v>
      </c>
      <c r="DW89" s="228">
        <v>0.67</v>
      </c>
      <c r="DX89" s="228">
        <v>0.71</v>
      </c>
      <c r="DY89" s="228">
        <v>-0.04</v>
      </c>
      <c r="DZ89" s="229">
        <v>-5.6300000000000003E-2</v>
      </c>
      <c r="EA89" s="229">
        <v>0.5655</v>
      </c>
      <c r="EB89" s="230">
        <v>42364000</v>
      </c>
      <c r="EC89" s="229">
        <v>5.0000000000000001E-3</v>
      </c>
      <c r="ED89" s="229">
        <v>0.5655</v>
      </c>
      <c r="EE89" s="228">
        <v>7.62</v>
      </c>
      <c r="EF89" s="229">
        <v>5.5999999999999999E-3</v>
      </c>
      <c r="EG89" s="230">
        <v>13051885</v>
      </c>
      <c r="EH89" s="230">
        <v>9094385</v>
      </c>
      <c r="EI89" s="229">
        <v>0.43519999999999998</v>
      </c>
      <c r="EJ89" s="229">
        <v>0.58779999999999999</v>
      </c>
      <c r="EK89" s="231">
        <v>8350.58</v>
      </c>
      <c r="EL89" s="231">
        <v>5424.43</v>
      </c>
      <c r="EM89" s="231">
        <v>7440.71</v>
      </c>
      <c r="EN89" s="228">
        <v>309.25</v>
      </c>
      <c r="EO89" s="231">
        <v>21215.72</v>
      </c>
      <c r="EP89" s="231">
        <v>16166.3</v>
      </c>
      <c r="EQ89" s="231">
        <v>5049.42</v>
      </c>
      <c r="ER89" s="229">
        <v>0.31230000000000002</v>
      </c>
      <c r="ES89" s="231">
        <v>3903.5</v>
      </c>
      <c r="ET89" s="231">
        <v>2855.58</v>
      </c>
      <c r="EU89" s="231">
        <v>15623.64</v>
      </c>
      <c r="EV89" s="231">
        <v>668616020</v>
      </c>
      <c r="EW89" s="231">
        <v>22382.720000000001</v>
      </c>
      <c r="EX89" s="231">
        <v>22683.82</v>
      </c>
      <c r="EY89" s="228">
        <v>-301.10000000000002</v>
      </c>
      <c r="EZ89" s="229">
        <v>-1.3299999999999999E-2</v>
      </c>
      <c r="FA89" s="229">
        <v>0.2487</v>
      </c>
      <c r="FB89" s="227" t="s">
        <v>566</v>
      </c>
      <c r="FC89">
        <f t="shared" si="1"/>
        <v>8802</v>
      </c>
    </row>
    <row r="90" spans="1:159" ht="17.25" thickBot="1" x14ac:dyDescent="0.3">
      <c r="A90" s="226">
        <v>46135</v>
      </c>
      <c r="B90" s="227" t="s">
        <v>175</v>
      </c>
      <c r="C90" s="227" t="s">
        <v>472</v>
      </c>
      <c r="D90" s="228">
        <v>325</v>
      </c>
      <c r="E90" s="228">
        <v>5</v>
      </c>
      <c r="F90" s="231">
        <v>1808.8</v>
      </c>
      <c r="G90" s="231">
        <v>1832.4</v>
      </c>
      <c r="H90" s="228">
        <v>-23.6</v>
      </c>
      <c r="I90" s="229">
        <v>-1.29E-2</v>
      </c>
      <c r="J90" s="231">
        <v>1809.9</v>
      </c>
      <c r="K90" s="231">
        <v>1829</v>
      </c>
      <c r="L90" s="228">
        <v>-19.100000000000001</v>
      </c>
      <c r="M90" s="229">
        <v>-1.04E-2</v>
      </c>
      <c r="N90" s="231">
        <v>1808.8</v>
      </c>
      <c r="O90" s="231">
        <v>1832.4</v>
      </c>
      <c r="P90" s="228">
        <v>-23.6</v>
      </c>
      <c r="Q90" s="229">
        <v>-1.29E-2</v>
      </c>
      <c r="R90" s="231">
        <v>1818.6</v>
      </c>
      <c r="S90" s="231">
        <v>1840.1</v>
      </c>
      <c r="T90" s="228">
        <v>-21.5</v>
      </c>
      <c r="U90" s="229">
        <v>-1.17E-2</v>
      </c>
      <c r="V90" s="231">
        <v>1823.9</v>
      </c>
      <c r="W90" s="231">
        <v>1845.4</v>
      </c>
      <c r="X90" s="228">
        <v>-21.5</v>
      </c>
      <c r="Y90" s="229">
        <v>-1.17E-2</v>
      </c>
      <c r="Z90" s="228">
        <v>-1.1000000000000001</v>
      </c>
      <c r="AA90" s="228">
        <v>3.4</v>
      </c>
      <c r="AB90" s="228">
        <v>-4.5</v>
      </c>
      <c r="AC90" s="229">
        <v>-5.9999999999999995E-4</v>
      </c>
      <c r="AD90" s="228">
        <v>-1.1000000000000001</v>
      </c>
      <c r="AE90" s="228">
        <v>3.4</v>
      </c>
      <c r="AF90" s="228">
        <v>-4.5</v>
      </c>
      <c r="AG90" s="229">
        <v>-5.9999999999999995E-4</v>
      </c>
      <c r="AH90" s="228">
        <v>8.6999999999999993</v>
      </c>
      <c r="AI90" s="228">
        <v>11.1</v>
      </c>
      <c r="AJ90" s="228">
        <v>-2.4</v>
      </c>
      <c r="AK90" s="229">
        <v>4.7999999999999996E-3</v>
      </c>
      <c r="AL90" s="228">
        <v>14</v>
      </c>
      <c r="AM90" s="228">
        <v>16.399999999999999</v>
      </c>
      <c r="AN90" s="228">
        <v>-2.4</v>
      </c>
      <c r="AO90" s="229">
        <v>7.7000000000000002E-3</v>
      </c>
      <c r="AP90" s="231">
        <v>1817.82</v>
      </c>
      <c r="AQ90" s="231">
        <v>1827.57</v>
      </c>
      <c r="AR90" s="228">
        <v>0</v>
      </c>
      <c r="AS90" s="228">
        <v>486</v>
      </c>
      <c r="AT90" s="228">
        <v>173</v>
      </c>
      <c r="AU90" s="228">
        <v>313</v>
      </c>
      <c r="AV90" s="229">
        <v>1.8044</v>
      </c>
      <c r="AW90" s="228">
        <v>235</v>
      </c>
      <c r="AX90" s="228">
        <v>121</v>
      </c>
      <c r="AY90" s="228">
        <v>114</v>
      </c>
      <c r="AZ90" s="229">
        <v>0.9385</v>
      </c>
      <c r="BA90" s="228">
        <v>251</v>
      </c>
      <c r="BB90" s="228">
        <v>51</v>
      </c>
      <c r="BC90" s="228">
        <v>200</v>
      </c>
      <c r="BD90" s="229">
        <v>3.8877000000000002</v>
      </c>
      <c r="BE90" s="228">
        <v>0</v>
      </c>
      <c r="BF90" s="228">
        <v>1</v>
      </c>
      <c r="BG90" s="228">
        <v>0</v>
      </c>
      <c r="BH90" s="229">
        <v>-0.61539999999999995</v>
      </c>
      <c r="BI90" s="228">
        <v>274</v>
      </c>
      <c r="BJ90" s="228">
        <v>239</v>
      </c>
      <c r="BK90" s="228">
        <v>35</v>
      </c>
      <c r="BL90" s="229">
        <v>0.14660000000000001</v>
      </c>
      <c r="BM90" s="228">
        <v>147</v>
      </c>
      <c r="BN90" s="228">
        <v>150</v>
      </c>
      <c r="BO90" s="228">
        <v>-3</v>
      </c>
      <c r="BP90" s="229">
        <v>-2.0400000000000001E-2</v>
      </c>
      <c r="BQ90" s="228">
        <v>907</v>
      </c>
      <c r="BR90" s="228">
        <v>562</v>
      </c>
      <c r="BS90" s="228">
        <v>345</v>
      </c>
      <c r="BT90" s="229">
        <v>0.6139</v>
      </c>
      <c r="BU90" s="230">
        <v>531916</v>
      </c>
      <c r="BV90" s="230">
        <v>994672</v>
      </c>
      <c r="BW90" s="230">
        <v>-462756</v>
      </c>
      <c r="BX90" s="229">
        <v>-0.4652</v>
      </c>
      <c r="BY90" s="230">
        <v>1003</v>
      </c>
      <c r="BZ90" s="230">
        <v>1000</v>
      </c>
      <c r="CA90" s="228">
        <v>3</v>
      </c>
      <c r="CB90" s="229">
        <v>3.0000000000000001E-3</v>
      </c>
      <c r="CC90" s="228">
        <v>744</v>
      </c>
      <c r="CD90" s="228">
        <v>932</v>
      </c>
      <c r="CE90" s="228">
        <v>-188</v>
      </c>
      <c r="CF90" s="229">
        <v>-0.2019</v>
      </c>
      <c r="CG90" s="228">
        <v>257</v>
      </c>
      <c r="CH90" s="228">
        <v>66</v>
      </c>
      <c r="CI90" s="228">
        <v>191</v>
      </c>
      <c r="CJ90" s="229">
        <v>2.9026999999999998</v>
      </c>
      <c r="CK90" s="228">
        <v>2</v>
      </c>
      <c r="CL90" s="228">
        <v>1</v>
      </c>
      <c r="CM90" s="228">
        <v>0</v>
      </c>
      <c r="CN90" s="229">
        <v>8.3299999999999999E-2</v>
      </c>
      <c r="CO90" s="228">
        <v>217</v>
      </c>
      <c r="CP90" s="228">
        <v>225</v>
      </c>
      <c r="CQ90" s="228">
        <v>-8</v>
      </c>
      <c r="CR90" s="229">
        <v>-3.4000000000000002E-2</v>
      </c>
      <c r="CS90" s="228">
        <v>169</v>
      </c>
      <c r="CT90" s="228">
        <v>182</v>
      </c>
      <c r="CU90" s="228">
        <v>-13</v>
      </c>
      <c r="CV90" s="229">
        <v>-7.1900000000000006E-2</v>
      </c>
      <c r="CW90" s="230">
        <v>1388</v>
      </c>
      <c r="CX90" s="230">
        <v>1406</v>
      </c>
      <c r="CY90" s="228">
        <v>-18</v>
      </c>
      <c r="CZ90" s="229">
        <v>-1.26E-2</v>
      </c>
      <c r="DA90" s="228">
        <v>25.05</v>
      </c>
      <c r="DB90" s="228">
        <v>25.45</v>
      </c>
      <c r="DC90" s="228">
        <v>-0.4</v>
      </c>
      <c r="DD90" s="228">
        <v>-0.4</v>
      </c>
      <c r="DE90" s="228">
        <v>27.1</v>
      </c>
      <c r="DF90" s="228">
        <v>27.13</v>
      </c>
      <c r="DG90" s="228">
        <v>-2.0499999999999998</v>
      </c>
      <c r="DH90" s="228">
        <v>-0.03</v>
      </c>
      <c r="DI90" s="228">
        <v>25.07</v>
      </c>
      <c r="DJ90" s="228">
        <v>26.27</v>
      </c>
      <c r="DK90" s="228">
        <v>-1.2</v>
      </c>
      <c r="DL90" s="228">
        <v>-1.2</v>
      </c>
      <c r="DM90" s="228">
        <v>24.86</v>
      </c>
      <c r="DN90" s="228">
        <v>24.16</v>
      </c>
      <c r="DO90" s="228">
        <v>0.7</v>
      </c>
      <c r="DP90" s="228">
        <v>0.7</v>
      </c>
      <c r="DQ90" s="228">
        <v>0.78</v>
      </c>
      <c r="DR90" s="228">
        <v>0.81</v>
      </c>
      <c r="DS90" s="228">
        <v>-0.03</v>
      </c>
      <c r="DT90" s="229">
        <v>-3.6999999999999998E-2</v>
      </c>
      <c r="DU90" s="231">
        <v>1900</v>
      </c>
      <c r="DV90" s="231">
        <v>1760</v>
      </c>
      <c r="DW90" s="228">
        <v>0.54</v>
      </c>
      <c r="DX90" s="228">
        <v>0.63</v>
      </c>
      <c r="DY90" s="228">
        <v>-0.09</v>
      </c>
      <c r="DZ90" s="229">
        <v>-0.1429</v>
      </c>
      <c r="EA90" s="229">
        <v>0.25779999999999997</v>
      </c>
      <c r="EB90" s="230">
        <v>371800</v>
      </c>
      <c r="EC90" s="229">
        <v>5.4000000000000003E-3</v>
      </c>
      <c r="ED90" s="229">
        <v>0.25779999999999997</v>
      </c>
      <c r="EE90" s="228">
        <v>9.75</v>
      </c>
      <c r="EF90" s="229">
        <v>5.4000000000000003E-3</v>
      </c>
      <c r="EG90" s="230">
        <v>294642</v>
      </c>
      <c r="EH90" s="230">
        <v>672314</v>
      </c>
      <c r="EI90" s="229">
        <v>-0.56169999999999998</v>
      </c>
      <c r="EJ90" s="229">
        <v>0.55389999999999995</v>
      </c>
      <c r="EK90" s="228">
        <v>289.88</v>
      </c>
      <c r="EL90" s="228">
        <v>146</v>
      </c>
      <c r="EM90" s="228">
        <v>490.12</v>
      </c>
      <c r="EN90" s="228">
        <v>26.49</v>
      </c>
      <c r="EO90" s="228">
        <v>925.99</v>
      </c>
      <c r="EP90" s="228">
        <v>577.59</v>
      </c>
      <c r="EQ90" s="228">
        <v>348.41</v>
      </c>
      <c r="ER90" s="229">
        <v>0.60319999999999996</v>
      </c>
      <c r="ES90" s="228">
        <v>226.54</v>
      </c>
      <c r="ET90" s="228">
        <v>164.13</v>
      </c>
      <c r="EU90" s="231">
        <v>1004</v>
      </c>
      <c r="EV90" s="231">
        <v>27086521</v>
      </c>
      <c r="EW90" s="231">
        <v>1394.67</v>
      </c>
      <c r="EX90" s="231">
        <v>1425.79</v>
      </c>
      <c r="EY90" s="228">
        <v>-31.12</v>
      </c>
      <c r="EZ90" s="229">
        <v>-2.18E-2</v>
      </c>
      <c r="FA90" s="229">
        <v>0.2833</v>
      </c>
      <c r="FB90" s="227" t="s">
        <v>566</v>
      </c>
      <c r="FC90">
        <f t="shared" si="1"/>
        <v>259</v>
      </c>
    </row>
    <row r="91" spans="1:159" ht="17.25" thickBot="1" x14ac:dyDescent="0.3">
      <c r="A91" s="226">
        <v>46135</v>
      </c>
      <c r="B91" s="227" t="s">
        <v>175</v>
      </c>
      <c r="C91" s="227" t="s">
        <v>233</v>
      </c>
      <c r="D91" s="228">
        <v>925</v>
      </c>
      <c r="E91" s="228">
        <v>5</v>
      </c>
      <c r="F91" s="228">
        <v>534.6</v>
      </c>
      <c r="G91" s="228">
        <v>539.54999999999995</v>
      </c>
      <c r="H91" s="228">
        <v>-4.95</v>
      </c>
      <c r="I91" s="229">
        <v>-9.1999999999999998E-3</v>
      </c>
      <c r="J91" s="228">
        <v>535.29999999999995</v>
      </c>
      <c r="K91" s="228">
        <v>540.04999999999995</v>
      </c>
      <c r="L91" s="228">
        <v>-4.75</v>
      </c>
      <c r="M91" s="229">
        <v>-8.8000000000000005E-3</v>
      </c>
      <c r="N91" s="228">
        <v>534.6</v>
      </c>
      <c r="O91" s="228">
        <v>539.54999999999995</v>
      </c>
      <c r="P91" s="228">
        <v>-4.95</v>
      </c>
      <c r="Q91" s="229">
        <v>-9.1999999999999998E-3</v>
      </c>
      <c r="R91" s="228">
        <v>537.85</v>
      </c>
      <c r="S91" s="228">
        <v>542.6</v>
      </c>
      <c r="T91" s="228">
        <v>-4.75</v>
      </c>
      <c r="U91" s="229">
        <v>-8.8000000000000005E-3</v>
      </c>
      <c r="V91" s="228">
        <v>539.15</v>
      </c>
      <c r="W91" s="228">
        <v>544.15</v>
      </c>
      <c r="X91" s="228">
        <v>-5</v>
      </c>
      <c r="Y91" s="229">
        <v>-9.1999999999999998E-3</v>
      </c>
      <c r="Z91" s="228">
        <v>-0.7</v>
      </c>
      <c r="AA91" s="228">
        <v>-0.5</v>
      </c>
      <c r="AB91" s="228">
        <v>-0.2</v>
      </c>
      <c r="AC91" s="229">
        <v>-1.2999999999999999E-3</v>
      </c>
      <c r="AD91" s="228">
        <v>-0.7</v>
      </c>
      <c r="AE91" s="228">
        <v>-0.5</v>
      </c>
      <c r="AF91" s="228">
        <v>-0.2</v>
      </c>
      <c r="AG91" s="229">
        <v>-1.2999999999999999E-3</v>
      </c>
      <c r="AH91" s="228">
        <v>2.5499999999999998</v>
      </c>
      <c r="AI91" s="228">
        <v>2.5499999999999998</v>
      </c>
      <c r="AJ91" s="228">
        <v>0</v>
      </c>
      <c r="AK91" s="229">
        <v>4.7999999999999996E-3</v>
      </c>
      <c r="AL91" s="228">
        <v>3.85</v>
      </c>
      <c r="AM91" s="228">
        <v>4.0999999999999996</v>
      </c>
      <c r="AN91" s="228">
        <v>-0.25</v>
      </c>
      <c r="AO91" s="229">
        <v>7.1999999999999998E-3</v>
      </c>
      <c r="AP91" s="228">
        <v>534.26</v>
      </c>
      <c r="AQ91" s="228">
        <v>537.28</v>
      </c>
      <c r="AR91" s="228">
        <v>0</v>
      </c>
      <c r="AS91" s="228">
        <v>682</v>
      </c>
      <c r="AT91" s="228">
        <v>172</v>
      </c>
      <c r="AU91" s="228">
        <v>510</v>
      </c>
      <c r="AV91" s="229">
        <v>2.9594999999999998</v>
      </c>
      <c r="AW91" s="228">
        <v>356</v>
      </c>
      <c r="AX91" s="228">
        <v>130</v>
      </c>
      <c r="AY91" s="228">
        <v>226</v>
      </c>
      <c r="AZ91" s="229">
        <v>1.732</v>
      </c>
      <c r="BA91" s="228">
        <v>324</v>
      </c>
      <c r="BB91" s="228">
        <v>40</v>
      </c>
      <c r="BC91" s="228">
        <v>284</v>
      </c>
      <c r="BD91" s="229">
        <v>7.1</v>
      </c>
      <c r="BE91" s="228">
        <v>1</v>
      </c>
      <c r="BF91" s="228">
        <v>2</v>
      </c>
      <c r="BG91" s="228">
        <v>-1</v>
      </c>
      <c r="BH91" s="229">
        <v>-0.34289999999999998</v>
      </c>
      <c r="BI91" s="228">
        <v>449</v>
      </c>
      <c r="BJ91" s="228">
        <v>469</v>
      </c>
      <c r="BK91" s="228">
        <v>-20</v>
      </c>
      <c r="BL91" s="229">
        <v>-4.3400000000000001E-2</v>
      </c>
      <c r="BM91" s="228">
        <v>229</v>
      </c>
      <c r="BN91" s="228">
        <v>283</v>
      </c>
      <c r="BO91" s="228">
        <v>-55</v>
      </c>
      <c r="BP91" s="229">
        <v>-0.19289999999999999</v>
      </c>
      <c r="BQ91" s="230">
        <v>1360</v>
      </c>
      <c r="BR91" s="228">
        <v>925</v>
      </c>
      <c r="BS91" s="228">
        <v>435</v>
      </c>
      <c r="BT91" s="229">
        <v>0.47</v>
      </c>
      <c r="BU91" s="230">
        <v>1165969</v>
      </c>
      <c r="BV91" s="230">
        <v>1557296</v>
      </c>
      <c r="BW91" s="230">
        <v>-391327</v>
      </c>
      <c r="BX91" s="229">
        <v>-0.25130000000000002</v>
      </c>
      <c r="BY91" s="230">
        <v>1157</v>
      </c>
      <c r="BZ91" s="230">
        <v>1148</v>
      </c>
      <c r="CA91" s="228">
        <v>10</v>
      </c>
      <c r="CB91" s="229">
        <v>8.3999999999999995E-3</v>
      </c>
      <c r="CC91" s="228">
        <v>792</v>
      </c>
      <c r="CD91" s="230">
        <v>1065</v>
      </c>
      <c r="CE91" s="228">
        <v>-273</v>
      </c>
      <c r="CF91" s="229">
        <v>-0.25609999999999999</v>
      </c>
      <c r="CG91" s="228">
        <v>360</v>
      </c>
      <c r="CH91" s="228">
        <v>78</v>
      </c>
      <c r="CI91" s="228">
        <v>282</v>
      </c>
      <c r="CJ91" s="229">
        <v>3.6017999999999999</v>
      </c>
      <c r="CK91" s="228">
        <v>5</v>
      </c>
      <c r="CL91" s="228">
        <v>4</v>
      </c>
      <c r="CM91" s="228">
        <v>1</v>
      </c>
      <c r="CN91" s="229">
        <v>0.16850000000000001</v>
      </c>
      <c r="CO91" s="228">
        <v>404</v>
      </c>
      <c r="CP91" s="228">
        <v>419</v>
      </c>
      <c r="CQ91" s="228">
        <v>-15</v>
      </c>
      <c r="CR91" s="229">
        <v>-3.5299999999999998E-2</v>
      </c>
      <c r="CS91" s="228">
        <v>273</v>
      </c>
      <c r="CT91" s="228">
        <v>262</v>
      </c>
      <c r="CU91" s="228">
        <v>10</v>
      </c>
      <c r="CV91" s="229">
        <v>0.04</v>
      </c>
      <c r="CW91" s="230">
        <v>1834</v>
      </c>
      <c r="CX91" s="230">
        <v>1829</v>
      </c>
      <c r="CY91" s="228">
        <v>5</v>
      </c>
      <c r="CZ91" s="229">
        <v>2.8999999999999998E-3</v>
      </c>
      <c r="DA91" s="228">
        <v>30.24</v>
      </c>
      <c r="DB91" s="228">
        <v>31.29</v>
      </c>
      <c r="DC91" s="228">
        <v>-1.05</v>
      </c>
      <c r="DD91" s="228">
        <v>-1.05</v>
      </c>
      <c r="DE91" s="228">
        <v>28.85</v>
      </c>
      <c r="DF91" s="228">
        <v>28.9</v>
      </c>
      <c r="DG91" s="228">
        <v>1.39</v>
      </c>
      <c r="DH91" s="228">
        <v>-0.05</v>
      </c>
      <c r="DI91" s="228">
        <v>30.06</v>
      </c>
      <c r="DJ91" s="228">
        <v>32.11</v>
      </c>
      <c r="DK91" s="228">
        <v>-2.0499999999999998</v>
      </c>
      <c r="DL91" s="228">
        <v>-2.0499999999999998</v>
      </c>
      <c r="DM91" s="228">
        <v>30.76</v>
      </c>
      <c r="DN91" s="228">
        <v>29.95</v>
      </c>
      <c r="DO91" s="228">
        <v>0.81</v>
      </c>
      <c r="DP91" s="228">
        <v>0.81</v>
      </c>
      <c r="DQ91" s="228">
        <v>0.67</v>
      </c>
      <c r="DR91" s="228">
        <v>0.63</v>
      </c>
      <c r="DS91" s="228">
        <v>0.04</v>
      </c>
      <c r="DT91" s="229">
        <v>6.3500000000000001E-2</v>
      </c>
      <c r="DU91" s="228">
        <v>600</v>
      </c>
      <c r="DV91" s="228">
        <v>550</v>
      </c>
      <c r="DW91" s="228">
        <v>0.51</v>
      </c>
      <c r="DX91" s="228">
        <v>0.6</v>
      </c>
      <c r="DY91" s="228">
        <v>-0.09</v>
      </c>
      <c r="DZ91" s="229">
        <v>-0.15</v>
      </c>
      <c r="EA91" s="229">
        <v>0.3155</v>
      </c>
      <c r="EB91" s="230">
        <v>1545675</v>
      </c>
      <c r="EC91" s="229">
        <v>6.1000000000000004E-3</v>
      </c>
      <c r="ED91" s="229">
        <v>0.3155</v>
      </c>
      <c r="EE91" s="228">
        <v>3.02</v>
      </c>
      <c r="EF91" s="229">
        <v>5.7000000000000002E-3</v>
      </c>
      <c r="EG91" s="230">
        <v>518986</v>
      </c>
      <c r="EH91" s="230">
        <v>756869</v>
      </c>
      <c r="EI91" s="229">
        <v>-0.31430000000000002</v>
      </c>
      <c r="EJ91" s="229">
        <v>0.4451</v>
      </c>
      <c r="EK91" s="228">
        <v>470.4</v>
      </c>
      <c r="EL91" s="228">
        <v>229.96</v>
      </c>
      <c r="EM91" s="228">
        <v>683.38</v>
      </c>
      <c r="EN91" s="228">
        <v>35.479999999999997</v>
      </c>
      <c r="EO91" s="231">
        <v>1383.74</v>
      </c>
      <c r="EP91" s="228">
        <v>963.7</v>
      </c>
      <c r="EQ91" s="228">
        <v>420.04</v>
      </c>
      <c r="ER91" s="229">
        <v>0.43590000000000001</v>
      </c>
      <c r="ES91" s="228">
        <v>434.62</v>
      </c>
      <c r="ET91" s="228">
        <v>271.58999999999997</v>
      </c>
      <c r="EU91" s="231">
        <v>1159.72</v>
      </c>
      <c r="EV91" s="231">
        <v>58892926</v>
      </c>
      <c r="EW91" s="231">
        <v>1865.93</v>
      </c>
      <c r="EX91" s="231">
        <v>1872.99</v>
      </c>
      <c r="EY91" s="228">
        <v>-7.06</v>
      </c>
      <c r="EZ91" s="229">
        <v>-3.8E-3</v>
      </c>
      <c r="FA91" s="229">
        <v>0.58260000000000001</v>
      </c>
      <c r="FB91" s="227" t="s">
        <v>566</v>
      </c>
      <c r="FC91">
        <f t="shared" si="1"/>
        <v>365</v>
      </c>
    </row>
    <row r="92" spans="1:159" ht="17.25" thickBot="1" x14ac:dyDescent="0.3">
      <c r="A92" s="226">
        <v>46135</v>
      </c>
      <c r="B92" s="227" t="s">
        <v>188</v>
      </c>
      <c r="C92" s="227" t="s">
        <v>234</v>
      </c>
      <c r="D92" s="228">
        <v>71475</v>
      </c>
      <c r="E92" s="228">
        <v>5</v>
      </c>
      <c r="F92" s="228">
        <v>9.57</v>
      </c>
      <c r="G92" s="228">
        <v>9.5299999999999994</v>
      </c>
      <c r="H92" s="228">
        <v>0.04</v>
      </c>
      <c r="I92" s="229">
        <v>4.1999999999999997E-3</v>
      </c>
      <c r="J92" s="228">
        <v>9.58</v>
      </c>
      <c r="K92" s="228">
        <v>9.5399999999999991</v>
      </c>
      <c r="L92" s="228">
        <v>0.04</v>
      </c>
      <c r="M92" s="229">
        <v>4.1999999999999997E-3</v>
      </c>
      <c r="N92" s="228">
        <v>9.57</v>
      </c>
      <c r="O92" s="228">
        <v>9.5299999999999994</v>
      </c>
      <c r="P92" s="228">
        <v>0.04</v>
      </c>
      <c r="Q92" s="229">
        <v>4.1999999999999997E-3</v>
      </c>
      <c r="R92" s="228">
        <v>9.6300000000000008</v>
      </c>
      <c r="S92" s="228">
        <v>9.59</v>
      </c>
      <c r="T92" s="228">
        <v>0.04</v>
      </c>
      <c r="U92" s="229">
        <v>4.1999999999999997E-3</v>
      </c>
      <c r="V92" s="228">
        <v>9.67</v>
      </c>
      <c r="W92" s="228">
        <v>9.65</v>
      </c>
      <c r="X92" s="228">
        <v>0.02</v>
      </c>
      <c r="Y92" s="229">
        <v>2.0999999999999999E-3</v>
      </c>
      <c r="Z92" s="228">
        <v>-0.01</v>
      </c>
      <c r="AA92" s="228">
        <v>-0.01</v>
      </c>
      <c r="AB92" s="228">
        <v>0</v>
      </c>
      <c r="AC92" s="229">
        <v>-1E-3</v>
      </c>
      <c r="AD92" s="228">
        <v>-0.01</v>
      </c>
      <c r="AE92" s="228">
        <v>-0.01</v>
      </c>
      <c r="AF92" s="228">
        <v>0</v>
      </c>
      <c r="AG92" s="229">
        <v>-1E-3</v>
      </c>
      <c r="AH92" s="228">
        <v>0.05</v>
      </c>
      <c r="AI92" s="228">
        <v>0.05</v>
      </c>
      <c r="AJ92" s="228">
        <v>0</v>
      </c>
      <c r="AK92" s="229">
        <v>5.1999999999999998E-3</v>
      </c>
      <c r="AL92" s="228">
        <v>0.09</v>
      </c>
      <c r="AM92" s="228">
        <v>0.11</v>
      </c>
      <c r="AN92" s="228">
        <v>-0.02</v>
      </c>
      <c r="AO92" s="229">
        <v>9.4000000000000004E-3</v>
      </c>
      <c r="AP92" s="228">
        <v>9.52</v>
      </c>
      <c r="AQ92" s="228">
        <v>9.58</v>
      </c>
      <c r="AR92" s="228">
        <v>0</v>
      </c>
      <c r="AS92" s="230">
        <v>2025</v>
      </c>
      <c r="AT92" s="230">
        <v>1796</v>
      </c>
      <c r="AU92" s="228">
        <v>229</v>
      </c>
      <c r="AV92" s="229">
        <v>0.1275</v>
      </c>
      <c r="AW92" s="230">
        <v>1054</v>
      </c>
      <c r="AX92" s="228">
        <v>942</v>
      </c>
      <c r="AY92" s="228">
        <v>113</v>
      </c>
      <c r="AZ92" s="229">
        <v>0.1195</v>
      </c>
      <c r="BA92" s="228">
        <v>961</v>
      </c>
      <c r="BB92" s="228">
        <v>843</v>
      </c>
      <c r="BC92" s="228">
        <v>118</v>
      </c>
      <c r="BD92" s="229">
        <v>0.1404</v>
      </c>
      <c r="BE92" s="228">
        <v>9</v>
      </c>
      <c r="BF92" s="228">
        <v>11</v>
      </c>
      <c r="BG92" s="228">
        <v>-2</v>
      </c>
      <c r="BH92" s="229">
        <v>-0.17949999999999999</v>
      </c>
      <c r="BI92" s="228">
        <v>624</v>
      </c>
      <c r="BJ92" s="228">
        <v>724</v>
      </c>
      <c r="BK92" s="228">
        <v>-100</v>
      </c>
      <c r="BL92" s="229">
        <v>-0.1376</v>
      </c>
      <c r="BM92" s="228">
        <v>224</v>
      </c>
      <c r="BN92" s="228">
        <v>218</v>
      </c>
      <c r="BO92" s="228">
        <v>6</v>
      </c>
      <c r="BP92" s="229">
        <v>2.5700000000000001E-2</v>
      </c>
      <c r="BQ92" s="230">
        <v>2872</v>
      </c>
      <c r="BR92" s="230">
        <v>2737</v>
      </c>
      <c r="BS92" s="228">
        <v>135</v>
      </c>
      <c r="BT92" s="229">
        <v>4.9299999999999997E-2</v>
      </c>
      <c r="BU92" s="230">
        <v>391361864</v>
      </c>
      <c r="BV92" s="230">
        <v>372867471</v>
      </c>
      <c r="BW92" s="230">
        <v>18494393</v>
      </c>
      <c r="BX92" s="229">
        <v>4.9599999999999998E-2</v>
      </c>
      <c r="BY92" s="230">
        <v>6344</v>
      </c>
      <c r="BZ92" s="230">
        <v>6356</v>
      </c>
      <c r="CA92" s="228">
        <v>-12</v>
      </c>
      <c r="CB92" s="229">
        <v>-2E-3</v>
      </c>
      <c r="CC92" s="230">
        <v>3663</v>
      </c>
      <c r="CD92" s="230">
        <v>4447</v>
      </c>
      <c r="CE92" s="228">
        <v>-784</v>
      </c>
      <c r="CF92" s="229">
        <v>-0.1762</v>
      </c>
      <c r="CG92" s="230">
        <v>2615</v>
      </c>
      <c r="CH92" s="230">
        <v>1848</v>
      </c>
      <c r="CI92" s="228">
        <v>767</v>
      </c>
      <c r="CJ92" s="229">
        <v>0.41489999999999999</v>
      </c>
      <c r="CK92" s="228">
        <v>65</v>
      </c>
      <c r="CL92" s="228">
        <v>61</v>
      </c>
      <c r="CM92" s="228">
        <v>4</v>
      </c>
      <c r="CN92" s="229">
        <v>7.2999999999999995E-2</v>
      </c>
      <c r="CO92" s="230">
        <v>1438</v>
      </c>
      <c r="CP92" s="230">
        <v>1434</v>
      </c>
      <c r="CQ92" s="228">
        <v>4</v>
      </c>
      <c r="CR92" s="229">
        <v>3.0999999999999999E-3</v>
      </c>
      <c r="CS92" s="228">
        <v>706</v>
      </c>
      <c r="CT92" s="228">
        <v>719</v>
      </c>
      <c r="CU92" s="228">
        <v>-13</v>
      </c>
      <c r="CV92" s="229">
        <v>-1.7600000000000001E-2</v>
      </c>
      <c r="CW92" s="230">
        <v>8488</v>
      </c>
      <c r="CX92" s="230">
        <v>8508</v>
      </c>
      <c r="CY92" s="228">
        <v>-21</v>
      </c>
      <c r="CZ92" s="229">
        <v>-2.3999999999999998E-3</v>
      </c>
      <c r="DA92" s="228">
        <v>52.25</v>
      </c>
      <c r="DB92" s="228">
        <v>50.18</v>
      </c>
      <c r="DC92" s="228">
        <v>2.0699999999999998</v>
      </c>
      <c r="DD92" s="228">
        <v>2.0699999999999998</v>
      </c>
      <c r="DE92" s="228">
        <v>64.06</v>
      </c>
      <c r="DF92" s="228">
        <v>64.22</v>
      </c>
      <c r="DG92" s="228">
        <v>-11.81</v>
      </c>
      <c r="DH92" s="228">
        <v>-0.16</v>
      </c>
      <c r="DI92" s="228">
        <v>52.95</v>
      </c>
      <c r="DJ92" s="228">
        <v>50.07</v>
      </c>
      <c r="DK92" s="228">
        <v>2.88</v>
      </c>
      <c r="DL92" s="228">
        <v>2.88</v>
      </c>
      <c r="DM92" s="228">
        <v>49.49</v>
      </c>
      <c r="DN92" s="228">
        <v>50.53</v>
      </c>
      <c r="DO92" s="228">
        <v>-1.04</v>
      </c>
      <c r="DP92" s="228">
        <v>-1.04</v>
      </c>
      <c r="DQ92" s="228">
        <v>0.49</v>
      </c>
      <c r="DR92" s="228">
        <v>0.5</v>
      </c>
      <c r="DS92" s="228">
        <v>-0.01</v>
      </c>
      <c r="DT92" s="229">
        <v>-0.02</v>
      </c>
      <c r="DU92" s="228">
        <v>10</v>
      </c>
      <c r="DV92" s="228">
        <v>9</v>
      </c>
      <c r="DW92" s="228">
        <v>0.36</v>
      </c>
      <c r="DX92" s="228">
        <v>0.3</v>
      </c>
      <c r="DY92" s="228">
        <v>0.06</v>
      </c>
      <c r="DZ92" s="229">
        <v>0.2</v>
      </c>
      <c r="EA92" s="229">
        <v>0.42249999999999999</v>
      </c>
      <c r="EB92" s="230">
        <v>1994867250</v>
      </c>
      <c r="EC92" s="229">
        <v>6.3E-3</v>
      </c>
      <c r="ED92" s="229">
        <v>0.42249999999999999</v>
      </c>
      <c r="EE92" s="228">
        <v>0.06</v>
      </c>
      <c r="EF92" s="229">
        <v>6.3E-3</v>
      </c>
      <c r="EG92" s="230">
        <v>108793537</v>
      </c>
      <c r="EH92" s="230">
        <v>117051917</v>
      </c>
      <c r="EI92" s="229">
        <v>-7.0599999999999996E-2</v>
      </c>
      <c r="EJ92" s="229">
        <v>0.27800000000000002</v>
      </c>
      <c r="EK92" s="228">
        <v>685.39</v>
      </c>
      <c r="EL92" s="228">
        <v>226.22</v>
      </c>
      <c r="EM92" s="231">
        <v>2020.65</v>
      </c>
      <c r="EN92" s="228">
        <v>136.24</v>
      </c>
      <c r="EO92" s="231">
        <v>2932.27</v>
      </c>
      <c r="EP92" s="231">
        <v>2812.43</v>
      </c>
      <c r="EQ92" s="228">
        <v>119.84</v>
      </c>
      <c r="ER92" s="229">
        <v>4.2599999999999999E-2</v>
      </c>
      <c r="ES92" s="231">
        <v>1626.21</v>
      </c>
      <c r="ET92" s="228">
        <v>680.11</v>
      </c>
      <c r="EU92" s="231">
        <v>6360.71</v>
      </c>
      <c r="EV92" s="231">
        <v>12096038468</v>
      </c>
      <c r="EW92" s="231">
        <v>8667.0300000000007</v>
      </c>
      <c r="EX92" s="231">
        <v>8652.01</v>
      </c>
      <c r="EY92" s="228">
        <v>15.02</v>
      </c>
      <c r="EZ92" s="229">
        <v>1.6999999999999999E-3</v>
      </c>
      <c r="FA92" s="229">
        <v>0.73319999999999996</v>
      </c>
      <c r="FB92" s="227" t="s">
        <v>693</v>
      </c>
      <c r="FC92">
        <f t="shared" si="1"/>
        <v>2681</v>
      </c>
    </row>
    <row r="93" spans="1:159" ht="17.25" thickBot="1" x14ac:dyDescent="0.3">
      <c r="A93" s="226">
        <v>46135</v>
      </c>
      <c r="B93" s="227" t="s">
        <v>172</v>
      </c>
      <c r="C93" s="227" t="s">
        <v>235</v>
      </c>
      <c r="D93" s="228">
        <v>9275</v>
      </c>
      <c r="E93" s="228">
        <v>5</v>
      </c>
      <c r="F93" s="228">
        <v>67.72</v>
      </c>
      <c r="G93" s="228">
        <v>68.42</v>
      </c>
      <c r="H93" s="228">
        <v>-0.7</v>
      </c>
      <c r="I93" s="229">
        <v>-1.0200000000000001E-2</v>
      </c>
      <c r="J93" s="228">
        <v>67.83</v>
      </c>
      <c r="K93" s="228">
        <v>68.38</v>
      </c>
      <c r="L93" s="228">
        <v>-0.55000000000000004</v>
      </c>
      <c r="M93" s="229">
        <v>-8.0000000000000002E-3</v>
      </c>
      <c r="N93" s="228">
        <v>67.72</v>
      </c>
      <c r="O93" s="228">
        <v>68.42</v>
      </c>
      <c r="P93" s="228">
        <v>-0.7</v>
      </c>
      <c r="Q93" s="229">
        <v>-1.0200000000000001E-2</v>
      </c>
      <c r="R93" s="228">
        <v>68.05</v>
      </c>
      <c r="S93" s="228">
        <v>68.819999999999993</v>
      </c>
      <c r="T93" s="228">
        <v>-0.77</v>
      </c>
      <c r="U93" s="229">
        <v>-1.12E-2</v>
      </c>
      <c r="V93" s="228">
        <v>68.44</v>
      </c>
      <c r="W93" s="228">
        <v>69.25</v>
      </c>
      <c r="X93" s="228">
        <v>-0.81</v>
      </c>
      <c r="Y93" s="229">
        <v>-1.17E-2</v>
      </c>
      <c r="Z93" s="228">
        <v>-0.11</v>
      </c>
      <c r="AA93" s="228">
        <v>0.04</v>
      </c>
      <c r="AB93" s="228">
        <v>-0.15</v>
      </c>
      <c r="AC93" s="229">
        <v>-1.6000000000000001E-3</v>
      </c>
      <c r="AD93" s="228">
        <v>-0.11</v>
      </c>
      <c r="AE93" s="228">
        <v>0.04</v>
      </c>
      <c r="AF93" s="228">
        <v>-0.15</v>
      </c>
      <c r="AG93" s="229">
        <v>-1.6000000000000001E-3</v>
      </c>
      <c r="AH93" s="228">
        <v>0.22</v>
      </c>
      <c r="AI93" s="228">
        <v>0.44</v>
      </c>
      <c r="AJ93" s="228">
        <v>-0.22</v>
      </c>
      <c r="AK93" s="229">
        <v>3.2000000000000002E-3</v>
      </c>
      <c r="AL93" s="228">
        <v>0.61</v>
      </c>
      <c r="AM93" s="228">
        <v>0.87</v>
      </c>
      <c r="AN93" s="228">
        <v>-0.26</v>
      </c>
      <c r="AO93" s="229">
        <v>8.9999999999999993E-3</v>
      </c>
      <c r="AP93" s="228">
        <v>67.83</v>
      </c>
      <c r="AQ93" s="228">
        <v>68.150000000000006</v>
      </c>
      <c r="AR93" s="228">
        <v>0</v>
      </c>
      <c r="AS93" s="230">
        <v>1444</v>
      </c>
      <c r="AT93" s="228">
        <v>477</v>
      </c>
      <c r="AU93" s="228">
        <v>966</v>
      </c>
      <c r="AV93" s="229">
        <v>2.0232000000000001</v>
      </c>
      <c r="AW93" s="228">
        <v>735</v>
      </c>
      <c r="AX93" s="228">
        <v>266</v>
      </c>
      <c r="AY93" s="228">
        <v>469</v>
      </c>
      <c r="AZ93" s="229">
        <v>1.7637</v>
      </c>
      <c r="BA93" s="228">
        <v>694</v>
      </c>
      <c r="BB93" s="228">
        <v>203</v>
      </c>
      <c r="BC93" s="228">
        <v>491</v>
      </c>
      <c r="BD93" s="229">
        <v>2.4220999999999999</v>
      </c>
      <c r="BE93" s="228">
        <v>15</v>
      </c>
      <c r="BF93" s="228">
        <v>9</v>
      </c>
      <c r="BG93" s="228">
        <v>6</v>
      </c>
      <c r="BH93" s="229">
        <v>0.67379999999999995</v>
      </c>
      <c r="BI93" s="228">
        <v>430</v>
      </c>
      <c r="BJ93" s="228">
        <v>389</v>
      </c>
      <c r="BK93" s="228">
        <v>41</v>
      </c>
      <c r="BL93" s="229">
        <v>0.1047</v>
      </c>
      <c r="BM93" s="228">
        <v>384</v>
      </c>
      <c r="BN93" s="228">
        <v>430</v>
      </c>
      <c r="BO93" s="228">
        <v>-46</v>
      </c>
      <c r="BP93" s="229">
        <v>-0.1079</v>
      </c>
      <c r="BQ93" s="230">
        <v>2257</v>
      </c>
      <c r="BR93" s="230">
        <v>1297</v>
      </c>
      <c r="BS93" s="228">
        <v>960</v>
      </c>
      <c r="BT93" s="229">
        <v>0.74050000000000005</v>
      </c>
      <c r="BU93" s="230">
        <v>21369757</v>
      </c>
      <c r="BV93" s="230">
        <v>16570628</v>
      </c>
      <c r="BW93" s="230">
        <v>4799129</v>
      </c>
      <c r="BX93" s="229">
        <v>0.28960000000000002</v>
      </c>
      <c r="BY93" s="230">
        <v>2728</v>
      </c>
      <c r="BZ93" s="230">
        <v>2767</v>
      </c>
      <c r="CA93" s="228">
        <v>-39</v>
      </c>
      <c r="CB93" s="229">
        <v>-1.4200000000000001E-2</v>
      </c>
      <c r="CC93" s="230">
        <v>1303</v>
      </c>
      <c r="CD93" s="230">
        <v>1870</v>
      </c>
      <c r="CE93" s="228">
        <v>-566</v>
      </c>
      <c r="CF93" s="229">
        <v>-0.30299999999999999</v>
      </c>
      <c r="CG93" s="230">
        <v>1227</v>
      </c>
      <c r="CH93" s="228">
        <v>710</v>
      </c>
      <c r="CI93" s="228">
        <v>517</v>
      </c>
      <c r="CJ93" s="229">
        <v>0.72909999999999997</v>
      </c>
      <c r="CK93" s="228">
        <v>198</v>
      </c>
      <c r="CL93" s="228">
        <v>188</v>
      </c>
      <c r="CM93" s="228">
        <v>10</v>
      </c>
      <c r="CN93" s="229">
        <v>5.0799999999999998E-2</v>
      </c>
      <c r="CO93" s="228">
        <v>867</v>
      </c>
      <c r="CP93" s="228">
        <v>853</v>
      </c>
      <c r="CQ93" s="228">
        <v>15</v>
      </c>
      <c r="CR93" s="229">
        <v>1.7399999999999999E-2</v>
      </c>
      <c r="CS93" s="228">
        <v>799</v>
      </c>
      <c r="CT93" s="228">
        <v>814</v>
      </c>
      <c r="CU93" s="228">
        <v>-16</v>
      </c>
      <c r="CV93" s="229">
        <v>-1.9099999999999999E-2</v>
      </c>
      <c r="CW93" s="230">
        <v>4394</v>
      </c>
      <c r="CX93" s="230">
        <v>4434</v>
      </c>
      <c r="CY93" s="228">
        <v>-40</v>
      </c>
      <c r="CZ93" s="229">
        <v>-9.1000000000000004E-3</v>
      </c>
      <c r="DA93" s="228">
        <v>37.97</v>
      </c>
      <c r="DB93" s="228">
        <v>46.48</v>
      </c>
      <c r="DC93" s="228">
        <v>-8.51</v>
      </c>
      <c r="DD93" s="228">
        <v>-8.51</v>
      </c>
      <c r="DE93" s="228">
        <v>41.25</v>
      </c>
      <c r="DF93" s="228">
        <v>41.33</v>
      </c>
      <c r="DG93" s="228">
        <v>-3.28</v>
      </c>
      <c r="DH93" s="228">
        <v>-0.08</v>
      </c>
      <c r="DI93" s="228">
        <v>38.01</v>
      </c>
      <c r="DJ93" s="228">
        <v>44.08</v>
      </c>
      <c r="DK93" s="228">
        <v>-6.07</v>
      </c>
      <c r="DL93" s="228">
        <v>-6.07</v>
      </c>
      <c r="DM93" s="228">
        <v>37.93</v>
      </c>
      <c r="DN93" s="228">
        <v>48.65</v>
      </c>
      <c r="DO93" s="228">
        <v>-10.72</v>
      </c>
      <c r="DP93" s="228">
        <v>-10.72</v>
      </c>
      <c r="DQ93" s="228">
        <v>0.92</v>
      </c>
      <c r="DR93" s="228">
        <v>0.96</v>
      </c>
      <c r="DS93" s="228">
        <v>-0.04</v>
      </c>
      <c r="DT93" s="229">
        <v>-4.1700000000000001E-2</v>
      </c>
      <c r="DU93" s="228">
        <v>65</v>
      </c>
      <c r="DV93" s="228">
        <v>60</v>
      </c>
      <c r="DW93" s="228">
        <v>0.89</v>
      </c>
      <c r="DX93" s="228">
        <v>1.1000000000000001</v>
      </c>
      <c r="DY93" s="228">
        <v>-0.21</v>
      </c>
      <c r="DZ93" s="229">
        <v>-0.19089999999999999</v>
      </c>
      <c r="EA93" s="229">
        <v>0.52229999999999999</v>
      </c>
      <c r="EB93" s="230">
        <v>132576850</v>
      </c>
      <c r="EC93" s="229">
        <v>4.8999999999999998E-3</v>
      </c>
      <c r="ED93" s="229">
        <v>0.52229999999999999</v>
      </c>
      <c r="EE93" s="228">
        <v>0.32</v>
      </c>
      <c r="EF93" s="229">
        <v>4.7000000000000002E-3</v>
      </c>
      <c r="EG93" s="230">
        <v>10111669</v>
      </c>
      <c r="EH93" s="230">
        <v>7701304</v>
      </c>
      <c r="EI93" s="229">
        <v>0.313</v>
      </c>
      <c r="EJ93" s="229">
        <v>0.47320000000000001</v>
      </c>
      <c r="EK93" s="228">
        <v>455.74</v>
      </c>
      <c r="EL93" s="228">
        <v>377.44</v>
      </c>
      <c r="EM93" s="231">
        <v>1449.25</v>
      </c>
      <c r="EN93" s="228">
        <v>77.790000000000006</v>
      </c>
      <c r="EO93" s="231">
        <v>2282.42</v>
      </c>
      <c r="EP93" s="231">
        <v>1314.39</v>
      </c>
      <c r="EQ93" s="228">
        <v>968.03</v>
      </c>
      <c r="ER93" s="229">
        <v>0.73650000000000004</v>
      </c>
      <c r="ES93" s="228">
        <v>886.73</v>
      </c>
      <c r="ET93" s="228">
        <v>764.88</v>
      </c>
      <c r="EU93" s="231">
        <v>2736.12</v>
      </c>
      <c r="EV93" s="231">
        <v>1101871266</v>
      </c>
      <c r="EW93" s="231">
        <v>4387.7299999999996</v>
      </c>
      <c r="EX93" s="231">
        <v>4450.8900000000003</v>
      </c>
      <c r="EY93" s="228">
        <v>-63.16</v>
      </c>
      <c r="EZ93" s="229">
        <v>-1.4200000000000001E-2</v>
      </c>
      <c r="FA93" s="229">
        <v>0.58889999999999998</v>
      </c>
      <c r="FB93" s="227" t="s">
        <v>567</v>
      </c>
      <c r="FC93">
        <f t="shared" si="1"/>
        <v>1425</v>
      </c>
    </row>
    <row r="94" spans="1:159" ht="17.25" thickBot="1" x14ac:dyDescent="0.3">
      <c r="A94" s="226">
        <v>46135</v>
      </c>
      <c r="B94" s="227" t="s">
        <v>161</v>
      </c>
      <c r="C94" s="227" t="s">
        <v>514</v>
      </c>
      <c r="D94" s="228">
        <v>3750</v>
      </c>
      <c r="E94" s="228">
        <v>5</v>
      </c>
      <c r="F94" s="228">
        <v>127.48</v>
      </c>
      <c r="G94" s="228">
        <v>125.97</v>
      </c>
      <c r="H94" s="228">
        <v>1.51</v>
      </c>
      <c r="I94" s="229">
        <v>1.2E-2</v>
      </c>
      <c r="J94" s="228">
        <v>126.92</v>
      </c>
      <c r="K94" s="228">
        <v>125.78</v>
      </c>
      <c r="L94" s="228">
        <v>1.1399999999999999</v>
      </c>
      <c r="M94" s="229">
        <v>9.1000000000000004E-3</v>
      </c>
      <c r="N94" s="228">
        <v>127.48</v>
      </c>
      <c r="O94" s="228">
        <v>125.97</v>
      </c>
      <c r="P94" s="228">
        <v>1.51</v>
      </c>
      <c r="Q94" s="229">
        <v>1.2E-2</v>
      </c>
      <c r="R94" s="228">
        <v>126.77</v>
      </c>
      <c r="S94" s="228">
        <v>125.9</v>
      </c>
      <c r="T94" s="228">
        <v>0.87</v>
      </c>
      <c r="U94" s="229">
        <v>6.8999999999999999E-3</v>
      </c>
      <c r="V94" s="228">
        <v>126.92</v>
      </c>
      <c r="W94" s="228">
        <v>126</v>
      </c>
      <c r="X94" s="228">
        <v>0.92</v>
      </c>
      <c r="Y94" s="229">
        <v>7.3000000000000001E-3</v>
      </c>
      <c r="Z94" s="228">
        <v>0.56000000000000005</v>
      </c>
      <c r="AA94" s="228">
        <v>0.19</v>
      </c>
      <c r="AB94" s="228">
        <v>0.37</v>
      </c>
      <c r="AC94" s="229">
        <v>4.4000000000000003E-3</v>
      </c>
      <c r="AD94" s="228">
        <v>0.56000000000000005</v>
      </c>
      <c r="AE94" s="228">
        <v>0.19</v>
      </c>
      <c r="AF94" s="228">
        <v>0.37</v>
      </c>
      <c r="AG94" s="229">
        <v>4.4000000000000003E-3</v>
      </c>
      <c r="AH94" s="228">
        <v>-0.15</v>
      </c>
      <c r="AI94" s="228">
        <v>0.12</v>
      </c>
      <c r="AJ94" s="228">
        <v>-0.27</v>
      </c>
      <c r="AK94" s="229">
        <v>-1.1999999999999999E-3</v>
      </c>
      <c r="AL94" s="228">
        <v>0</v>
      </c>
      <c r="AM94" s="228">
        <v>0.22</v>
      </c>
      <c r="AN94" s="228">
        <v>-0.22</v>
      </c>
      <c r="AO94" s="229">
        <v>0</v>
      </c>
      <c r="AP94" s="228">
        <v>127.53</v>
      </c>
      <c r="AQ94" s="228">
        <v>126.95</v>
      </c>
      <c r="AR94" s="228">
        <v>0</v>
      </c>
      <c r="AS94" s="228">
        <v>546</v>
      </c>
      <c r="AT94" s="228">
        <v>152</v>
      </c>
      <c r="AU94" s="228">
        <v>395</v>
      </c>
      <c r="AV94" s="229">
        <v>2.5996999999999999</v>
      </c>
      <c r="AW94" s="228">
        <v>294</v>
      </c>
      <c r="AX94" s="228">
        <v>83</v>
      </c>
      <c r="AY94" s="228">
        <v>211</v>
      </c>
      <c r="AZ94" s="229">
        <v>2.5566</v>
      </c>
      <c r="BA94" s="228">
        <v>243</v>
      </c>
      <c r="BB94" s="228">
        <v>65</v>
      </c>
      <c r="BC94" s="228">
        <v>178</v>
      </c>
      <c r="BD94" s="229">
        <v>2.7206000000000001</v>
      </c>
      <c r="BE94" s="228">
        <v>9</v>
      </c>
      <c r="BF94" s="228">
        <v>4</v>
      </c>
      <c r="BG94" s="228">
        <v>5</v>
      </c>
      <c r="BH94" s="229">
        <v>1.4359</v>
      </c>
      <c r="BI94" s="230">
        <v>1582</v>
      </c>
      <c r="BJ94" s="228">
        <v>476</v>
      </c>
      <c r="BK94" s="230">
        <v>1105</v>
      </c>
      <c r="BL94" s="229">
        <v>2.3203999999999998</v>
      </c>
      <c r="BM94" s="228">
        <v>735</v>
      </c>
      <c r="BN94" s="228">
        <v>311</v>
      </c>
      <c r="BO94" s="228">
        <v>424</v>
      </c>
      <c r="BP94" s="229">
        <v>1.3646</v>
      </c>
      <c r="BQ94" s="230">
        <v>2863</v>
      </c>
      <c r="BR94" s="228">
        <v>939</v>
      </c>
      <c r="BS94" s="230">
        <v>1924</v>
      </c>
      <c r="BT94" s="229">
        <v>2.0491000000000001</v>
      </c>
      <c r="BU94" s="230">
        <v>13611075</v>
      </c>
      <c r="BV94" s="230">
        <v>5574668</v>
      </c>
      <c r="BW94" s="230">
        <v>8036407</v>
      </c>
      <c r="BX94" s="229">
        <v>1.4416</v>
      </c>
      <c r="BY94" s="228">
        <v>957</v>
      </c>
      <c r="BZ94" s="230">
        <v>1066</v>
      </c>
      <c r="CA94" s="228">
        <v>-109</v>
      </c>
      <c r="CB94" s="229">
        <v>-0.1021</v>
      </c>
      <c r="CC94" s="228">
        <v>621</v>
      </c>
      <c r="CD94" s="228">
        <v>796</v>
      </c>
      <c r="CE94" s="228">
        <v>-175</v>
      </c>
      <c r="CF94" s="229">
        <v>-0.2195</v>
      </c>
      <c r="CG94" s="228">
        <v>304</v>
      </c>
      <c r="CH94" s="228">
        <v>239</v>
      </c>
      <c r="CI94" s="228">
        <v>65</v>
      </c>
      <c r="CJ94" s="229">
        <v>0.27200000000000002</v>
      </c>
      <c r="CK94" s="228">
        <v>32</v>
      </c>
      <c r="CL94" s="228">
        <v>31</v>
      </c>
      <c r="CM94" s="228">
        <v>1</v>
      </c>
      <c r="CN94" s="229">
        <v>2.46E-2</v>
      </c>
      <c r="CO94" s="228">
        <v>774</v>
      </c>
      <c r="CP94" s="228">
        <v>699</v>
      </c>
      <c r="CQ94" s="228">
        <v>75</v>
      </c>
      <c r="CR94" s="229">
        <v>0.1066</v>
      </c>
      <c r="CS94" s="228">
        <v>586</v>
      </c>
      <c r="CT94" s="228">
        <v>516</v>
      </c>
      <c r="CU94" s="228">
        <v>70</v>
      </c>
      <c r="CV94" s="229">
        <v>0.1356</v>
      </c>
      <c r="CW94" s="230">
        <v>2317</v>
      </c>
      <c r="CX94" s="230">
        <v>2281</v>
      </c>
      <c r="CY94" s="228">
        <v>36</v>
      </c>
      <c r="CZ94" s="229">
        <v>1.5599999999999999E-2</v>
      </c>
      <c r="DA94" s="228">
        <v>41.92</v>
      </c>
      <c r="DB94" s="228">
        <v>47.42</v>
      </c>
      <c r="DC94" s="228">
        <v>-5.5</v>
      </c>
      <c r="DD94" s="228">
        <v>-5.5</v>
      </c>
      <c r="DE94" s="228">
        <v>52.37</v>
      </c>
      <c r="DF94" s="228">
        <v>52.48</v>
      </c>
      <c r="DG94" s="228">
        <v>-10.45</v>
      </c>
      <c r="DH94" s="228">
        <v>-0.11</v>
      </c>
      <c r="DI94" s="228">
        <v>41.64</v>
      </c>
      <c r="DJ94" s="228">
        <v>46.07</v>
      </c>
      <c r="DK94" s="228">
        <v>-4.43</v>
      </c>
      <c r="DL94" s="228">
        <v>-4.43</v>
      </c>
      <c r="DM94" s="228">
        <v>42.49</v>
      </c>
      <c r="DN94" s="228">
        <v>49.49</v>
      </c>
      <c r="DO94" s="228">
        <v>-7</v>
      </c>
      <c r="DP94" s="228">
        <v>-7</v>
      </c>
      <c r="DQ94" s="228">
        <v>0.76</v>
      </c>
      <c r="DR94" s="228">
        <v>0.74</v>
      </c>
      <c r="DS94" s="228">
        <v>0.02</v>
      </c>
      <c r="DT94" s="229">
        <v>2.7E-2</v>
      </c>
      <c r="DU94" s="228">
        <v>130</v>
      </c>
      <c r="DV94" s="228">
        <v>125</v>
      </c>
      <c r="DW94" s="228">
        <v>0.46</v>
      </c>
      <c r="DX94" s="228">
        <v>0.65</v>
      </c>
      <c r="DY94" s="228">
        <v>-0.19</v>
      </c>
      <c r="DZ94" s="229">
        <v>-0.2923</v>
      </c>
      <c r="EA94" s="229">
        <v>0.35120000000000001</v>
      </c>
      <c r="EB94" s="230">
        <v>21206250</v>
      </c>
      <c r="EC94" s="229">
        <v>-5.5999999999999999E-3</v>
      </c>
      <c r="ED94" s="229">
        <v>0.35120000000000001</v>
      </c>
      <c r="EE94" s="228">
        <v>-0.57999999999999996</v>
      </c>
      <c r="EF94" s="229">
        <v>-4.4999999999999997E-3</v>
      </c>
      <c r="EG94" s="230">
        <v>6006320</v>
      </c>
      <c r="EH94" s="230">
        <v>2437205</v>
      </c>
      <c r="EI94" s="229">
        <v>1.4643999999999999</v>
      </c>
      <c r="EJ94" s="229">
        <v>0.44130000000000003</v>
      </c>
      <c r="EK94" s="231">
        <v>1664.12</v>
      </c>
      <c r="EL94" s="228">
        <v>739.77</v>
      </c>
      <c r="EM94" s="228">
        <v>545.42999999999995</v>
      </c>
      <c r="EN94" s="228">
        <v>49.48</v>
      </c>
      <c r="EO94" s="231">
        <v>2949.31</v>
      </c>
      <c r="EP94" s="228">
        <v>959.17</v>
      </c>
      <c r="EQ94" s="231">
        <v>1990.14</v>
      </c>
      <c r="ER94" s="229">
        <v>2.0748000000000002</v>
      </c>
      <c r="ES94" s="228">
        <v>805.26</v>
      </c>
      <c r="ET94" s="228">
        <v>577.29</v>
      </c>
      <c r="EU94" s="228">
        <v>955.41</v>
      </c>
      <c r="EV94" s="231">
        <v>133395043</v>
      </c>
      <c r="EW94" s="231">
        <v>2337.96</v>
      </c>
      <c r="EX94" s="231">
        <v>2285.2600000000002</v>
      </c>
      <c r="EY94" s="228">
        <v>52.7</v>
      </c>
      <c r="EZ94" s="229">
        <v>2.3099999999999999E-2</v>
      </c>
      <c r="FA94" s="229">
        <v>1.3625</v>
      </c>
      <c r="FB94" s="227" t="s">
        <v>693</v>
      </c>
      <c r="FC94">
        <f t="shared" si="1"/>
        <v>336</v>
      </c>
    </row>
    <row r="95" spans="1:159" ht="17.25" thickBot="1" x14ac:dyDescent="0.3">
      <c r="A95" s="226">
        <v>46135</v>
      </c>
      <c r="B95" s="227" t="s">
        <v>206</v>
      </c>
      <c r="C95" s="227" t="s">
        <v>501</v>
      </c>
      <c r="D95" s="228">
        <v>1000</v>
      </c>
      <c r="E95" s="228">
        <v>5</v>
      </c>
      <c r="F95" s="228">
        <v>639.15</v>
      </c>
      <c r="G95" s="228">
        <v>659.7</v>
      </c>
      <c r="H95" s="228">
        <v>-20.55</v>
      </c>
      <c r="I95" s="229">
        <v>-3.1199999999999999E-2</v>
      </c>
      <c r="J95" s="228">
        <v>639.45000000000005</v>
      </c>
      <c r="K95" s="228">
        <v>659.7</v>
      </c>
      <c r="L95" s="228">
        <v>-20.25</v>
      </c>
      <c r="M95" s="229">
        <v>-3.0700000000000002E-2</v>
      </c>
      <c r="N95" s="228">
        <v>639.15</v>
      </c>
      <c r="O95" s="228">
        <v>659.7</v>
      </c>
      <c r="P95" s="228">
        <v>-20.55</v>
      </c>
      <c r="Q95" s="229">
        <v>-3.1199999999999999E-2</v>
      </c>
      <c r="R95" s="228">
        <v>643</v>
      </c>
      <c r="S95" s="228">
        <v>663.85</v>
      </c>
      <c r="T95" s="228">
        <v>-20.85</v>
      </c>
      <c r="U95" s="229">
        <v>-3.1399999999999997E-2</v>
      </c>
      <c r="V95" s="228">
        <v>644.70000000000005</v>
      </c>
      <c r="W95" s="228">
        <v>666.25</v>
      </c>
      <c r="X95" s="228">
        <v>-21.55</v>
      </c>
      <c r="Y95" s="229">
        <v>-3.2300000000000002E-2</v>
      </c>
      <c r="Z95" s="228">
        <v>-0.3</v>
      </c>
      <c r="AA95" s="228">
        <v>0</v>
      </c>
      <c r="AB95" s="228">
        <v>-0.3</v>
      </c>
      <c r="AC95" s="229">
        <v>-5.0000000000000001E-4</v>
      </c>
      <c r="AD95" s="228">
        <v>-0.3</v>
      </c>
      <c r="AE95" s="228">
        <v>0</v>
      </c>
      <c r="AF95" s="228">
        <v>-0.3</v>
      </c>
      <c r="AG95" s="229">
        <v>-5.0000000000000001E-4</v>
      </c>
      <c r="AH95" s="228">
        <v>3.55</v>
      </c>
      <c r="AI95" s="228">
        <v>4.1500000000000004</v>
      </c>
      <c r="AJ95" s="228">
        <v>-0.6</v>
      </c>
      <c r="AK95" s="229">
        <v>5.5999999999999999E-3</v>
      </c>
      <c r="AL95" s="228">
        <v>5.25</v>
      </c>
      <c r="AM95" s="228">
        <v>6.55</v>
      </c>
      <c r="AN95" s="228">
        <v>-1.3</v>
      </c>
      <c r="AO95" s="229">
        <v>8.2000000000000007E-3</v>
      </c>
      <c r="AP95" s="228">
        <v>642.38</v>
      </c>
      <c r="AQ95" s="228">
        <v>646.62</v>
      </c>
      <c r="AR95" s="228">
        <v>0</v>
      </c>
      <c r="AS95" s="228">
        <v>759</v>
      </c>
      <c r="AT95" s="228">
        <v>176</v>
      </c>
      <c r="AU95" s="228">
        <v>583</v>
      </c>
      <c r="AV95" s="229">
        <v>3.3149000000000002</v>
      </c>
      <c r="AW95" s="228">
        <v>381</v>
      </c>
      <c r="AX95" s="228">
        <v>96</v>
      </c>
      <c r="AY95" s="228">
        <v>284</v>
      </c>
      <c r="AZ95" s="229">
        <v>2.9561000000000002</v>
      </c>
      <c r="BA95" s="228">
        <v>373</v>
      </c>
      <c r="BB95" s="228">
        <v>78</v>
      </c>
      <c r="BC95" s="228">
        <v>295</v>
      </c>
      <c r="BD95" s="229">
        <v>3.7648999999999999</v>
      </c>
      <c r="BE95" s="228">
        <v>6</v>
      </c>
      <c r="BF95" s="228">
        <v>1</v>
      </c>
      <c r="BG95" s="228">
        <v>4</v>
      </c>
      <c r="BH95" s="229">
        <v>2.8260999999999998</v>
      </c>
      <c r="BI95" s="228">
        <v>554</v>
      </c>
      <c r="BJ95" s="228">
        <v>195</v>
      </c>
      <c r="BK95" s="228">
        <v>359</v>
      </c>
      <c r="BL95" s="229">
        <v>1.8407</v>
      </c>
      <c r="BM95" s="228">
        <v>420</v>
      </c>
      <c r="BN95" s="228">
        <v>185</v>
      </c>
      <c r="BO95" s="228">
        <v>235</v>
      </c>
      <c r="BP95" s="229">
        <v>1.2744</v>
      </c>
      <c r="BQ95" s="230">
        <v>1733</v>
      </c>
      <c r="BR95" s="228">
        <v>556</v>
      </c>
      <c r="BS95" s="230">
        <v>1178</v>
      </c>
      <c r="BT95" s="229">
        <v>2.1193</v>
      </c>
      <c r="BU95" s="230">
        <v>4995043</v>
      </c>
      <c r="BV95" s="230">
        <v>2003815</v>
      </c>
      <c r="BW95" s="230">
        <v>2991228</v>
      </c>
      <c r="BX95" s="229">
        <v>1.4927999999999999</v>
      </c>
      <c r="BY95" s="230">
        <v>1472</v>
      </c>
      <c r="BZ95" s="230">
        <v>1394</v>
      </c>
      <c r="CA95" s="228">
        <v>78</v>
      </c>
      <c r="CB95" s="229">
        <v>5.5899999999999998E-2</v>
      </c>
      <c r="CC95" s="228">
        <v>945</v>
      </c>
      <c r="CD95" s="230">
        <v>1158</v>
      </c>
      <c r="CE95" s="228">
        <v>-213</v>
      </c>
      <c r="CF95" s="229">
        <v>-0.1842</v>
      </c>
      <c r="CG95" s="228">
        <v>435</v>
      </c>
      <c r="CH95" s="228">
        <v>147</v>
      </c>
      <c r="CI95" s="228">
        <v>288</v>
      </c>
      <c r="CJ95" s="229">
        <v>1.9655</v>
      </c>
      <c r="CK95" s="228">
        <v>92</v>
      </c>
      <c r="CL95" s="228">
        <v>89</v>
      </c>
      <c r="CM95" s="228">
        <v>3</v>
      </c>
      <c r="CN95" s="229">
        <v>3.5900000000000001E-2</v>
      </c>
      <c r="CO95" s="228">
        <v>399</v>
      </c>
      <c r="CP95" s="228">
        <v>408</v>
      </c>
      <c r="CQ95" s="228">
        <v>-9</v>
      </c>
      <c r="CR95" s="229">
        <v>-2.12E-2</v>
      </c>
      <c r="CS95" s="228">
        <v>385</v>
      </c>
      <c r="CT95" s="228">
        <v>384</v>
      </c>
      <c r="CU95" s="228">
        <v>1</v>
      </c>
      <c r="CV95" s="229">
        <v>3.0000000000000001E-3</v>
      </c>
      <c r="CW95" s="230">
        <v>2256</v>
      </c>
      <c r="CX95" s="230">
        <v>2186</v>
      </c>
      <c r="CY95" s="228">
        <v>70</v>
      </c>
      <c r="CZ95" s="229">
        <v>3.2199999999999999E-2</v>
      </c>
      <c r="DA95" s="228">
        <v>30.24</v>
      </c>
      <c r="DB95" s="228">
        <v>31.37</v>
      </c>
      <c r="DC95" s="228">
        <v>-1.1299999999999999</v>
      </c>
      <c r="DD95" s="228">
        <v>-1.1299999999999999</v>
      </c>
      <c r="DE95" s="228">
        <v>35.130000000000003</v>
      </c>
      <c r="DF95" s="228">
        <v>34.96</v>
      </c>
      <c r="DG95" s="228">
        <v>-4.8899999999999997</v>
      </c>
      <c r="DH95" s="228">
        <v>0.17</v>
      </c>
      <c r="DI95" s="228">
        <v>30.25</v>
      </c>
      <c r="DJ95" s="228">
        <v>28.44</v>
      </c>
      <c r="DK95" s="228">
        <v>1.81</v>
      </c>
      <c r="DL95" s="228">
        <v>1.81</v>
      </c>
      <c r="DM95" s="228">
        <v>30.23</v>
      </c>
      <c r="DN95" s="228">
        <v>34.47</v>
      </c>
      <c r="DO95" s="228">
        <v>-4.24</v>
      </c>
      <c r="DP95" s="228">
        <v>-4.24</v>
      </c>
      <c r="DQ95" s="228">
        <v>0.97</v>
      </c>
      <c r="DR95" s="228">
        <v>0.94</v>
      </c>
      <c r="DS95" s="228">
        <v>0.03</v>
      </c>
      <c r="DT95" s="229">
        <v>3.1899999999999998E-2</v>
      </c>
      <c r="DU95" s="228">
        <v>700</v>
      </c>
      <c r="DV95" s="228">
        <v>600</v>
      </c>
      <c r="DW95" s="228">
        <v>0.76</v>
      </c>
      <c r="DX95" s="228">
        <v>0.95</v>
      </c>
      <c r="DY95" s="228">
        <v>-0.19</v>
      </c>
      <c r="DZ95" s="229">
        <v>-0.2</v>
      </c>
      <c r="EA95" s="229">
        <v>0.35799999999999998</v>
      </c>
      <c r="EB95" s="230">
        <v>3687000</v>
      </c>
      <c r="EC95" s="229">
        <v>6.0000000000000001E-3</v>
      </c>
      <c r="ED95" s="229">
        <v>0.35799999999999998</v>
      </c>
      <c r="EE95" s="228">
        <v>4.24</v>
      </c>
      <c r="EF95" s="229">
        <v>6.6E-3</v>
      </c>
      <c r="EG95" s="230">
        <v>2846772</v>
      </c>
      <c r="EH95" s="230">
        <v>1288146</v>
      </c>
      <c r="EI95" s="229">
        <v>1.21</v>
      </c>
      <c r="EJ95" s="229">
        <v>0.56989999999999996</v>
      </c>
      <c r="EK95" s="228">
        <v>579.64</v>
      </c>
      <c r="EL95" s="228">
        <v>409.95</v>
      </c>
      <c r="EM95" s="228">
        <v>765.61</v>
      </c>
      <c r="EN95" s="228">
        <v>38.81</v>
      </c>
      <c r="EO95" s="231">
        <v>1755.2</v>
      </c>
      <c r="EP95" s="228">
        <v>575.91</v>
      </c>
      <c r="EQ95" s="231">
        <v>1179.29</v>
      </c>
      <c r="ER95" s="229">
        <v>2.0476999999999999</v>
      </c>
      <c r="ES95" s="228">
        <v>405.37</v>
      </c>
      <c r="ET95" s="228">
        <v>377.97</v>
      </c>
      <c r="EU95" s="231">
        <v>1475.38</v>
      </c>
      <c r="EV95" s="231">
        <v>123332004</v>
      </c>
      <c r="EW95" s="231">
        <v>2258.73</v>
      </c>
      <c r="EX95" s="231">
        <v>2235.37</v>
      </c>
      <c r="EY95" s="228">
        <v>23.36</v>
      </c>
      <c r="EZ95" s="229">
        <v>1.0500000000000001E-2</v>
      </c>
      <c r="FA95" s="229">
        <v>0.28620000000000001</v>
      </c>
      <c r="FB95" s="227" t="s">
        <v>566</v>
      </c>
      <c r="FC95">
        <f t="shared" si="1"/>
        <v>527</v>
      </c>
    </row>
    <row r="96" spans="1:159" ht="17.25" thickBot="1" x14ac:dyDescent="0.3">
      <c r="A96" s="226">
        <v>46135</v>
      </c>
      <c r="B96" s="227" t="s">
        <v>172</v>
      </c>
      <c r="C96" s="227" t="s">
        <v>577</v>
      </c>
      <c r="D96" s="228">
        <v>1000</v>
      </c>
      <c r="E96" s="228">
        <v>5</v>
      </c>
      <c r="F96" s="228">
        <v>916.45</v>
      </c>
      <c r="G96" s="228">
        <v>927.15</v>
      </c>
      <c r="H96" s="228">
        <v>-10.7</v>
      </c>
      <c r="I96" s="229">
        <v>-1.15E-2</v>
      </c>
      <c r="J96" s="228">
        <v>914.95</v>
      </c>
      <c r="K96" s="228">
        <v>925.35</v>
      </c>
      <c r="L96" s="228">
        <v>-10.4</v>
      </c>
      <c r="M96" s="229">
        <v>-1.12E-2</v>
      </c>
      <c r="N96" s="228">
        <v>916.45</v>
      </c>
      <c r="O96" s="228">
        <v>927.15</v>
      </c>
      <c r="P96" s="228">
        <v>-10.7</v>
      </c>
      <c r="Q96" s="229">
        <v>-1.15E-2</v>
      </c>
      <c r="R96" s="228">
        <v>920.15</v>
      </c>
      <c r="S96" s="228">
        <v>931.25</v>
      </c>
      <c r="T96" s="228">
        <v>-11.1</v>
      </c>
      <c r="U96" s="229">
        <v>-1.1900000000000001E-2</v>
      </c>
      <c r="V96" s="228">
        <v>915.35</v>
      </c>
      <c r="W96" s="228">
        <v>929.4</v>
      </c>
      <c r="X96" s="228">
        <v>-14.05</v>
      </c>
      <c r="Y96" s="229">
        <v>-1.5100000000000001E-2</v>
      </c>
      <c r="Z96" s="228">
        <v>1.5</v>
      </c>
      <c r="AA96" s="228">
        <v>1.8</v>
      </c>
      <c r="AB96" s="228">
        <v>-0.3</v>
      </c>
      <c r="AC96" s="229">
        <v>1.6000000000000001E-3</v>
      </c>
      <c r="AD96" s="228">
        <v>1.5</v>
      </c>
      <c r="AE96" s="228">
        <v>1.8</v>
      </c>
      <c r="AF96" s="228">
        <v>-0.3</v>
      </c>
      <c r="AG96" s="229">
        <v>1.6000000000000001E-3</v>
      </c>
      <c r="AH96" s="228">
        <v>5.2</v>
      </c>
      <c r="AI96" s="228">
        <v>5.9</v>
      </c>
      <c r="AJ96" s="228">
        <v>-0.7</v>
      </c>
      <c r="AK96" s="229">
        <v>5.7000000000000002E-3</v>
      </c>
      <c r="AL96" s="228">
        <v>0.4</v>
      </c>
      <c r="AM96" s="228">
        <v>4.05</v>
      </c>
      <c r="AN96" s="228">
        <v>-3.65</v>
      </c>
      <c r="AO96" s="229">
        <v>4.0000000000000002E-4</v>
      </c>
      <c r="AP96" s="228">
        <v>918.37</v>
      </c>
      <c r="AQ96" s="228">
        <v>919.96</v>
      </c>
      <c r="AR96" s="228">
        <v>0</v>
      </c>
      <c r="AS96" s="228">
        <v>665</v>
      </c>
      <c r="AT96" s="228">
        <v>250</v>
      </c>
      <c r="AU96" s="228">
        <v>414</v>
      </c>
      <c r="AV96" s="229">
        <v>1.6551</v>
      </c>
      <c r="AW96" s="228">
        <v>383</v>
      </c>
      <c r="AX96" s="228">
        <v>164</v>
      </c>
      <c r="AY96" s="228">
        <v>219</v>
      </c>
      <c r="AZ96" s="229">
        <v>1.3305</v>
      </c>
      <c r="BA96" s="228">
        <v>279</v>
      </c>
      <c r="BB96" s="228">
        <v>84</v>
      </c>
      <c r="BC96" s="228">
        <v>194</v>
      </c>
      <c r="BD96" s="229">
        <v>2.3029000000000002</v>
      </c>
      <c r="BE96" s="228">
        <v>3</v>
      </c>
      <c r="BF96" s="228">
        <v>1</v>
      </c>
      <c r="BG96" s="228">
        <v>1</v>
      </c>
      <c r="BH96" s="229">
        <v>0.75</v>
      </c>
      <c r="BI96" s="228">
        <v>689</v>
      </c>
      <c r="BJ96" s="228">
        <v>584</v>
      </c>
      <c r="BK96" s="228">
        <v>104</v>
      </c>
      <c r="BL96" s="229">
        <v>0.1789</v>
      </c>
      <c r="BM96" s="228">
        <v>314</v>
      </c>
      <c r="BN96" s="228">
        <v>177</v>
      </c>
      <c r="BO96" s="228">
        <v>136</v>
      </c>
      <c r="BP96" s="229">
        <v>0.76949999999999996</v>
      </c>
      <c r="BQ96" s="230">
        <v>1667</v>
      </c>
      <c r="BR96" s="230">
        <v>1012</v>
      </c>
      <c r="BS96" s="228">
        <v>655</v>
      </c>
      <c r="BT96" s="229">
        <v>0.64759999999999995</v>
      </c>
      <c r="BU96" s="230">
        <v>2294544</v>
      </c>
      <c r="BV96" s="230">
        <v>1976780</v>
      </c>
      <c r="BW96" s="230">
        <v>317764</v>
      </c>
      <c r="BX96" s="229">
        <v>0.16070000000000001</v>
      </c>
      <c r="BY96" s="228">
        <v>955</v>
      </c>
      <c r="BZ96" s="230">
        <v>1024</v>
      </c>
      <c r="CA96" s="228">
        <v>-70</v>
      </c>
      <c r="CB96" s="229">
        <v>-6.8000000000000005E-2</v>
      </c>
      <c r="CC96" s="228">
        <v>699</v>
      </c>
      <c r="CD96" s="228">
        <v>889</v>
      </c>
      <c r="CE96" s="228">
        <v>-191</v>
      </c>
      <c r="CF96" s="229">
        <v>-0.21440000000000001</v>
      </c>
      <c r="CG96" s="228">
        <v>246</v>
      </c>
      <c r="CH96" s="228">
        <v>126</v>
      </c>
      <c r="CI96" s="228">
        <v>120</v>
      </c>
      <c r="CJ96" s="229">
        <v>0.95140000000000002</v>
      </c>
      <c r="CK96" s="228">
        <v>10</v>
      </c>
      <c r="CL96" s="228">
        <v>9</v>
      </c>
      <c r="CM96" s="228">
        <v>1</v>
      </c>
      <c r="CN96" s="229">
        <v>9.2799999999999994E-2</v>
      </c>
      <c r="CO96" s="228">
        <v>630</v>
      </c>
      <c r="CP96" s="228">
        <v>641</v>
      </c>
      <c r="CQ96" s="228">
        <v>-12</v>
      </c>
      <c r="CR96" s="229">
        <v>-1.8100000000000002E-2</v>
      </c>
      <c r="CS96" s="228">
        <v>351</v>
      </c>
      <c r="CT96" s="228">
        <v>339</v>
      </c>
      <c r="CU96" s="228">
        <v>11</v>
      </c>
      <c r="CV96" s="229">
        <v>3.3500000000000002E-2</v>
      </c>
      <c r="CW96" s="230">
        <v>1935</v>
      </c>
      <c r="CX96" s="230">
        <v>2005</v>
      </c>
      <c r="CY96" s="228">
        <v>-70</v>
      </c>
      <c r="CZ96" s="229">
        <v>-3.49E-2</v>
      </c>
      <c r="DA96" s="228">
        <v>38.119999999999997</v>
      </c>
      <c r="DB96" s="228">
        <v>37.56</v>
      </c>
      <c r="DC96" s="228">
        <v>0.56000000000000005</v>
      </c>
      <c r="DD96" s="228">
        <v>0.56000000000000005</v>
      </c>
      <c r="DE96" s="228">
        <v>41.46</v>
      </c>
      <c r="DF96" s="228">
        <v>41.54</v>
      </c>
      <c r="DG96" s="228">
        <v>-3.34</v>
      </c>
      <c r="DH96" s="228">
        <v>-0.08</v>
      </c>
      <c r="DI96" s="228">
        <v>37.82</v>
      </c>
      <c r="DJ96" s="228">
        <v>37.35</v>
      </c>
      <c r="DK96" s="228">
        <v>0.47</v>
      </c>
      <c r="DL96" s="228">
        <v>0.47</v>
      </c>
      <c r="DM96" s="228">
        <v>38.619999999999997</v>
      </c>
      <c r="DN96" s="228">
        <v>38.229999999999997</v>
      </c>
      <c r="DO96" s="228">
        <v>0.39</v>
      </c>
      <c r="DP96" s="228">
        <v>0.39</v>
      </c>
      <c r="DQ96" s="228">
        <v>0.56000000000000005</v>
      </c>
      <c r="DR96" s="228">
        <v>0.53</v>
      </c>
      <c r="DS96" s="228">
        <v>0.03</v>
      </c>
      <c r="DT96" s="229">
        <v>5.6599999999999998E-2</v>
      </c>
      <c r="DU96" s="231">
        <v>1000</v>
      </c>
      <c r="DV96" s="228">
        <v>900</v>
      </c>
      <c r="DW96" s="228">
        <v>0.46</v>
      </c>
      <c r="DX96" s="228">
        <v>0.3</v>
      </c>
      <c r="DY96" s="228">
        <v>0.16</v>
      </c>
      <c r="DZ96" s="229">
        <v>0.5333</v>
      </c>
      <c r="EA96" s="229">
        <v>0.26829999999999998</v>
      </c>
      <c r="EB96" s="230">
        <v>1475000</v>
      </c>
      <c r="EC96" s="229">
        <v>4.0000000000000001E-3</v>
      </c>
      <c r="ED96" s="229">
        <v>0.26829999999999998</v>
      </c>
      <c r="EE96" s="228">
        <v>1.59</v>
      </c>
      <c r="EF96" s="229">
        <v>1.6999999999999999E-3</v>
      </c>
      <c r="EG96" s="230">
        <v>1000164</v>
      </c>
      <c r="EH96" s="230">
        <v>1032929</v>
      </c>
      <c r="EI96" s="229">
        <v>-3.1699999999999999E-2</v>
      </c>
      <c r="EJ96" s="229">
        <v>0.43590000000000001</v>
      </c>
      <c r="EK96" s="228">
        <v>726.28</v>
      </c>
      <c r="EL96" s="228">
        <v>315.20999999999998</v>
      </c>
      <c r="EM96" s="228">
        <v>666.39</v>
      </c>
      <c r="EN96" s="228">
        <v>30.12</v>
      </c>
      <c r="EO96" s="231">
        <v>1707.87</v>
      </c>
      <c r="EP96" s="231">
        <v>1055.9000000000001</v>
      </c>
      <c r="EQ96" s="228">
        <v>651.97</v>
      </c>
      <c r="ER96" s="229">
        <v>0.61750000000000005</v>
      </c>
      <c r="ES96" s="228">
        <v>664.16</v>
      </c>
      <c r="ET96" s="228">
        <v>342.68</v>
      </c>
      <c r="EU96" s="228">
        <v>955.74</v>
      </c>
      <c r="EV96" s="231">
        <v>52862157</v>
      </c>
      <c r="EW96" s="231">
        <v>1962.58</v>
      </c>
      <c r="EX96" s="231">
        <v>2050.54</v>
      </c>
      <c r="EY96" s="228">
        <v>-87.96</v>
      </c>
      <c r="EZ96" s="229">
        <v>-4.2900000000000001E-2</v>
      </c>
      <c r="FA96" s="229">
        <v>0.39939999999999998</v>
      </c>
      <c r="FB96" s="227" t="s">
        <v>567</v>
      </c>
      <c r="FC96">
        <f t="shared" si="1"/>
        <v>256</v>
      </c>
    </row>
    <row r="97" spans="1:159" ht="17.25" thickBot="1" x14ac:dyDescent="0.3">
      <c r="A97" s="226">
        <v>46135</v>
      </c>
      <c r="B97" s="227" t="s">
        <v>181</v>
      </c>
      <c r="C97" s="227" t="s">
        <v>686</v>
      </c>
      <c r="D97" s="228">
        <v>1</v>
      </c>
      <c r="E97" s="228">
        <v>5</v>
      </c>
      <c r="F97" s="228">
        <v>18.59</v>
      </c>
      <c r="G97" s="228">
        <v>18.3</v>
      </c>
      <c r="H97" s="228">
        <v>0.28999999999999998</v>
      </c>
      <c r="I97" s="229">
        <v>1.5800000000000002E-2</v>
      </c>
      <c r="J97" s="228">
        <v>18.59</v>
      </c>
      <c r="K97" s="228">
        <v>18.3</v>
      </c>
      <c r="L97" s="228">
        <v>0.28999999999999998</v>
      </c>
      <c r="M97" s="229">
        <v>1.5800000000000002E-2</v>
      </c>
      <c r="N97" s="228">
        <v>0</v>
      </c>
      <c r="O97" s="228">
        <v>0</v>
      </c>
      <c r="P97" s="228">
        <v>0</v>
      </c>
      <c r="Q97" s="229">
        <v>0</v>
      </c>
      <c r="R97" s="228">
        <v>0</v>
      </c>
      <c r="S97" s="228">
        <v>0</v>
      </c>
      <c r="T97" s="228">
        <v>0</v>
      </c>
      <c r="U97" s="229">
        <v>0</v>
      </c>
      <c r="V97" s="228">
        <v>0</v>
      </c>
      <c r="W97" s="228">
        <v>0</v>
      </c>
      <c r="X97" s="228">
        <v>0</v>
      </c>
      <c r="Y97" s="229">
        <v>0</v>
      </c>
      <c r="Z97" s="228">
        <v>0</v>
      </c>
      <c r="AA97" s="228">
        <v>0</v>
      </c>
      <c r="AB97" s="228">
        <v>0</v>
      </c>
      <c r="AC97" s="229">
        <v>0</v>
      </c>
      <c r="AD97" s="228">
        <v>0</v>
      </c>
      <c r="AE97" s="228">
        <v>0</v>
      </c>
      <c r="AF97" s="228">
        <v>0</v>
      </c>
      <c r="AG97" s="229">
        <v>0</v>
      </c>
      <c r="AH97" s="228">
        <v>0</v>
      </c>
      <c r="AI97" s="228">
        <v>0</v>
      </c>
      <c r="AJ97" s="228">
        <v>0</v>
      </c>
      <c r="AK97" s="229">
        <v>0</v>
      </c>
      <c r="AL97" s="228">
        <v>0</v>
      </c>
      <c r="AM97" s="228">
        <v>0</v>
      </c>
      <c r="AN97" s="228">
        <v>0</v>
      </c>
      <c r="AO97" s="229">
        <v>0</v>
      </c>
      <c r="AP97" s="228">
        <v>0</v>
      </c>
      <c r="AQ97" s="228">
        <v>0</v>
      </c>
      <c r="AR97" s="228">
        <v>0</v>
      </c>
      <c r="AS97" s="228">
        <v>0</v>
      </c>
      <c r="AT97" s="228">
        <v>0</v>
      </c>
      <c r="AU97" s="228">
        <v>0</v>
      </c>
      <c r="AV97" s="229">
        <v>0</v>
      </c>
      <c r="AW97" s="228">
        <v>0</v>
      </c>
      <c r="AX97" s="228">
        <v>0</v>
      </c>
      <c r="AY97" s="228">
        <v>0</v>
      </c>
      <c r="AZ97" s="229">
        <v>0</v>
      </c>
      <c r="BA97" s="228">
        <v>0</v>
      </c>
      <c r="BB97" s="228">
        <v>0</v>
      </c>
      <c r="BC97" s="228">
        <v>0</v>
      </c>
      <c r="BD97" s="229">
        <v>0</v>
      </c>
      <c r="BE97" s="228">
        <v>0</v>
      </c>
      <c r="BF97" s="228">
        <v>0</v>
      </c>
      <c r="BG97" s="228">
        <v>0</v>
      </c>
      <c r="BH97" s="229">
        <v>0</v>
      </c>
      <c r="BI97" s="228">
        <v>0</v>
      </c>
      <c r="BJ97" s="228">
        <v>0</v>
      </c>
      <c r="BK97" s="228">
        <v>0</v>
      </c>
      <c r="BL97" s="229">
        <v>0</v>
      </c>
      <c r="BM97" s="228">
        <v>0</v>
      </c>
      <c r="BN97" s="228">
        <v>0</v>
      </c>
      <c r="BO97" s="228">
        <v>0</v>
      </c>
      <c r="BP97" s="229">
        <v>0</v>
      </c>
      <c r="BQ97" s="228">
        <v>0</v>
      </c>
      <c r="BR97" s="228">
        <v>0</v>
      </c>
      <c r="BS97" s="228">
        <v>0</v>
      </c>
      <c r="BT97" s="229">
        <v>0</v>
      </c>
      <c r="BU97" s="228">
        <v>0</v>
      </c>
      <c r="BV97" s="228">
        <v>0</v>
      </c>
      <c r="BW97" s="228">
        <v>0</v>
      </c>
      <c r="BX97" s="229">
        <v>0</v>
      </c>
      <c r="BY97" s="228">
        <v>0</v>
      </c>
      <c r="BZ97" s="228">
        <v>0</v>
      </c>
      <c r="CA97" s="228">
        <v>0</v>
      </c>
      <c r="CB97" s="229">
        <v>0</v>
      </c>
      <c r="CC97" s="228">
        <v>0</v>
      </c>
      <c r="CD97" s="228">
        <v>0</v>
      </c>
      <c r="CE97" s="228">
        <v>0</v>
      </c>
      <c r="CF97" s="229">
        <v>0</v>
      </c>
      <c r="CG97" s="228">
        <v>0</v>
      </c>
      <c r="CH97" s="228">
        <v>0</v>
      </c>
      <c r="CI97" s="228">
        <v>0</v>
      </c>
      <c r="CJ97" s="229">
        <v>0</v>
      </c>
      <c r="CK97" s="228">
        <v>0</v>
      </c>
      <c r="CL97" s="228">
        <v>0</v>
      </c>
      <c r="CM97" s="228">
        <v>0</v>
      </c>
      <c r="CN97" s="229">
        <v>0</v>
      </c>
      <c r="CO97" s="228">
        <v>0</v>
      </c>
      <c r="CP97" s="228">
        <v>0</v>
      </c>
      <c r="CQ97" s="228">
        <v>0</v>
      </c>
      <c r="CR97" s="229">
        <v>0</v>
      </c>
      <c r="CS97" s="228">
        <v>0</v>
      </c>
      <c r="CT97" s="228">
        <v>0</v>
      </c>
      <c r="CU97" s="228">
        <v>0</v>
      </c>
      <c r="CV97" s="229">
        <v>0</v>
      </c>
      <c r="CW97" s="228">
        <v>0</v>
      </c>
      <c r="CX97" s="228">
        <v>0</v>
      </c>
      <c r="CY97" s="228">
        <v>0</v>
      </c>
      <c r="CZ97" s="229">
        <v>0</v>
      </c>
      <c r="DA97" s="228">
        <v>0</v>
      </c>
      <c r="DB97" s="228">
        <v>0</v>
      </c>
      <c r="DC97" s="228">
        <v>0</v>
      </c>
      <c r="DD97" s="228">
        <v>0</v>
      </c>
      <c r="DE97" s="228">
        <v>0</v>
      </c>
      <c r="DF97" s="228">
        <v>0</v>
      </c>
      <c r="DG97" s="228">
        <v>0</v>
      </c>
      <c r="DH97" s="228">
        <v>0</v>
      </c>
      <c r="DI97" s="228">
        <v>0</v>
      </c>
      <c r="DJ97" s="228">
        <v>0</v>
      </c>
      <c r="DK97" s="228">
        <v>0</v>
      </c>
      <c r="DL97" s="228">
        <v>0</v>
      </c>
      <c r="DM97" s="228">
        <v>0</v>
      </c>
      <c r="DN97" s="228">
        <v>0</v>
      </c>
      <c r="DO97" s="228">
        <v>0</v>
      </c>
      <c r="DP97" s="228">
        <v>0</v>
      </c>
      <c r="DQ97" s="228">
        <v>0</v>
      </c>
      <c r="DR97" s="228">
        <v>0</v>
      </c>
      <c r="DS97" s="228">
        <v>0</v>
      </c>
      <c r="DT97" s="229">
        <v>0</v>
      </c>
      <c r="DU97" s="228">
        <v>0</v>
      </c>
      <c r="DV97" s="228">
        <v>0</v>
      </c>
      <c r="DW97" s="228">
        <v>0</v>
      </c>
      <c r="DX97" s="228">
        <v>0</v>
      </c>
      <c r="DY97" s="228">
        <v>0</v>
      </c>
      <c r="DZ97" s="229">
        <v>0</v>
      </c>
      <c r="EA97" s="229">
        <v>0</v>
      </c>
      <c r="EB97" s="228">
        <v>0</v>
      </c>
      <c r="EC97" s="229">
        <v>0</v>
      </c>
      <c r="ED97" s="229">
        <v>0</v>
      </c>
      <c r="EE97" s="228">
        <v>0</v>
      </c>
      <c r="EF97" s="229">
        <v>0</v>
      </c>
      <c r="EG97" s="228">
        <v>0</v>
      </c>
      <c r="EH97" s="228">
        <v>0</v>
      </c>
      <c r="EI97" s="229">
        <v>0</v>
      </c>
      <c r="EJ97" s="229">
        <v>0</v>
      </c>
      <c r="EK97" s="228">
        <v>0</v>
      </c>
      <c r="EL97" s="228">
        <v>0</v>
      </c>
      <c r="EM97" s="228">
        <v>0</v>
      </c>
      <c r="EN97" s="228">
        <v>0</v>
      </c>
      <c r="EO97" s="228">
        <v>0</v>
      </c>
      <c r="EP97" s="228">
        <v>0</v>
      </c>
      <c r="EQ97" s="228">
        <v>0</v>
      </c>
      <c r="ER97" s="229">
        <v>0</v>
      </c>
      <c r="ES97" s="228">
        <v>0</v>
      </c>
      <c r="ET97" s="228">
        <v>0</v>
      </c>
      <c r="EU97" s="228">
        <v>0</v>
      </c>
      <c r="EV97" s="228">
        <v>0</v>
      </c>
      <c r="EW97" s="228">
        <v>0</v>
      </c>
      <c r="EX97" s="228">
        <v>0</v>
      </c>
      <c r="EY97" s="228">
        <v>0</v>
      </c>
      <c r="EZ97" s="229">
        <v>0</v>
      </c>
      <c r="FA97" s="229">
        <v>0</v>
      </c>
      <c r="FB97" s="227" t="s">
        <v>237</v>
      </c>
      <c r="FC97">
        <f t="shared" si="1"/>
        <v>0</v>
      </c>
    </row>
    <row r="98" spans="1:159" ht="17.25" thickBot="1" x14ac:dyDescent="0.3">
      <c r="A98" s="226">
        <v>46135</v>
      </c>
      <c r="B98" s="227" t="s">
        <v>215</v>
      </c>
      <c r="C98" s="227" t="s">
        <v>238</v>
      </c>
      <c r="D98" s="228">
        <v>150</v>
      </c>
      <c r="E98" s="228">
        <v>5</v>
      </c>
      <c r="F98" s="231">
        <v>4565.6000000000004</v>
      </c>
      <c r="G98" s="231">
        <v>4632.3999999999996</v>
      </c>
      <c r="H98" s="228">
        <v>-66.8</v>
      </c>
      <c r="I98" s="229">
        <v>-1.44E-2</v>
      </c>
      <c r="J98" s="231">
        <v>4556</v>
      </c>
      <c r="K98" s="231">
        <v>4640.8999999999996</v>
      </c>
      <c r="L98" s="228">
        <v>-84.9</v>
      </c>
      <c r="M98" s="229">
        <v>-1.83E-2</v>
      </c>
      <c r="N98" s="231">
        <v>4565.6000000000004</v>
      </c>
      <c r="O98" s="231">
        <v>4632.3999999999996</v>
      </c>
      <c r="P98" s="228">
        <v>-66.8</v>
      </c>
      <c r="Q98" s="229">
        <v>-1.44E-2</v>
      </c>
      <c r="R98" s="231">
        <v>4564.5</v>
      </c>
      <c r="S98" s="231">
        <v>4643.8</v>
      </c>
      <c r="T98" s="228">
        <v>-79.3</v>
      </c>
      <c r="U98" s="229">
        <v>-1.7100000000000001E-2</v>
      </c>
      <c r="V98" s="231">
        <v>4580.1000000000004</v>
      </c>
      <c r="W98" s="231">
        <v>4667.5</v>
      </c>
      <c r="X98" s="228">
        <v>-87.4</v>
      </c>
      <c r="Y98" s="229">
        <v>-1.8700000000000001E-2</v>
      </c>
      <c r="Z98" s="228">
        <v>9.6</v>
      </c>
      <c r="AA98" s="228">
        <v>-8.5</v>
      </c>
      <c r="AB98" s="228">
        <v>18.100000000000001</v>
      </c>
      <c r="AC98" s="229">
        <v>2.0999999999999999E-3</v>
      </c>
      <c r="AD98" s="228">
        <v>9.6</v>
      </c>
      <c r="AE98" s="228">
        <v>-8.5</v>
      </c>
      <c r="AF98" s="228">
        <v>18.100000000000001</v>
      </c>
      <c r="AG98" s="229">
        <v>2.0999999999999999E-3</v>
      </c>
      <c r="AH98" s="228">
        <v>8.5</v>
      </c>
      <c r="AI98" s="228">
        <v>2.9</v>
      </c>
      <c r="AJ98" s="228">
        <v>5.6</v>
      </c>
      <c r="AK98" s="229">
        <v>1.9E-3</v>
      </c>
      <c r="AL98" s="228">
        <v>24.1</v>
      </c>
      <c r="AM98" s="228">
        <v>26.6</v>
      </c>
      <c r="AN98" s="228">
        <v>-2.5</v>
      </c>
      <c r="AO98" s="229">
        <v>5.3E-3</v>
      </c>
      <c r="AP98" s="231">
        <v>4567.91</v>
      </c>
      <c r="AQ98" s="231">
        <v>4567.8</v>
      </c>
      <c r="AR98" s="228">
        <v>0</v>
      </c>
      <c r="AS98" s="230">
        <v>2171</v>
      </c>
      <c r="AT98" s="228">
        <v>709</v>
      </c>
      <c r="AU98" s="230">
        <v>1462</v>
      </c>
      <c r="AV98" s="229">
        <v>2.0628000000000002</v>
      </c>
      <c r="AW98" s="230">
        <v>1145</v>
      </c>
      <c r="AX98" s="228">
        <v>530</v>
      </c>
      <c r="AY98" s="228">
        <v>615</v>
      </c>
      <c r="AZ98" s="229">
        <v>1.1618999999999999</v>
      </c>
      <c r="BA98" s="230">
        <v>1009</v>
      </c>
      <c r="BB98" s="228">
        <v>163</v>
      </c>
      <c r="BC98" s="228">
        <v>846</v>
      </c>
      <c r="BD98" s="229">
        <v>5.1890999999999998</v>
      </c>
      <c r="BE98" s="228">
        <v>17</v>
      </c>
      <c r="BF98" s="228">
        <v>16</v>
      </c>
      <c r="BG98" s="228">
        <v>1</v>
      </c>
      <c r="BH98" s="229">
        <v>4.7E-2</v>
      </c>
      <c r="BI98" s="230">
        <v>2672</v>
      </c>
      <c r="BJ98" s="230">
        <v>3449</v>
      </c>
      <c r="BK98" s="228">
        <v>-777</v>
      </c>
      <c r="BL98" s="229">
        <v>-0.22520000000000001</v>
      </c>
      <c r="BM98" s="230">
        <v>2579</v>
      </c>
      <c r="BN98" s="230">
        <v>2612</v>
      </c>
      <c r="BO98" s="228">
        <v>-33</v>
      </c>
      <c r="BP98" s="229">
        <v>-1.2699999999999999E-2</v>
      </c>
      <c r="BQ98" s="230">
        <v>7423</v>
      </c>
      <c r="BR98" s="230">
        <v>6770</v>
      </c>
      <c r="BS98" s="228">
        <v>652</v>
      </c>
      <c r="BT98" s="229">
        <v>9.64E-2</v>
      </c>
      <c r="BU98" s="230">
        <v>1073206</v>
      </c>
      <c r="BV98" s="230">
        <v>1113682</v>
      </c>
      <c r="BW98" s="230">
        <v>-40476</v>
      </c>
      <c r="BX98" s="229">
        <v>-3.6299999999999999E-2</v>
      </c>
      <c r="BY98" s="230">
        <v>3323</v>
      </c>
      <c r="BZ98" s="230">
        <v>3230</v>
      </c>
      <c r="CA98" s="228">
        <v>93</v>
      </c>
      <c r="CB98" s="229">
        <v>2.8799999999999999E-2</v>
      </c>
      <c r="CC98" s="230">
        <v>2251</v>
      </c>
      <c r="CD98" s="230">
        <v>2929</v>
      </c>
      <c r="CE98" s="228">
        <v>-678</v>
      </c>
      <c r="CF98" s="229">
        <v>-0.23150000000000001</v>
      </c>
      <c r="CG98" s="230">
        <v>1035</v>
      </c>
      <c r="CH98" s="228">
        <v>271</v>
      </c>
      <c r="CI98" s="228">
        <v>765</v>
      </c>
      <c r="CJ98" s="229">
        <v>2.8260999999999998</v>
      </c>
      <c r="CK98" s="228">
        <v>37</v>
      </c>
      <c r="CL98" s="228">
        <v>30</v>
      </c>
      <c r="CM98" s="228">
        <v>6</v>
      </c>
      <c r="CN98" s="229">
        <v>0.2054</v>
      </c>
      <c r="CO98" s="230">
        <v>2980</v>
      </c>
      <c r="CP98" s="230">
        <v>2966</v>
      </c>
      <c r="CQ98" s="228">
        <v>14</v>
      </c>
      <c r="CR98" s="229">
        <v>4.7999999999999996E-3</v>
      </c>
      <c r="CS98" s="230">
        <v>1971</v>
      </c>
      <c r="CT98" s="230">
        <v>2058</v>
      </c>
      <c r="CU98" s="228">
        <v>-87</v>
      </c>
      <c r="CV98" s="229">
        <v>-4.2299999999999997E-2</v>
      </c>
      <c r="CW98" s="230">
        <v>8274</v>
      </c>
      <c r="CX98" s="230">
        <v>8254</v>
      </c>
      <c r="CY98" s="228">
        <v>20</v>
      </c>
      <c r="CZ98" s="229">
        <v>2.3999999999999998E-3</v>
      </c>
      <c r="DA98" s="228">
        <v>39.06</v>
      </c>
      <c r="DB98" s="228">
        <v>36.200000000000003</v>
      </c>
      <c r="DC98" s="228">
        <v>2.86</v>
      </c>
      <c r="DD98" s="228">
        <v>2.86</v>
      </c>
      <c r="DE98" s="228">
        <v>39.97</v>
      </c>
      <c r="DF98" s="228">
        <v>39.99</v>
      </c>
      <c r="DG98" s="228">
        <v>-0.91</v>
      </c>
      <c r="DH98" s="228">
        <v>-0.02</v>
      </c>
      <c r="DI98" s="228">
        <v>38.299999999999997</v>
      </c>
      <c r="DJ98" s="228">
        <v>34.31</v>
      </c>
      <c r="DK98" s="228">
        <v>3.99</v>
      </c>
      <c r="DL98" s="228">
        <v>3.99</v>
      </c>
      <c r="DM98" s="228">
        <v>39.590000000000003</v>
      </c>
      <c r="DN98" s="228">
        <v>38.69</v>
      </c>
      <c r="DO98" s="228">
        <v>0.9</v>
      </c>
      <c r="DP98" s="228">
        <v>0.9</v>
      </c>
      <c r="DQ98" s="228">
        <v>0.66</v>
      </c>
      <c r="DR98" s="228">
        <v>0.69</v>
      </c>
      <c r="DS98" s="228">
        <v>-0.03</v>
      </c>
      <c r="DT98" s="229">
        <v>-4.3499999999999997E-2</v>
      </c>
      <c r="DU98" s="231">
        <v>4700</v>
      </c>
      <c r="DV98" s="231">
        <v>4700</v>
      </c>
      <c r="DW98" s="228">
        <v>0.97</v>
      </c>
      <c r="DX98" s="228">
        <v>0.76</v>
      </c>
      <c r="DY98" s="228">
        <v>0.21</v>
      </c>
      <c r="DZ98" s="229">
        <v>0.27629999999999999</v>
      </c>
      <c r="EA98" s="229">
        <v>0.3226</v>
      </c>
      <c r="EB98" s="230">
        <v>659100</v>
      </c>
      <c r="EC98" s="229">
        <v>-2.0000000000000001E-4</v>
      </c>
      <c r="ED98" s="229">
        <v>0.3226</v>
      </c>
      <c r="EE98" s="228">
        <v>-0.11</v>
      </c>
      <c r="EF98" s="229">
        <v>0</v>
      </c>
      <c r="EG98" s="230">
        <v>529705</v>
      </c>
      <c r="EH98" s="230">
        <v>581025</v>
      </c>
      <c r="EI98" s="229">
        <v>-8.8300000000000003E-2</v>
      </c>
      <c r="EJ98" s="229">
        <v>0.49359999999999998</v>
      </c>
      <c r="EK98" s="231">
        <v>2815.93</v>
      </c>
      <c r="EL98" s="231">
        <v>2549.9299999999998</v>
      </c>
      <c r="EM98" s="231">
        <v>2171.86</v>
      </c>
      <c r="EN98" s="228">
        <v>78.33</v>
      </c>
      <c r="EO98" s="231">
        <v>7537.72</v>
      </c>
      <c r="EP98" s="231">
        <v>6976.29</v>
      </c>
      <c r="EQ98" s="228">
        <v>561.42999999999995</v>
      </c>
      <c r="ER98" s="229">
        <v>8.0500000000000002E-2</v>
      </c>
      <c r="ES98" s="231">
        <v>3078.35</v>
      </c>
      <c r="ET98" s="231">
        <v>1866</v>
      </c>
      <c r="EU98" s="231">
        <v>3322.71</v>
      </c>
      <c r="EV98" s="231">
        <v>33878797</v>
      </c>
      <c r="EW98" s="231">
        <v>8267.06</v>
      </c>
      <c r="EX98" s="231">
        <v>8305.58</v>
      </c>
      <c r="EY98" s="228">
        <v>-38.520000000000003</v>
      </c>
      <c r="EZ98" s="229">
        <v>-4.5999999999999999E-3</v>
      </c>
      <c r="FA98" s="229">
        <v>0.53490000000000004</v>
      </c>
      <c r="FB98" s="227" t="s">
        <v>566</v>
      </c>
      <c r="FC98">
        <f t="shared" si="1"/>
        <v>1072</v>
      </c>
    </row>
    <row r="99" spans="1:159" ht="17.25" thickBot="1" x14ac:dyDescent="0.3">
      <c r="A99" s="226">
        <v>46135</v>
      </c>
      <c r="B99" s="227" t="s">
        <v>172</v>
      </c>
      <c r="C99" s="227" t="s">
        <v>239</v>
      </c>
      <c r="D99" s="228">
        <v>700</v>
      </c>
      <c r="E99" s="228">
        <v>5</v>
      </c>
      <c r="F99" s="228">
        <v>860.1</v>
      </c>
      <c r="G99" s="228">
        <v>868.75</v>
      </c>
      <c r="H99" s="228">
        <v>-8.65</v>
      </c>
      <c r="I99" s="229">
        <v>-0.01</v>
      </c>
      <c r="J99" s="228">
        <v>860.35</v>
      </c>
      <c r="K99" s="228">
        <v>870.1</v>
      </c>
      <c r="L99" s="228">
        <v>-9.75</v>
      </c>
      <c r="M99" s="229">
        <v>-1.12E-2</v>
      </c>
      <c r="N99" s="228">
        <v>860.1</v>
      </c>
      <c r="O99" s="228">
        <v>868.75</v>
      </c>
      <c r="P99" s="228">
        <v>-8.65</v>
      </c>
      <c r="Q99" s="229">
        <v>-0.01</v>
      </c>
      <c r="R99" s="228">
        <v>864.75</v>
      </c>
      <c r="S99" s="228">
        <v>873.7</v>
      </c>
      <c r="T99" s="228">
        <v>-8.9499999999999993</v>
      </c>
      <c r="U99" s="229">
        <v>-1.0200000000000001E-2</v>
      </c>
      <c r="V99" s="228">
        <v>866.9</v>
      </c>
      <c r="W99" s="228">
        <v>875.5</v>
      </c>
      <c r="X99" s="228">
        <v>-8.6</v>
      </c>
      <c r="Y99" s="229">
        <v>-9.7999999999999997E-3</v>
      </c>
      <c r="Z99" s="228">
        <v>-0.25</v>
      </c>
      <c r="AA99" s="228">
        <v>-1.35</v>
      </c>
      <c r="AB99" s="228">
        <v>1.1000000000000001</v>
      </c>
      <c r="AC99" s="229">
        <v>-2.9999999999999997E-4</v>
      </c>
      <c r="AD99" s="228">
        <v>-0.25</v>
      </c>
      <c r="AE99" s="228">
        <v>-1.35</v>
      </c>
      <c r="AF99" s="228">
        <v>1.1000000000000001</v>
      </c>
      <c r="AG99" s="229">
        <v>-2.9999999999999997E-4</v>
      </c>
      <c r="AH99" s="228">
        <v>4.4000000000000004</v>
      </c>
      <c r="AI99" s="228">
        <v>3.6</v>
      </c>
      <c r="AJ99" s="228">
        <v>0.8</v>
      </c>
      <c r="AK99" s="229">
        <v>5.1000000000000004E-3</v>
      </c>
      <c r="AL99" s="228">
        <v>6.55</v>
      </c>
      <c r="AM99" s="228">
        <v>5.4</v>
      </c>
      <c r="AN99" s="228">
        <v>1.1499999999999999</v>
      </c>
      <c r="AO99" s="229">
        <v>7.6E-3</v>
      </c>
      <c r="AP99" s="228">
        <v>861.22</v>
      </c>
      <c r="AQ99" s="228">
        <v>865.99</v>
      </c>
      <c r="AR99" s="228">
        <v>0</v>
      </c>
      <c r="AS99" s="230">
        <v>1914</v>
      </c>
      <c r="AT99" s="228">
        <v>489</v>
      </c>
      <c r="AU99" s="230">
        <v>1425</v>
      </c>
      <c r="AV99" s="229">
        <v>2.9165000000000001</v>
      </c>
      <c r="AW99" s="228">
        <v>965</v>
      </c>
      <c r="AX99" s="228">
        <v>304</v>
      </c>
      <c r="AY99" s="228">
        <v>661</v>
      </c>
      <c r="AZ99" s="229">
        <v>2.1745000000000001</v>
      </c>
      <c r="BA99" s="228">
        <v>933</v>
      </c>
      <c r="BB99" s="228">
        <v>175</v>
      </c>
      <c r="BC99" s="228">
        <v>759</v>
      </c>
      <c r="BD99" s="229">
        <v>4.3388</v>
      </c>
      <c r="BE99" s="228">
        <v>16</v>
      </c>
      <c r="BF99" s="228">
        <v>10</v>
      </c>
      <c r="BG99" s="228">
        <v>6</v>
      </c>
      <c r="BH99" s="229">
        <v>0.58179999999999998</v>
      </c>
      <c r="BI99" s="228">
        <v>842</v>
      </c>
      <c r="BJ99" s="228">
        <v>942</v>
      </c>
      <c r="BK99" s="228">
        <v>-100</v>
      </c>
      <c r="BL99" s="229">
        <v>-0.106</v>
      </c>
      <c r="BM99" s="228">
        <v>560</v>
      </c>
      <c r="BN99" s="228">
        <v>620</v>
      </c>
      <c r="BO99" s="228">
        <v>-60</v>
      </c>
      <c r="BP99" s="229">
        <v>-9.6100000000000005E-2</v>
      </c>
      <c r="BQ99" s="230">
        <v>3316</v>
      </c>
      <c r="BR99" s="230">
        <v>2051</v>
      </c>
      <c r="BS99" s="230">
        <v>1266</v>
      </c>
      <c r="BT99" s="229">
        <v>0.61729999999999996</v>
      </c>
      <c r="BU99" s="230">
        <v>1793244</v>
      </c>
      <c r="BV99" s="230">
        <v>2332569</v>
      </c>
      <c r="BW99" s="230">
        <v>-539325</v>
      </c>
      <c r="BX99" s="229">
        <v>-0.23119999999999999</v>
      </c>
      <c r="BY99" s="230">
        <v>3345</v>
      </c>
      <c r="BZ99" s="230">
        <v>3260</v>
      </c>
      <c r="CA99" s="228">
        <v>85</v>
      </c>
      <c r="CB99" s="229">
        <v>2.6100000000000002E-2</v>
      </c>
      <c r="CC99" s="230">
        <v>2084</v>
      </c>
      <c r="CD99" s="230">
        <v>2809</v>
      </c>
      <c r="CE99" s="228">
        <v>-725</v>
      </c>
      <c r="CF99" s="229">
        <v>-0.2581</v>
      </c>
      <c r="CG99" s="230">
        <v>1210</v>
      </c>
      <c r="CH99" s="228">
        <v>409</v>
      </c>
      <c r="CI99" s="228">
        <v>801</v>
      </c>
      <c r="CJ99" s="229">
        <v>1.9604999999999999</v>
      </c>
      <c r="CK99" s="228">
        <v>52</v>
      </c>
      <c r="CL99" s="228">
        <v>43</v>
      </c>
      <c r="CM99" s="228">
        <v>9</v>
      </c>
      <c r="CN99" s="229">
        <v>0.20699999999999999</v>
      </c>
      <c r="CO99" s="228">
        <v>747</v>
      </c>
      <c r="CP99" s="228">
        <v>689</v>
      </c>
      <c r="CQ99" s="228">
        <v>58</v>
      </c>
      <c r="CR99" s="229">
        <v>8.4099999999999994E-2</v>
      </c>
      <c r="CS99" s="228">
        <v>575</v>
      </c>
      <c r="CT99" s="228">
        <v>579</v>
      </c>
      <c r="CU99" s="228">
        <v>-4</v>
      </c>
      <c r="CV99" s="229">
        <v>-6.1999999999999998E-3</v>
      </c>
      <c r="CW99" s="230">
        <v>4668</v>
      </c>
      <c r="CX99" s="230">
        <v>4528</v>
      </c>
      <c r="CY99" s="228">
        <v>140</v>
      </c>
      <c r="CZ99" s="229">
        <v>3.0800000000000001E-2</v>
      </c>
      <c r="DA99" s="228">
        <v>35.24</v>
      </c>
      <c r="DB99" s="228">
        <v>42.58</v>
      </c>
      <c r="DC99" s="228">
        <v>-7.34</v>
      </c>
      <c r="DD99" s="228">
        <v>-7.34</v>
      </c>
      <c r="DE99" s="228">
        <v>43.02</v>
      </c>
      <c r="DF99" s="228">
        <v>43.1</v>
      </c>
      <c r="DG99" s="228">
        <v>-7.78</v>
      </c>
      <c r="DH99" s="228">
        <v>-0.08</v>
      </c>
      <c r="DI99" s="228">
        <v>35.270000000000003</v>
      </c>
      <c r="DJ99" s="228">
        <v>41.04</v>
      </c>
      <c r="DK99" s="228">
        <v>-5.77</v>
      </c>
      <c r="DL99" s="228">
        <v>-5.77</v>
      </c>
      <c r="DM99" s="228">
        <v>35.200000000000003</v>
      </c>
      <c r="DN99" s="228">
        <v>44.9</v>
      </c>
      <c r="DO99" s="228">
        <v>-9.6999999999999993</v>
      </c>
      <c r="DP99" s="228">
        <v>-9.6999999999999993</v>
      </c>
      <c r="DQ99" s="228">
        <v>0.77</v>
      </c>
      <c r="DR99" s="228">
        <v>0.84</v>
      </c>
      <c r="DS99" s="228">
        <v>-7.0000000000000007E-2</v>
      </c>
      <c r="DT99" s="229">
        <v>-8.3299999999999999E-2</v>
      </c>
      <c r="DU99" s="228">
        <v>900</v>
      </c>
      <c r="DV99" s="228">
        <v>800</v>
      </c>
      <c r="DW99" s="228">
        <v>0.67</v>
      </c>
      <c r="DX99" s="228">
        <v>0.66</v>
      </c>
      <c r="DY99" s="228">
        <v>0.01</v>
      </c>
      <c r="DZ99" s="229">
        <v>1.52E-2</v>
      </c>
      <c r="EA99" s="229">
        <v>0.37709999999999999</v>
      </c>
      <c r="EB99" s="230">
        <v>5249300</v>
      </c>
      <c r="EC99" s="229">
        <v>5.4000000000000003E-3</v>
      </c>
      <c r="ED99" s="229">
        <v>0.37709999999999999</v>
      </c>
      <c r="EE99" s="228">
        <v>4.7699999999999996</v>
      </c>
      <c r="EF99" s="229">
        <v>5.4999999999999997E-3</v>
      </c>
      <c r="EG99" s="230">
        <v>876915</v>
      </c>
      <c r="EH99" s="230">
        <v>1138297</v>
      </c>
      <c r="EI99" s="229">
        <v>-0.2296</v>
      </c>
      <c r="EJ99" s="229">
        <v>0.48899999999999999</v>
      </c>
      <c r="EK99" s="228">
        <v>877.39</v>
      </c>
      <c r="EL99" s="228">
        <v>556.75</v>
      </c>
      <c r="EM99" s="231">
        <v>1921.77</v>
      </c>
      <c r="EN99" s="228">
        <v>64.760000000000005</v>
      </c>
      <c r="EO99" s="231">
        <v>3355.9</v>
      </c>
      <c r="EP99" s="231">
        <v>2087.67</v>
      </c>
      <c r="EQ99" s="231">
        <v>1268.23</v>
      </c>
      <c r="ER99" s="229">
        <v>0.60750000000000004</v>
      </c>
      <c r="ES99" s="228">
        <v>750.31</v>
      </c>
      <c r="ET99" s="228">
        <v>543.77</v>
      </c>
      <c r="EU99" s="231">
        <v>3352.35</v>
      </c>
      <c r="EV99" s="231">
        <v>93808799</v>
      </c>
      <c r="EW99" s="231">
        <v>4646.43</v>
      </c>
      <c r="EX99" s="231">
        <v>4532.88</v>
      </c>
      <c r="EY99" s="228">
        <v>113.55</v>
      </c>
      <c r="EZ99" s="229">
        <v>2.5100000000000001E-2</v>
      </c>
      <c r="FA99" s="229">
        <v>0.57850000000000001</v>
      </c>
      <c r="FB99" s="227" t="s">
        <v>566</v>
      </c>
      <c r="FC99">
        <f t="shared" si="1"/>
        <v>1261</v>
      </c>
    </row>
    <row r="100" spans="1:159" ht="17.25" thickBot="1" x14ac:dyDescent="0.3">
      <c r="A100" s="226">
        <v>46135</v>
      </c>
      <c r="B100" s="227" t="s">
        <v>188</v>
      </c>
      <c r="C100" s="227" t="s">
        <v>473</v>
      </c>
      <c r="D100" s="228">
        <v>1700</v>
      </c>
      <c r="E100" s="228">
        <v>5</v>
      </c>
      <c r="F100" s="228">
        <v>405.1</v>
      </c>
      <c r="G100" s="228">
        <v>409.1</v>
      </c>
      <c r="H100" s="228">
        <v>-4</v>
      </c>
      <c r="I100" s="229">
        <v>-9.7999999999999997E-3</v>
      </c>
      <c r="J100" s="228">
        <v>404.7</v>
      </c>
      <c r="K100" s="228">
        <v>408.15</v>
      </c>
      <c r="L100" s="228">
        <v>-3.45</v>
      </c>
      <c r="M100" s="229">
        <v>-8.5000000000000006E-3</v>
      </c>
      <c r="N100" s="228">
        <v>405.1</v>
      </c>
      <c r="O100" s="228">
        <v>409.1</v>
      </c>
      <c r="P100" s="228">
        <v>-4</v>
      </c>
      <c r="Q100" s="229">
        <v>-9.7999999999999997E-3</v>
      </c>
      <c r="R100" s="228">
        <v>407.45</v>
      </c>
      <c r="S100" s="228">
        <v>411</v>
      </c>
      <c r="T100" s="228">
        <v>-3.55</v>
      </c>
      <c r="U100" s="229">
        <v>-8.6E-3</v>
      </c>
      <c r="V100" s="228">
        <v>409</v>
      </c>
      <c r="W100" s="228">
        <v>413.4</v>
      </c>
      <c r="X100" s="228">
        <v>-4.4000000000000004</v>
      </c>
      <c r="Y100" s="229">
        <v>-1.06E-2</v>
      </c>
      <c r="Z100" s="228">
        <v>0.4</v>
      </c>
      <c r="AA100" s="228">
        <v>0.95</v>
      </c>
      <c r="AB100" s="228">
        <v>-0.55000000000000004</v>
      </c>
      <c r="AC100" s="229">
        <v>1E-3</v>
      </c>
      <c r="AD100" s="228">
        <v>0.4</v>
      </c>
      <c r="AE100" s="228">
        <v>0.95</v>
      </c>
      <c r="AF100" s="228">
        <v>-0.55000000000000004</v>
      </c>
      <c r="AG100" s="229">
        <v>1E-3</v>
      </c>
      <c r="AH100" s="228">
        <v>2.75</v>
      </c>
      <c r="AI100" s="228">
        <v>2.85</v>
      </c>
      <c r="AJ100" s="228">
        <v>-0.1</v>
      </c>
      <c r="AK100" s="229">
        <v>6.7999999999999996E-3</v>
      </c>
      <c r="AL100" s="228">
        <v>4.3</v>
      </c>
      <c r="AM100" s="228">
        <v>5.25</v>
      </c>
      <c r="AN100" s="228">
        <v>-0.95</v>
      </c>
      <c r="AO100" s="229">
        <v>1.06E-2</v>
      </c>
      <c r="AP100" s="228">
        <v>404.42</v>
      </c>
      <c r="AQ100" s="228">
        <v>406.64</v>
      </c>
      <c r="AR100" s="228">
        <v>0</v>
      </c>
      <c r="AS100" s="230">
        <v>1316</v>
      </c>
      <c r="AT100" s="228">
        <v>774</v>
      </c>
      <c r="AU100" s="228">
        <v>542</v>
      </c>
      <c r="AV100" s="229">
        <v>0.69940000000000002</v>
      </c>
      <c r="AW100" s="228">
        <v>647</v>
      </c>
      <c r="AX100" s="228">
        <v>425</v>
      </c>
      <c r="AY100" s="228">
        <v>222</v>
      </c>
      <c r="AZ100" s="229">
        <v>0.52270000000000005</v>
      </c>
      <c r="BA100" s="228">
        <v>664</v>
      </c>
      <c r="BB100" s="228">
        <v>346</v>
      </c>
      <c r="BC100" s="228">
        <v>319</v>
      </c>
      <c r="BD100" s="229">
        <v>0.92230000000000001</v>
      </c>
      <c r="BE100" s="228">
        <v>5</v>
      </c>
      <c r="BF100" s="228">
        <v>4</v>
      </c>
      <c r="BG100" s="228">
        <v>1</v>
      </c>
      <c r="BH100" s="229">
        <v>0.22950000000000001</v>
      </c>
      <c r="BI100" s="230">
        <v>1217</v>
      </c>
      <c r="BJ100" s="230">
        <v>1336</v>
      </c>
      <c r="BK100" s="228">
        <v>-119</v>
      </c>
      <c r="BL100" s="229">
        <v>-8.9099999999999999E-2</v>
      </c>
      <c r="BM100" s="228">
        <v>725</v>
      </c>
      <c r="BN100" s="228">
        <v>395</v>
      </c>
      <c r="BO100" s="228">
        <v>330</v>
      </c>
      <c r="BP100" s="229">
        <v>0.8347</v>
      </c>
      <c r="BQ100" s="230">
        <v>3258</v>
      </c>
      <c r="BR100" s="230">
        <v>2505</v>
      </c>
      <c r="BS100" s="228">
        <v>752</v>
      </c>
      <c r="BT100" s="229">
        <v>0.30030000000000001</v>
      </c>
      <c r="BU100" s="230">
        <v>7763746</v>
      </c>
      <c r="BV100" s="230">
        <v>5732746</v>
      </c>
      <c r="BW100" s="230">
        <v>2031000</v>
      </c>
      <c r="BX100" s="229">
        <v>0.3543</v>
      </c>
      <c r="BY100" s="230">
        <v>3230</v>
      </c>
      <c r="BZ100" s="230">
        <v>3105</v>
      </c>
      <c r="CA100" s="228">
        <v>125</v>
      </c>
      <c r="CB100" s="229">
        <v>4.02E-2</v>
      </c>
      <c r="CC100" s="230">
        <v>1978</v>
      </c>
      <c r="CD100" s="230">
        <v>2348</v>
      </c>
      <c r="CE100" s="228">
        <v>-370</v>
      </c>
      <c r="CF100" s="229">
        <v>-0.15759999999999999</v>
      </c>
      <c r="CG100" s="230">
        <v>1137</v>
      </c>
      <c r="CH100" s="228">
        <v>645</v>
      </c>
      <c r="CI100" s="228">
        <v>492</v>
      </c>
      <c r="CJ100" s="229">
        <v>0.76329999999999998</v>
      </c>
      <c r="CK100" s="228">
        <v>115</v>
      </c>
      <c r="CL100" s="228">
        <v>112</v>
      </c>
      <c r="CM100" s="228">
        <v>3</v>
      </c>
      <c r="CN100" s="229">
        <v>2.2700000000000001E-2</v>
      </c>
      <c r="CO100" s="230">
        <v>1060</v>
      </c>
      <c r="CP100" s="230">
        <v>1080</v>
      </c>
      <c r="CQ100" s="228">
        <v>-19</v>
      </c>
      <c r="CR100" s="229">
        <v>-1.7999999999999999E-2</v>
      </c>
      <c r="CS100" s="228">
        <v>566</v>
      </c>
      <c r="CT100" s="228">
        <v>595</v>
      </c>
      <c r="CU100" s="228">
        <v>-29</v>
      </c>
      <c r="CV100" s="229">
        <v>-4.8899999999999999E-2</v>
      </c>
      <c r="CW100" s="230">
        <v>4856</v>
      </c>
      <c r="CX100" s="230">
        <v>4780</v>
      </c>
      <c r="CY100" s="228">
        <v>76</v>
      </c>
      <c r="CZ100" s="229">
        <v>1.5900000000000001E-2</v>
      </c>
      <c r="DA100" s="228">
        <v>37.020000000000003</v>
      </c>
      <c r="DB100" s="228">
        <v>31.47</v>
      </c>
      <c r="DC100" s="228">
        <v>5.55</v>
      </c>
      <c r="DD100" s="228">
        <v>5.55</v>
      </c>
      <c r="DE100" s="228">
        <v>37.630000000000003</v>
      </c>
      <c r="DF100" s="228">
        <v>37.71</v>
      </c>
      <c r="DG100" s="228">
        <v>-0.61</v>
      </c>
      <c r="DH100" s="228">
        <v>-0.08</v>
      </c>
      <c r="DI100" s="228">
        <v>36.9</v>
      </c>
      <c r="DJ100" s="228">
        <v>31.59</v>
      </c>
      <c r="DK100" s="228">
        <v>5.31</v>
      </c>
      <c r="DL100" s="228">
        <v>5.31</v>
      </c>
      <c r="DM100" s="228">
        <v>37.26</v>
      </c>
      <c r="DN100" s="228">
        <v>31.06</v>
      </c>
      <c r="DO100" s="228">
        <v>6.2</v>
      </c>
      <c r="DP100" s="228">
        <v>6.2</v>
      </c>
      <c r="DQ100" s="228">
        <v>0.53</v>
      </c>
      <c r="DR100" s="228">
        <v>0.55000000000000004</v>
      </c>
      <c r="DS100" s="228">
        <v>-0.02</v>
      </c>
      <c r="DT100" s="229">
        <v>-3.6400000000000002E-2</v>
      </c>
      <c r="DU100" s="228">
        <v>420</v>
      </c>
      <c r="DV100" s="228">
        <v>430</v>
      </c>
      <c r="DW100" s="228">
        <v>0.6</v>
      </c>
      <c r="DX100" s="228">
        <v>0.3</v>
      </c>
      <c r="DY100" s="228">
        <v>0.3</v>
      </c>
      <c r="DZ100" s="229">
        <v>1</v>
      </c>
      <c r="EA100" s="229">
        <v>0.3876</v>
      </c>
      <c r="EB100" s="230">
        <v>18689800</v>
      </c>
      <c r="EC100" s="229">
        <v>5.7999999999999996E-3</v>
      </c>
      <c r="ED100" s="229">
        <v>0.3876</v>
      </c>
      <c r="EE100" s="228">
        <v>2.2200000000000002</v>
      </c>
      <c r="EF100" s="229">
        <v>5.4999999999999997E-3</v>
      </c>
      <c r="EG100" s="230">
        <v>4800171</v>
      </c>
      <c r="EH100" s="230">
        <v>3202647</v>
      </c>
      <c r="EI100" s="229">
        <v>0.49880000000000002</v>
      </c>
      <c r="EJ100" s="229">
        <v>0.61829999999999996</v>
      </c>
      <c r="EK100" s="231">
        <v>1277.6500000000001</v>
      </c>
      <c r="EL100" s="228">
        <v>726.63</v>
      </c>
      <c r="EM100" s="231">
        <v>1317.69</v>
      </c>
      <c r="EN100" s="228">
        <v>87.88</v>
      </c>
      <c r="EO100" s="231">
        <v>3321.97</v>
      </c>
      <c r="EP100" s="231">
        <v>2606.9499999999998</v>
      </c>
      <c r="EQ100" s="228">
        <v>715.03</v>
      </c>
      <c r="ER100" s="229">
        <v>0.27429999999999999</v>
      </c>
      <c r="ES100" s="231">
        <v>1138.73</v>
      </c>
      <c r="ET100" s="228">
        <v>577.44000000000005</v>
      </c>
      <c r="EU100" s="231">
        <v>3237.29</v>
      </c>
      <c r="EV100" s="231">
        <v>193625858</v>
      </c>
      <c r="EW100" s="231">
        <v>4953.47</v>
      </c>
      <c r="EX100" s="231">
        <v>4913.8500000000004</v>
      </c>
      <c r="EY100" s="228">
        <v>39.619999999999997</v>
      </c>
      <c r="EZ100" s="229">
        <v>8.0999999999999996E-3</v>
      </c>
      <c r="FA100" s="229">
        <v>0.61909999999999998</v>
      </c>
      <c r="FB100" s="227" t="s">
        <v>566</v>
      </c>
      <c r="FC100">
        <f t="shared" si="1"/>
        <v>1252</v>
      </c>
    </row>
    <row r="101" spans="1:159" ht="17.25" thickBot="1" x14ac:dyDescent="0.3">
      <c r="A101" s="226">
        <v>46135</v>
      </c>
      <c r="B101" s="227" t="s">
        <v>221</v>
      </c>
      <c r="C101" s="227" t="s">
        <v>240</v>
      </c>
      <c r="D101" s="228">
        <v>400</v>
      </c>
      <c r="E101" s="228">
        <v>5</v>
      </c>
      <c r="F101" s="231">
        <v>1237.5999999999999</v>
      </c>
      <c r="G101" s="231">
        <v>1272.2</v>
      </c>
      <c r="H101" s="228">
        <v>-34.6</v>
      </c>
      <c r="I101" s="229">
        <v>-2.7199999999999998E-2</v>
      </c>
      <c r="J101" s="231">
        <v>1240.5999999999999</v>
      </c>
      <c r="K101" s="231">
        <v>1268.5999999999999</v>
      </c>
      <c r="L101" s="228">
        <v>-28</v>
      </c>
      <c r="M101" s="229">
        <v>-2.2100000000000002E-2</v>
      </c>
      <c r="N101" s="231">
        <v>1237.5999999999999</v>
      </c>
      <c r="O101" s="231">
        <v>1272.2</v>
      </c>
      <c r="P101" s="228">
        <v>-34.6</v>
      </c>
      <c r="Q101" s="229">
        <v>-2.7199999999999998E-2</v>
      </c>
      <c r="R101" s="231">
        <v>1222.2</v>
      </c>
      <c r="S101" s="231">
        <v>1264.9000000000001</v>
      </c>
      <c r="T101" s="228">
        <v>-42.7</v>
      </c>
      <c r="U101" s="229">
        <v>-3.3799999999999997E-2</v>
      </c>
      <c r="V101" s="231">
        <v>1223.5</v>
      </c>
      <c r="W101" s="231">
        <v>1264.5</v>
      </c>
      <c r="X101" s="228">
        <v>-41</v>
      </c>
      <c r="Y101" s="229">
        <v>-3.2399999999999998E-2</v>
      </c>
      <c r="Z101" s="228">
        <v>-3</v>
      </c>
      <c r="AA101" s="228">
        <v>3.6</v>
      </c>
      <c r="AB101" s="228">
        <v>-6.6</v>
      </c>
      <c r="AC101" s="229">
        <v>-2.3999999999999998E-3</v>
      </c>
      <c r="AD101" s="228">
        <v>-3</v>
      </c>
      <c r="AE101" s="228">
        <v>3.6</v>
      </c>
      <c r="AF101" s="228">
        <v>-6.6</v>
      </c>
      <c r="AG101" s="229">
        <v>-2.3999999999999998E-3</v>
      </c>
      <c r="AH101" s="228">
        <v>-18.399999999999999</v>
      </c>
      <c r="AI101" s="228">
        <v>-3.7</v>
      </c>
      <c r="AJ101" s="228">
        <v>-14.7</v>
      </c>
      <c r="AK101" s="229">
        <v>-1.4800000000000001E-2</v>
      </c>
      <c r="AL101" s="228">
        <v>-17.100000000000001</v>
      </c>
      <c r="AM101" s="228">
        <v>-4.0999999999999996</v>
      </c>
      <c r="AN101" s="228">
        <v>-13</v>
      </c>
      <c r="AO101" s="229">
        <v>-1.38E-2</v>
      </c>
      <c r="AP101" s="231">
        <v>1250.5999999999999</v>
      </c>
      <c r="AQ101" s="231">
        <v>1236.95</v>
      </c>
      <c r="AR101" s="228">
        <v>0</v>
      </c>
      <c r="AS101" s="230">
        <v>7339</v>
      </c>
      <c r="AT101" s="230">
        <v>3690</v>
      </c>
      <c r="AU101" s="230">
        <v>3649</v>
      </c>
      <c r="AV101" s="229">
        <v>0.98899999999999999</v>
      </c>
      <c r="AW101" s="230">
        <v>3856</v>
      </c>
      <c r="AX101" s="230">
        <v>2439</v>
      </c>
      <c r="AY101" s="230">
        <v>1416</v>
      </c>
      <c r="AZ101" s="229">
        <v>0.58050000000000002</v>
      </c>
      <c r="BA101" s="230">
        <v>3301</v>
      </c>
      <c r="BB101" s="230">
        <v>1090</v>
      </c>
      <c r="BC101" s="230">
        <v>2211</v>
      </c>
      <c r="BD101" s="229">
        <v>2.0295000000000001</v>
      </c>
      <c r="BE101" s="228">
        <v>183</v>
      </c>
      <c r="BF101" s="228">
        <v>161</v>
      </c>
      <c r="BG101" s="228">
        <v>22</v>
      </c>
      <c r="BH101" s="229">
        <v>0.13719999999999999</v>
      </c>
      <c r="BI101" s="230">
        <v>8067</v>
      </c>
      <c r="BJ101" s="230">
        <v>8946</v>
      </c>
      <c r="BK101" s="228">
        <v>-878</v>
      </c>
      <c r="BL101" s="229">
        <v>-9.8199999999999996E-2</v>
      </c>
      <c r="BM101" s="230">
        <v>7841</v>
      </c>
      <c r="BN101" s="230">
        <v>5986</v>
      </c>
      <c r="BO101" s="230">
        <v>1856</v>
      </c>
      <c r="BP101" s="229">
        <v>0.31</v>
      </c>
      <c r="BQ101" s="230">
        <v>23248</v>
      </c>
      <c r="BR101" s="230">
        <v>18621</v>
      </c>
      <c r="BS101" s="230">
        <v>4627</v>
      </c>
      <c r="BT101" s="229">
        <v>0.2485</v>
      </c>
      <c r="BU101" s="230">
        <v>16012929</v>
      </c>
      <c r="BV101" s="230">
        <v>20953509</v>
      </c>
      <c r="BW101" s="230">
        <v>-4940580</v>
      </c>
      <c r="BX101" s="229">
        <v>-0.23580000000000001</v>
      </c>
      <c r="BY101" s="230">
        <v>10492</v>
      </c>
      <c r="BZ101" s="230">
        <v>9812</v>
      </c>
      <c r="CA101" s="228">
        <v>680</v>
      </c>
      <c r="CB101" s="229">
        <v>6.93E-2</v>
      </c>
      <c r="CC101" s="230">
        <v>6539</v>
      </c>
      <c r="CD101" s="230">
        <v>8282</v>
      </c>
      <c r="CE101" s="230">
        <v>-1743</v>
      </c>
      <c r="CF101" s="229">
        <v>-0.21049999999999999</v>
      </c>
      <c r="CG101" s="230">
        <v>3625</v>
      </c>
      <c r="CH101" s="230">
        <v>1289</v>
      </c>
      <c r="CI101" s="230">
        <v>2336</v>
      </c>
      <c r="CJ101" s="229">
        <v>1.8122</v>
      </c>
      <c r="CK101" s="228">
        <v>328</v>
      </c>
      <c r="CL101" s="228">
        <v>241</v>
      </c>
      <c r="CM101" s="228">
        <v>87</v>
      </c>
      <c r="CN101" s="229">
        <v>0.36030000000000001</v>
      </c>
      <c r="CO101" s="230">
        <v>5157</v>
      </c>
      <c r="CP101" s="230">
        <v>4171</v>
      </c>
      <c r="CQ101" s="228">
        <v>986</v>
      </c>
      <c r="CR101" s="229">
        <v>0.2364</v>
      </c>
      <c r="CS101" s="230">
        <v>4032</v>
      </c>
      <c r="CT101" s="230">
        <v>3261</v>
      </c>
      <c r="CU101" s="228">
        <v>770</v>
      </c>
      <c r="CV101" s="229">
        <v>0.23619999999999999</v>
      </c>
      <c r="CW101" s="230">
        <v>19680</v>
      </c>
      <c r="CX101" s="230">
        <v>17244</v>
      </c>
      <c r="CY101" s="230">
        <v>2436</v>
      </c>
      <c r="CZ101" s="229">
        <v>0.14119999999999999</v>
      </c>
      <c r="DA101" s="228">
        <v>38.36</v>
      </c>
      <c r="DB101" s="228">
        <v>42.1</v>
      </c>
      <c r="DC101" s="228">
        <v>-3.74</v>
      </c>
      <c r="DD101" s="228">
        <v>-3.74</v>
      </c>
      <c r="DE101" s="228">
        <v>31.14</v>
      </c>
      <c r="DF101" s="228">
        <v>31.08</v>
      </c>
      <c r="DG101" s="228">
        <v>7.22</v>
      </c>
      <c r="DH101" s="228">
        <v>0.06</v>
      </c>
      <c r="DI101" s="228">
        <v>38.65</v>
      </c>
      <c r="DJ101" s="228">
        <v>40.54</v>
      </c>
      <c r="DK101" s="228">
        <v>-1.89</v>
      </c>
      <c r="DL101" s="228">
        <v>-1.89</v>
      </c>
      <c r="DM101" s="228">
        <v>37.94</v>
      </c>
      <c r="DN101" s="228">
        <v>44.43</v>
      </c>
      <c r="DO101" s="228">
        <v>-6.49</v>
      </c>
      <c r="DP101" s="228">
        <v>-6.49</v>
      </c>
      <c r="DQ101" s="228">
        <v>0.78</v>
      </c>
      <c r="DR101" s="228">
        <v>0.78</v>
      </c>
      <c r="DS101" s="228">
        <v>0</v>
      </c>
      <c r="DT101" s="229">
        <v>0</v>
      </c>
      <c r="DU101" s="231">
        <v>1300</v>
      </c>
      <c r="DV101" s="231">
        <v>1200</v>
      </c>
      <c r="DW101" s="228">
        <v>0.97</v>
      </c>
      <c r="DX101" s="228">
        <v>0.67</v>
      </c>
      <c r="DY101" s="228">
        <v>0.3</v>
      </c>
      <c r="DZ101" s="229">
        <v>0.44779999999999998</v>
      </c>
      <c r="EA101" s="229">
        <v>0.37680000000000002</v>
      </c>
      <c r="EB101" s="230">
        <v>12364000</v>
      </c>
      <c r="EC101" s="229">
        <v>-1.24E-2</v>
      </c>
      <c r="ED101" s="229">
        <v>0.37680000000000002</v>
      </c>
      <c r="EE101" s="228">
        <v>-13.65</v>
      </c>
      <c r="EF101" s="229">
        <v>-1.09E-2</v>
      </c>
      <c r="EG101" s="230">
        <v>8132809</v>
      </c>
      <c r="EH101" s="230">
        <v>11425208</v>
      </c>
      <c r="EI101" s="229">
        <v>-0.28820000000000001</v>
      </c>
      <c r="EJ101" s="229">
        <v>0.50790000000000002</v>
      </c>
      <c r="EK101" s="231">
        <v>8598.48</v>
      </c>
      <c r="EL101" s="231">
        <v>7765.78</v>
      </c>
      <c r="EM101" s="231">
        <v>7377.76</v>
      </c>
      <c r="EN101" s="228">
        <v>377.34</v>
      </c>
      <c r="EO101" s="231">
        <v>23742.02</v>
      </c>
      <c r="EP101" s="231">
        <v>19565.2</v>
      </c>
      <c r="EQ101" s="231">
        <v>4176.83</v>
      </c>
      <c r="ER101" s="229">
        <v>0.2135</v>
      </c>
      <c r="ES101" s="231">
        <v>5567.93</v>
      </c>
      <c r="ET101" s="231">
        <v>4041.7</v>
      </c>
      <c r="EU101" s="231">
        <v>10442.93</v>
      </c>
      <c r="EV101" s="231">
        <v>475237614</v>
      </c>
      <c r="EW101" s="231">
        <v>20052.57</v>
      </c>
      <c r="EX101" s="231">
        <v>17943.439999999999</v>
      </c>
      <c r="EY101" s="231">
        <v>2109.13</v>
      </c>
      <c r="EZ101" s="229">
        <v>0.11749999999999999</v>
      </c>
      <c r="FA101" s="229">
        <v>0.33460000000000001</v>
      </c>
      <c r="FB101" s="227" t="s">
        <v>566</v>
      </c>
      <c r="FC101">
        <f t="shared" si="1"/>
        <v>3953</v>
      </c>
    </row>
    <row r="102" spans="1:159" ht="17.25" thickBot="1" x14ac:dyDescent="0.3">
      <c r="A102" s="226">
        <v>46135</v>
      </c>
      <c r="B102" s="227" t="s">
        <v>161</v>
      </c>
      <c r="C102" s="227" t="s">
        <v>667</v>
      </c>
      <c r="D102" s="228">
        <v>3575</v>
      </c>
      <c r="E102" s="228">
        <v>5</v>
      </c>
      <c r="F102" s="228">
        <v>101.87</v>
      </c>
      <c r="G102" s="228">
        <v>104.45</v>
      </c>
      <c r="H102" s="228">
        <v>-2.58</v>
      </c>
      <c r="I102" s="229">
        <v>-2.47E-2</v>
      </c>
      <c r="J102" s="228">
        <v>101.79</v>
      </c>
      <c r="K102" s="228">
        <v>104.56</v>
      </c>
      <c r="L102" s="228">
        <v>-2.77</v>
      </c>
      <c r="M102" s="229">
        <v>-2.6499999999999999E-2</v>
      </c>
      <c r="N102" s="228">
        <v>101.87</v>
      </c>
      <c r="O102" s="228">
        <v>104.45</v>
      </c>
      <c r="P102" s="228">
        <v>-2.58</v>
      </c>
      <c r="Q102" s="229">
        <v>-2.47E-2</v>
      </c>
      <c r="R102" s="228">
        <v>102.47</v>
      </c>
      <c r="S102" s="228">
        <v>105.06</v>
      </c>
      <c r="T102" s="228">
        <v>-2.59</v>
      </c>
      <c r="U102" s="229">
        <v>-2.47E-2</v>
      </c>
      <c r="V102" s="228">
        <v>103.12</v>
      </c>
      <c r="W102" s="228">
        <v>105.44</v>
      </c>
      <c r="X102" s="228">
        <v>-2.3199999999999998</v>
      </c>
      <c r="Y102" s="229">
        <v>-2.1999999999999999E-2</v>
      </c>
      <c r="Z102" s="228">
        <v>0.08</v>
      </c>
      <c r="AA102" s="228">
        <v>-0.11</v>
      </c>
      <c r="AB102" s="228">
        <v>0.19</v>
      </c>
      <c r="AC102" s="229">
        <v>8.0000000000000004E-4</v>
      </c>
      <c r="AD102" s="228">
        <v>0.08</v>
      </c>
      <c r="AE102" s="228">
        <v>-0.11</v>
      </c>
      <c r="AF102" s="228">
        <v>0.19</v>
      </c>
      <c r="AG102" s="229">
        <v>8.0000000000000004E-4</v>
      </c>
      <c r="AH102" s="228">
        <v>0.68</v>
      </c>
      <c r="AI102" s="228">
        <v>0.5</v>
      </c>
      <c r="AJ102" s="228">
        <v>0.18</v>
      </c>
      <c r="AK102" s="229">
        <v>6.7000000000000002E-3</v>
      </c>
      <c r="AL102" s="228">
        <v>1.33</v>
      </c>
      <c r="AM102" s="228">
        <v>0.88</v>
      </c>
      <c r="AN102" s="228">
        <v>0.45</v>
      </c>
      <c r="AO102" s="229">
        <v>1.3100000000000001E-2</v>
      </c>
      <c r="AP102" s="228">
        <v>102.43</v>
      </c>
      <c r="AQ102" s="228">
        <v>102.93</v>
      </c>
      <c r="AR102" s="228">
        <v>0</v>
      </c>
      <c r="AS102" s="228">
        <v>453</v>
      </c>
      <c r="AT102" s="228">
        <v>358</v>
      </c>
      <c r="AU102" s="228">
        <v>95</v>
      </c>
      <c r="AV102" s="229">
        <v>0.26450000000000001</v>
      </c>
      <c r="AW102" s="228">
        <v>235</v>
      </c>
      <c r="AX102" s="228">
        <v>204</v>
      </c>
      <c r="AY102" s="228">
        <v>31</v>
      </c>
      <c r="AZ102" s="229">
        <v>0.1545</v>
      </c>
      <c r="BA102" s="228">
        <v>215</v>
      </c>
      <c r="BB102" s="228">
        <v>152</v>
      </c>
      <c r="BC102" s="228">
        <v>63</v>
      </c>
      <c r="BD102" s="229">
        <v>0.41570000000000001</v>
      </c>
      <c r="BE102" s="228">
        <v>3</v>
      </c>
      <c r="BF102" s="228">
        <v>3</v>
      </c>
      <c r="BG102" s="228">
        <v>0</v>
      </c>
      <c r="BH102" s="229">
        <v>8.1100000000000005E-2</v>
      </c>
      <c r="BI102" s="228">
        <v>162</v>
      </c>
      <c r="BJ102" s="228">
        <v>456</v>
      </c>
      <c r="BK102" s="228">
        <v>-294</v>
      </c>
      <c r="BL102" s="229">
        <v>-0.64390000000000003</v>
      </c>
      <c r="BM102" s="228">
        <v>106</v>
      </c>
      <c r="BN102" s="228">
        <v>160</v>
      </c>
      <c r="BO102" s="228">
        <v>-54</v>
      </c>
      <c r="BP102" s="229">
        <v>-0.3402</v>
      </c>
      <c r="BQ102" s="228">
        <v>721</v>
      </c>
      <c r="BR102" s="228">
        <v>974</v>
      </c>
      <c r="BS102" s="228">
        <v>-253</v>
      </c>
      <c r="BT102" s="229">
        <v>-0.26019999999999999</v>
      </c>
      <c r="BU102" s="230">
        <v>15764756</v>
      </c>
      <c r="BV102" s="230">
        <v>26240448</v>
      </c>
      <c r="BW102" s="230">
        <v>-10475692</v>
      </c>
      <c r="BX102" s="229">
        <v>-0.3992</v>
      </c>
      <c r="BY102" s="228">
        <v>981</v>
      </c>
      <c r="BZ102" s="228">
        <v>988</v>
      </c>
      <c r="CA102" s="228">
        <v>-6</v>
      </c>
      <c r="CB102" s="229">
        <v>-6.1999999999999998E-3</v>
      </c>
      <c r="CC102" s="228">
        <v>545</v>
      </c>
      <c r="CD102" s="228">
        <v>710</v>
      </c>
      <c r="CE102" s="228">
        <v>-165</v>
      </c>
      <c r="CF102" s="229">
        <v>-0.23180000000000001</v>
      </c>
      <c r="CG102" s="228">
        <v>426</v>
      </c>
      <c r="CH102" s="228">
        <v>269</v>
      </c>
      <c r="CI102" s="228">
        <v>157</v>
      </c>
      <c r="CJ102" s="229">
        <v>0.58209999999999995</v>
      </c>
      <c r="CK102" s="228">
        <v>10</v>
      </c>
      <c r="CL102" s="228">
        <v>8</v>
      </c>
      <c r="CM102" s="228">
        <v>2</v>
      </c>
      <c r="CN102" s="229">
        <v>0.19650000000000001</v>
      </c>
      <c r="CO102" s="228">
        <v>267</v>
      </c>
      <c r="CP102" s="228">
        <v>264</v>
      </c>
      <c r="CQ102" s="228">
        <v>3</v>
      </c>
      <c r="CR102" s="229">
        <v>1.12E-2</v>
      </c>
      <c r="CS102" s="228">
        <v>241</v>
      </c>
      <c r="CT102" s="228">
        <v>236</v>
      </c>
      <c r="CU102" s="228">
        <v>5</v>
      </c>
      <c r="CV102" s="229">
        <v>1.9400000000000001E-2</v>
      </c>
      <c r="CW102" s="230">
        <v>1489</v>
      </c>
      <c r="CX102" s="230">
        <v>1488</v>
      </c>
      <c r="CY102" s="228">
        <v>1</v>
      </c>
      <c r="CZ102" s="229">
        <v>1E-3</v>
      </c>
      <c r="DA102" s="228">
        <v>54.63</v>
      </c>
      <c r="DB102" s="228">
        <v>51.39</v>
      </c>
      <c r="DC102" s="228">
        <v>3.24</v>
      </c>
      <c r="DD102" s="228">
        <v>3.24</v>
      </c>
      <c r="DE102" s="228">
        <v>54.22</v>
      </c>
      <c r="DF102" s="228">
        <v>54.25</v>
      </c>
      <c r="DG102" s="228">
        <v>0.41</v>
      </c>
      <c r="DH102" s="228">
        <v>-0.03</v>
      </c>
      <c r="DI102" s="228">
        <v>54.81</v>
      </c>
      <c r="DJ102" s="228">
        <v>50.4</v>
      </c>
      <c r="DK102" s="228">
        <v>4.41</v>
      </c>
      <c r="DL102" s="228">
        <v>4.41</v>
      </c>
      <c r="DM102" s="228">
        <v>54.27</v>
      </c>
      <c r="DN102" s="228">
        <v>54.2</v>
      </c>
      <c r="DO102" s="228">
        <v>7.0000000000000007E-2</v>
      </c>
      <c r="DP102" s="228">
        <v>7.0000000000000007E-2</v>
      </c>
      <c r="DQ102" s="228">
        <v>0.9</v>
      </c>
      <c r="DR102" s="228">
        <v>0.9</v>
      </c>
      <c r="DS102" s="228">
        <v>0</v>
      </c>
      <c r="DT102" s="229">
        <v>0</v>
      </c>
      <c r="DU102" s="228">
        <v>100</v>
      </c>
      <c r="DV102" s="228">
        <v>90</v>
      </c>
      <c r="DW102" s="228">
        <v>0.65</v>
      </c>
      <c r="DX102" s="228">
        <v>0.35</v>
      </c>
      <c r="DY102" s="228">
        <v>0.3</v>
      </c>
      <c r="DZ102" s="229">
        <v>0.85709999999999997</v>
      </c>
      <c r="EA102" s="229">
        <v>0.44440000000000002</v>
      </c>
      <c r="EB102" s="230">
        <v>27259375</v>
      </c>
      <c r="EC102" s="229">
        <v>5.8999999999999999E-3</v>
      </c>
      <c r="ED102" s="229">
        <v>0.44440000000000002</v>
      </c>
      <c r="EE102" s="228">
        <v>0.5</v>
      </c>
      <c r="EF102" s="229">
        <v>4.8999999999999998E-3</v>
      </c>
      <c r="EG102" s="230">
        <v>5915775</v>
      </c>
      <c r="EH102" s="230">
        <v>7468416</v>
      </c>
      <c r="EI102" s="229">
        <v>-0.2079</v>
      </c>
      <c r="EJ102" s="229">
        <v>0.37530000000000002</v>
      </c>
      <c r="EK102" s="228">
        <v>170.75</v>
      </c>
      <c r="EL102" s="228">
        <v>100.74</v>
      </c>
      <c r="EM102" s="228">
        <v>456.22</v>
      </c>
      <c r="EN102" s="228">
        <v>74.739999999999995</v>
      </c>
      <c r="EO102" s="228">
        <v>727.72</v>
      </c>
      <c r="EP102" s="228">
        <v>998.54</v>
      </c>
      <c r="EQ102" s="228">
        <v>-270.82</v>
      </c>
      <c r="ER102" s="229">
        <v>-0.2712</v>
      </c>
      <c r="ES102" s="228">
        <v>250.01</v>
      </c>
      <c r="ET102" s="228">
        <v>211.66</v>
      </c>
      <c r="EU102" s="228">
        <v>984.08</v>
      </c>
      <c r="EV102" s="231">
        <v>144708707</v>
      </c>
      <c r="EW102" s="231">
        <v>1445.74</v>
      </c>
      <c r="EX102" s="231">
        <v>1467.31</v>
      </c>
      <c r="EY102" s="228">
        <v>-21.57</v>
      </c>
      <c r="EZ102" s="229">
        <v>-1.47E-2</v>
      </c>
      <c r="FA102" s="229">
        <v>1.0103</v>
      </c>
      <c r="FB102" s="227" t="s">
        <v>567</v>
      </c>
      <c r="FC102">
        <f t="shared" si="1"/>
        <v>436</v>
      </c>
    </row>
    <row r="103" spans="1:159" ht="17.25" thickBot="1" x14ac:dyDescent="0.3">
      <c r="A103" s="226">
        <v>46135</v>
      </c>
      <c r="B103" s="227" t="s">
        <v>193</v>
      </c>
      <c r="C103" s="227" t="s">
        <v>241</v>
      </c>
      <c r="D103" s="228">
        <v>4875</v>
      </c>
      <c r="E103" s="228">
        <v>5</v>
      </c>
      <c r="F103" s="228">
        <v>145.46</v>
      </c>
      <c r="G103" s="228">
        <v>147.49</v>
      </c>
      <c r="H103" s="228">
        <v>-2.0299999999999998</v>
      </c>
      <c r="I103" s="229">
        <v>-1.38E-2</v>
      </c>
      <c r="J103" s="228">
        <v>145.47999999999999</v>
      </c>
      <c r="K103" s="228">
        <v>147.36000000000001</v>
      </c>
      <c r="L103" s="228">
        <v>-1.88</v>
      </c>
      <c r="M103" s="229">
        <v>-1.2800000000000001E-2</v>
      </c>
      <c r="N103" s="228">
        <v>145.46</v>
      </c>
      <c r="O103" s="228">
        <v>147.49</v>
      </c>
      <c r="P103" s="228">
        <v>-2.0299999999999998</v>
      </c>
      <c r="Q103" s="229">
        <v>-1.38E-2</v>
      </c>
      <c r="R103" s="228">
        <v>146.22</v>
      </c>
      <c r="S103" s="228">
        <v>148.30000000000001</v>
      </c>
      <c r="T103" s="228">
        <v>-2.08</v>
      </c>
      <c r="U103" s="229">
        <v>-1.4E-2</v>
      </c>
      <c r="V103" s="228">
        <v>147.19999999999999</v>
      </c>
      <c r="W103" s="228">
        <v>149.16999999999999</v>
      </c>
      <c r="X103" s="228">
        <v>-1.97</v>
      </c>
      <c r="Y103" s="229">
        <v>-1.32E-2</v>
      </c>
      <c r="Z103" s="228">
        <v>-0.02</v>
      </c>
      <c r="AA103" s="228">
        <v>0.13</v>
      </c>
      <c r="AB103" s="228">
        <v>-0.15</v>
      </c>
      <c r="AC103" s="229">
        <v>-1E-4</v>
      </c>
      <c r="AD103" s="228">
        <v>-0.02</v>
      </c>
      <c r="AE103" s="228">
        <v>0.13</v>
      </c>
      <c r="AF103" s="228">
        <v>-0.15</v>
      </c>
      <c r="AG103" s="229">
        <v>-1E-4</v>
      </c>
      <c r="AH103" s="228">
        <v>0.74</v>
      </c>
      <c r="AI103" s="228">
        <v>0.94</v>
      </c>
      <c r="AJ103" s="228">
        <v>-0.2</v>
      </c>
      <c r="AK103" s="229">
        <v>5.1000000000000004E-3</v>
      </c>
      <c r="AL103" s="228">
        <v>1.72</v>
      </c>
      <c r="AM103" s="228">
        <v>1.81</v>
      </c>
      <c r="AN103" s="228">
        <v>-0.09</v>
      </c>
      <c r="AO103" s="229">
        <v>1.18E-2</v>
      </c>
      <c r="AP103" s="228">
        <v>146.29</v>
      </c>
      <c r="AQ103" s="228">
        <v>147.02000000000001</v>
      </c>
      <c r="AR103" s="228">
        <v>0</v>
      </c>
      <c r="AS103" s="228">
        <v>925</v>
      </c>
      <c r="AT103" s="228">
        <v>177</v>
      </c>
      <c r="AU103" s="228">
        <v>748</v>
      </c>
      <c r="AV103" s="229">
        <v>4.2317999999999998</v>
      </c>
      <c r="AW103" s="228">
        <v>469</v>
      </c>
      <c r="AX103" s="228">
        <v>114</v>
      </c>
      <c r="AY103" s="228">
        <v>355</v>
      </c>
      <c r="AZ103" s="229">
        <v>3.1113</v>
      </c>
      <c r="BA103" s="228">
        <v>438</v>
      </c>
      <c r="BB103" s="228">
        <v>59</v>
      </c>
      <c r="BC103" s="228">
        <v>379</v>
      </c>
      <c r="BD103" s="229">
        <v>6.3875999999999999</v>
      </c>
      <c r="BE103" s="228">
        <v>18</v>
      </c>
      <c r="BF103" s="228">
        <v>3</v>
      </c>
      <c r="BG103" s="228">
        <v>15</v>
      </c>
      <c r="BH103" s="229">
        <v>4.2244999999999999</v>
      </c>
      <c r="BI103" s="228">
        <v>717</v>
      </c>
      <c r="BJ103" s="228">
        <v>536</v>
      </c>
      <c r="BK103" s="228">
        <v>181</v>
      </c>
      <c r="BL103" s="229">
        <v>0.3382</v>
      </c>
      <c r="BM103" s="228">
        <v>540</v>
      </c>
      <c r="BN103" s="228">
        <v>334</v>
      </c>
      <c r="BO103" s="228">
        <v>206</v>
      </c>
      <c r="BP103" s="229">
        <v>0.61619999999999997</v>
      </c>
      <c r="BQ103" s="230">
        <v>2182</v>
      </c>
      <c r="BR103" s="230">
        <v>1047</v>
      </c>
      <c r="BS103" s="230">
        <v>1135</v>
      </c>
      <c r="BT103" s="229">
        <v>1.0845</v>
      </c>
      <c r="BU103" s="230">
        <v>12706193</v>
      </c>
      <c r="BV103" s="230">
        <v>9036359</v>
      </c>
      <c r="BW103" s="230">
        <v>3669834</v>
      </c>
      <c r="BX103" s="229">
        <v>0.40610000000000002</v>
      </c>
      <c r="BY103" s="230">
        <v>1509</v>
      </c>
      <c r="BZ103" s="230">
        <v>1508</v>
      </c>
      <c r="CA103" s="228">
        <v>2</v>
      </c>
      <c r="CB103" s="229">
        <v>1.1999999999999999E-3</v>
      </c>
      <c r="CC103" s="228">
        <v>895</v>
      </c>
      <c r="CD103" s="230">
        <v>1235</v>
      </c>
      <c r="CE103" s="228">
        <v>-340</v>
      </c>
      <c r="CF103" s="229">
        <v>-0.27560000000000001</v>
      </c>
      <c r="CG103" s="228">
        <v>515</v>
      </c>
      <c r="CH103" s="228">
        <v>185</v>
      </c>
      <c r="CI103" s="228">
        <v>331</v>
      </c>
      <c r="CJ103" s="229">
        <v>1.79</v>
      </c>
      <c r="CK103" s="228">
        <v>99</v>
      </c>
      <c r="CL103" s="228">
        <v>88</v>
      </c>
      <c r="CM103" s="228">
        <v>12</v>
      </c>
      <c r="CN103" s="229">
        <v>0.13150000000000001</v>
      </c>
      <c r="CO103" s="228">
        <v>969</v>
      </c>
      <c r="CP103" s="228">
        <v>994</v>
      </c>
      <c r="CQ103" s="228">
        <v>-24</v>
      </c>
      <c r="CR103" s="229">
        <v>-2.4500000000000001E-2</v>
      </c>
      <c r="CS103" s="228">
        <v>718</v>
      </c>
      <c r="CT103" s="228">
        <v>724</v>
      </c>
      <c r="CU103" s="228">
        <v>-6</v>
      </c>
      <c r="CV103" s="229">
        <v>-7.9000000000000008E-3</v>
      </c>
      <c r="CW103" s="230">
        <v>3197</v>
      </c>
      <c r="CX103" s="230">
        <v>3225</v>
      </c>
      <c r="CY103" s="228">
        <v>-28</v>
      </c>
      <c r="CZ103" s="229">
        <v>-8.8000000000000005E-3</v>
      </c>
      <c r="DA103" s="228">
        <v>34.9</v>
      </c>
      <c r="DB103" s="228">
        <v>33.96</v>
      </c>
      <c r="DC103" s="228">
        <v>0.94</v>
      </c>
      <c r="DD103" s="228">
        <v>0.94</v>
      </c>
      <c r="DE103" s="228">
        <v>33.83</v>
      </c>
      <c r="DF103" s="228">
        <v>33.86</v>
      </c>
      <c r="DG103" s="228">
        <v>1.07</v>
      </c>
      <c r="DH103" s="228">
        <v>-0.03</v>
      </c>
      <c r="DI103" s="228">
        <v>34.56</v>
      </c>
      <c r="DJ103" s="228">
        <v>32.35</v>
      </c>
      <c r="DK103" s="228">
        <v>2.21</v>
      </c>
      <c r="DL103" s="228">
        <v>2.21</v>
      </c>
      <c r="DM103" s="228">
        <v>35.43</v>
      </c>
      <c r="DN103" s="228">
        <v>36.549999999999997</v>
      </c>
      <c r="DO103" s="228">
        <v>-1.1200000000000001</v>
      </c>
      <c r="DP103" s="228">
        <v>-1.1200000000000001</v>
      </c>
      <c r="DQ103" s="228">
        <v>0.74</v>
      </c>
      <c r="DR103" s="228">
        <v>0.73</v>
      </c>
      <c r="DS103" s="228">
        <v>0.01</v>
      </c>
      <c r="DT103" s="229">
        <v>1.37E-2</v>
      </c>
      <c r="DU103" s="228">
        <v>150</v>
      </c>
      <c r="DV103" s="228">
        <v>140</v>
      </c>
      <c r="DW103" s="228">
        <v>0.75</v>
      </c>
      <c r="DX103" s="228">
        <v>0.62</v>
      </c>
      <c r="DY103" s="228">
        <v>0.13</v>
      </c>
      <c r="DZ103" s="229">
        <v>0.2097</v>
      </c>
      <c r="EA103" s="229">
        <v>0.40739999999999998</v>
      </c>
      <c r="EB103" s="230">
        <v>18744375</v>
      </c>
      <c r="EC103" s="229">
        <v>5.1999999999999998E-3</v>
      </c>
      <c r="ED103" s="229">
        <v>0.40739999999999998</v>
      </c>
      <c r="EE103" s="228">
        <v>0.73</v>
      </c>
      <c r="EF103" s="229">
        <v>5.0000000000000001E-3</v>
      </c>
      <c r="EG103" s="230">
        <v>5939986</v>
      </c>
      <c r="EH103" s="230">
        <v>3960824</v>
      </c>
      <c r="EI103" s="229">
        <v>0.49969999999999998</v>
      </c>
      <c r="EJ103" s="229">
        <v>0.46750000000000003</v>
      </c>
      <c r="EK103" s="228">
        <v>754.41</v>
      </c>
      <c r="EL103" s="228">
        <v>534.62</v>
      </c>
      <c r="EM103" s="228">
        <v>932.57</v>
      </c>
      <c r="EN103" s="228">
        <v>34.18</v>
      </c>
      <c r="EO103" s="231">
        <v>2221.6</v>
      </c>
      <c r="EP103" s="231">
        <v>1078.08</v>
      </c>
      <c r="EQ103" s="231">
        <v>1143.52</v>
      </c>
      <c r="ER103" s="229">
        <v>1.0607</v>
      </c>
      <c r="ES103" s="231">
        <v>1022.27</v>
      </c>
      <c r="ET103" s="228">
        <v>695.65</v>
      </c>
      <c r="EU103" s="231">
        <v>1513.31</v>
      </c>
      <c r="EV103" s="231">
        <v>684903861</v>
      </c>
      <c r="EW103" s="231">
        <v>3231.23</v>
      </c>
      <c r="EX103" s="231">
        <v>3280.03</v>
      </c>
      <c r="EY103" s="228">
        <v>-48.8</v>
      </c>
      <c r="EZ103" s="229">
        <v>-1.49E-2</v>
      </c>
      <c r="FA103" s="229">
        <v>0.32090000000000002</v>
      </c>
      <c r="FB103" s="227" t="s">
        <v>566</v>
      </c>
      <c r="FC103">
        <f t="shared" si="1"/>
        <v>614</v>
      </c>
    </row>
    <row r="104" spans="1:159" ht="17.25" thickBot="1" x14ac:dyDescent="0.3">
      <c r="A104" s="226">
        <v>46135</v>
      </c>
      <c r="B104" s="227" t="s">
        <v>175</v>
      </c>
      <c r="C104" s="227" t="s">
        <v>663</v>
      </c>
      <c r="D104" s="228">
        <v>3450</v>
      </c>
      <c r="E104" s="228">
        <v>5</v>
      </c>
      <c r="F104" s="228">
        <v>137.56</v>
      </c>
      <c r="G104" s="228">
        <v>140.88999999999999</v>
      </c>
      <c r="H104" s="228">
        <v>-3.33</v>
      </c>
      <c r="I104" s="229">
        <v>-2.3599999999999999E-2</v>
      </c>
      <c r="J104" s="228">
        <v>137.52000000000001</v>
      </c>
      <c r="K104" s="228">
        <v>140.44999999999999</v>
      </c>
      <c r="L104" s="228">
        <v>-2.93</v>
      </c>
      <c r="M104" s="229">
        <v>-2.0899999999999998E-2</v>
      </c>
      <c r="N104" s="228">
        <v>137.56</v>
      </c>
      <c r="O104" s="228">
        <v>140.88999999999999</v>
      </c>
      <c r="P104" s="228">
        <v>-3.33</v>
      </c>
      <c r="Q104" s="229">
        <v>-2.3599999999999999E-2</v>
      </c>
      <c r="R104" s="228">
        <v>135.16999999999999</v>
      </c>
      <c r="S104" s="228">
        <v>139.07</v>
      </c>
      <c r="T104" s="228">
        <v>-3.9</v>
      </c>
      <c r="U104" s="229">
        <v>-2.8000000000000001E-2</v>
      </c>
      <c r="V104" s="228">
        <v>134.16999999999999</v>
      </c>
      <c r="W104" s="228">
        <v>138.49</v>
      </c>
      <c r="X104" s="228">
        <v>-4.32</v>
      </c>
      <c r="Y104" s="229">
        <v>-3.1199999999999999E-2</v>
      </c>
      <c r="Z104" s="228">
        <v>0.04</v>
      </c>
      <c r="AA104" s="228">
        <v>0.44</v>
      </c>
      <c r="AB104" s="228">
        <v>-0.4</v>
      </c>
      <c r="AC104" s="229">
        <v>2.9999999999999997E-4</v>
      </c>
      <c r="AD104" s="228">
        <v>0.04</v>
      </c>
      <c r="AE104" s="228">
        <v>0.44</v>
      </c>
      <c r="AF104" s="228">
        <v>-0.4</v>
      </c>
      <c r="AG104" s="229">
        <v>2.9999999999999997E-4</v>
      </c>
      <c r="AH104" s="228">
        <v>-2.35</v>
      </c>
      <c r="AI104" s="228">
        <v>-1.38</v>
      </c>
      <c r="AJ104" s="228">
        <v>-0.97</v>
      </c>
      <c r="AK104" s="229">
        <v>-1.7100000000000001E-2</v>
      </c>
      <c r="AL104" s="228">
        <v>-3.35</v>
      </c>
      <c r="AM104" s="228">
        <v>-1.96</v>
      </c>
      <c r="AN104" s="228">
        <v>-1.39</v>
      </c>
      <c r="AO104" s="229">
        <v>-2.4400000000000002E-2</v>
      </c>
      <c r="AP104" s="228">
        <v>138.35</v>
      </c>
      <c r="AQ104" s="228">
        <v>136.18</v>
      </c>
      <c r="AR104" s="228">
        <v>0</v>
      </c>
      <c r="AS104" s="228">
        <v>610</v>
      </c>
      <c r="AT104" s="228">
        <v>643</v>
      </c>
      <c r="AU104" s="228">
        <v>-33</v>
      </c>
      <c r="AV104" s="229">
        <v>-5.1400000000000001E-2</v>
      </c>
      <c r="AW104" s="228">
        <v>300</v>
      </c>
      <c r="AX104" s="228">
        <v>383</v>
      </c>
      <c r="AY104" s="228">
        <v>-83</v>
      </c>
      <c r="AZ104" s="229">
        <v>-0.21779999999999999</v>
      </c>
      <c r="BA104" s="228">
        <v>294</v>
      </c>
      <c r="BB104" s="228">
        <v>231</v>
      </c>
      <c r="BC104" s="228">
        <v>62</v>
      </c>
      <c r="BD104" s="229">
        <v>0.26950000000000002</v>
      </c>
      <c r="BE104" s="228">
        <v>17</v>
      </c>
      <c r="BF104" s="228">
        <v>29</v>
      </c>
      <c r="BG104" s="228">
        <v>-12</v>
      </c>
      <c r="BH104" s="229">
        <v>-0.41689999999999999</v>
      </c>
      <c r="BI104" s="228">
        <v>706</v>
      </c>
      <c r="BJ104" s="230">
        <v>3296</v>
      </c>
      <c r="BK104" s="230">
        <v>-2590</v>
      </c>
      <c r="BL104" s="229">
        <v>-0.78569999999999995</v>
      </c>
      <c r="BM104" s="228">
        <v>464</v>
      </c>
      <c r="BN104" s="230">
        <v>1199</v>
      </c>
      <c r="BO104" s="228">
        <v>-735</v>
      </c>
      <c r="BP104" s="229">
        <v>-0.61339999999999995</v>
      </c>
      <c r="BQ104" s="230">
        <v>1780</v>
      </c>
      <c r="BR104" s="230">
        <v>5138</v>
      </c>
      <c r="BS104" s="230">
        <v>-3358</v>
      </c>
      <c r="BT104" s="229">
        <v>-0.65359999999999996</v>
      </c>
      <c r="BU104" s="230">
        <v>22495692</v>
      </c>
      <c r="BV104" s="230">
        <v>78548877</v>
      </c>
      <c r="BW104" s="230">
        <v>-56053185</v>
      </c>
      <c r="BX104" s="229">
        <v>-0.71360000000000001</v>
      </c>
      <c r="BY104" s="228">
        <v>773</v>
      </c>
      <c r="BZ104" s="228">
        <v>888</v>
      </c>
      <c r="CA104" s="228">
        <v>-116</v>
      </c>
      <c r="CB104" s="229">
        <v>-0.13009999999999999</v>
      </c>
      <c r="CC104" s="228">
        <v>371</v>
      </c>
      <c r="CD104" s="228">
        <v>561</v>
      </c>
      <c r="CE104" s="228">
        <v>-190</v>
      </c>
      <c r="CF104" s="229">
        <v>-0.33889999999999998</v>
      </c>
      <c r="CG104" s="228">
        <v>351</v>
      </c>
      <c r="CH104" s="228">
        <v>285</v>
      </c>
      <c r="CI104" s="228">
        <v>67</v>
      </c>
      <c r="CJ104" s="229">
        <v>0.2341</v>
      </c>
      <c r="CK104" s="228">
        <v>51</v>
      </c>
      <c r="CL104" s="228">
        <v>43</v>
      </c>
      <c r="CM104" s="228">
        <v>8</v>
      </c>
      <c r="CN104" s="229">
        <v>0.18360000000000001</v>
      </c>
      <c r="CO104" s="228">
        <v>472</v>
      </c>
      <c r="CP104" s="228">
        <v>452</v>
      </c>
      <c r="CQ104" s="228">
        <v>20</v>
      </c>
      <c r="CR104" s="229">
        <v>4.4400000000000002E-2</v>
      </c>
      <c r="CS104" s="228">
        <v>422</v>
      </c>
      <c r="CT104" s="228">
        <v>456</v>
      </c>
      <c r="CU104" s="228">
        <v>-34</v>
      </c>
      <c r="CV104" s="229">
        <v>-7.46E-2</v>
      </c>
      <c r="CW104" s="230">
        <v>1667</v>
      </c>
      <c r="CX104" s="230">
        <v>1797</v>
      </c>
      <c r="CY104" s="228">
        <v>-130</v>
      </c>
      <c r="CZ104" s="229">
        <v>-7.2099999999999997E-2</v>
      </c>
      <c r="DA104" s="228">
        <v>41.78</v>
      </c>
      <c r="DB104" s="228">
        <v>42.74</v>
      </c>
      <c r="DC104" s="228">
        <v>-0.96</v>
      </c>
      <c r="DD104" s="228">
        <v>-0.96</v>
      </c>
      <c r="DE104" s="228">
        <v>49.79</v>
      </c>
      <c r="DF104" s="228">
        <v>49.81</v>
      </c>
      <c r="DG104" s="228">
        <v>-8.01</v>
      </c>
      <c r="DH104" s="228">
        <v>-0.02</v>
      </c>
      <c r="DI104" s="228">
        <v>41.72</v>
      </c>
      <c r="DJ104" s="228">
        <v>42.01</v>
      </c>
      <c r="DK104" s="228">
        <v>-0.28999999999999998</v>
      </c>
      <c r="DL104" s="228">
        <v>-0.28999999999999998</v>
      </c>
      <c r="DM104" s="228">
        <v>41.98</v>
      </c>
      <c r="DN104" s="228">
        <v>44.75</v>
      </c>
      <c r="DO104" s="228">
        <v>-2.77</v>
      </c>
      <c r="DP104" s="228">
        <v>-2.77</v>
      </c>
      <c r="DQ104" s="228">
        <v>0.89</v>
      </c>
      <c r="DR104" s="228">
        <v>1.01</v>
      </c>
      <c r="DS104" s="228">
        <v>-0.12</v>
      </c>
      <c r="DT104" s="229">
        <v>-0.1188</v>
      </c>
      <c r="DU104" s="228">
        <v>140</v>
      </c>
      <c r="DV104" s="228">
        <v>134</v>
      </c>
      <c r="DW104" s="228">
        <v>0.66</v>
      </c>
      <c r="DX104" s="228">
        <v>0.36</v>
      </c>
      <c r="DY104" s="228">
        <v>0.3</v>
      </c>
      <c r="DZ104" s="229">
        <v>0.83330000000000004</v>
      </c>
      <c r="EA104" s="229">
        <v>0.52029999999999998</v>
      </c>
      <c r="EB104" s="230">
        <v>23811900</v>
      </c>
      <c r="EC104" s="229">
        <v>-1.7399999999999999E-2</v>
      </c>
      <c r="ED104" s="229">
        <v>0.52029999999999998</v>
      </c>
      <c r="EE104" s="228">
        <v>-2.17</v>
      </c>
      <c r="EF104" s="229">
        <v>-1.5699999999999999E-2</v>
      </c>
      <c r="EG104" s="230">
        <v>6202407</v>
      </c>
      <c r="EH104" s="230">
        <v>15567635</v>
      </c>
      <c r="EI104" s="229">
        <v>-0.60160000000000002</v>
      </c>
      <c r="EJ104" s="229">
        <v>0.2757</v>
      </c>
      <c r="EK104" s="228">
        <v>745.4</v>
      </c>
      <c r="EL104" s="228">
        <v>455.53</v>
      </c>
      <c r="EM104" s="228">
        <v>608.65</v>
      </c>
      <c r="EN104" s="228">
        <v>69.349999999999994</v>
      </c>
      <c r="EO104" s="231">
        <v>1809.58</v>
      </c>
      <c r="EP104" s="231">
        <v>5257.95</v>
      </c>
      <c r="EQ104" s="231">
        <v>-3448.37</v>
      </c>
      <c r="ER104" s="229">
        <v>-0.65580000000000005</v>
      </c>
      <c r="ES104" s="228">
        <v>471.81</v>
      </c>
      <c r="ET104" s="228">
        <v>392.15</v>
      </c>
      <c r="EU104" s="228">
        <v>765.45</v>
      </c>
      <c r="EV104" s="231">
        <v>119011160</v>
      </c>
      <c r="EW104" s="231">
        <v>1629.41</v>
      </c>
      <c r="EX104" s="231">
        <v>1778.72</v>
      </c>
      <c r="EY104" s="228">
        <v>-149.31</v>
      </c>
      <c r="EZ104" s="229">
        <v>-8.3900000000000002E-2</v>
      </c>
      <c r="FA104" s="229">
        <v>1.0184</v>
      </c>
      <c r="FB104" s="227" t="s">
        <v>567</v>
      </c>
      <c r="FC104">
        <f t="shared" si="1"/>
        <v>402</v>
      </c>
    </row>
    <row r="105" spans="1:159" ht="17.25" thickBot="1" x14ac:dyDescent="0.3">
      <c r="A105" s="226">
        <v>46135</v>
      </c>
      <c r="B105" s="227" t="s">
        <v>215</v>
      </c>
      <c r="C105" s="227" t="s">
        <v>591</v>
      </c>
      <c r="D105" s="228">
        <v>4250</v>
      </c>
      <c r="E105" s="228">
        <v>5</v>
      </c>
      <c r="F105" s="228">
        <v>104.51</v>
      </c>
      <c r="G105" s="228">
        <v>106.19</v>
      </c>
      <c r="H105" s="228">
        <v>-1.68</v>
      </c>
      <c r="I105" s="229">
        <v>-1.5800000000000002E-2</v>
      </c>
      <c r="J105" s="228">
        <v>105.06</v>
      </c>
      <c r="K105" s="228">
        <v>105.82</v>
      </c>
      <c r="L105" s="228">
        <v>-0.76</v>
      </c>
      <c r="M105" s="229">
        <v>-7.1999999999999998E-3</v>
      </c>
      <c r="N105" s="228">
        <v>104.51</v>
      </c>
      <c r="O105" s="228">
        <v>106.19</v>
      </c>
      <c r="P105" s="228">
        <v>-1.68</v>
      </c>
      <c r="Q105" s="229">
        <v>-1.5800000000000002E-2</v>
      </c>
      <c r="R105" s="228">
        <v>103.22</v>
      </c>
      <c r="S105" s="228">
        <v>105.53</v>
      </c>
      <c r="T105" s="228">
        <v>-2.31</v>
      </c>
      <c r="U105" s="229">
        <v>-2.1899999999999999E-2</v>
      </c>
      <c r="V105" s="228">
        <v>102.71</v>
      </c>
      <c r="W105" s="228">
        <v>105.2</v>
      </c>
      <c r="X105" s="228">
        <v>-2.4900000000000002</v>
      </c>
      <c r="Y105" s="229">
        <v>-2.3699999999999999E-2</v>
      </c>
      <c r="Z105" s="228">
        <v>-0.55000000000000004</v>
      </c>
      <c r="AA105" s="228">
        <v>0.37</v>
      </c>
      <c r="AB105" s="228">
        <v>-0.92</v>
      </c>
      <c r="AC105" s="229">
        <v>-5.1999999999999998E-3</v>
      </c>
      <c r="AD105" s="228">
        <v>-0.55000000000000004</v>
      </c>
      <c r="AE105" s="228">
        <v>0.37</v>
      </c>
      <c r="AF105" s="228">
        <v>-0.92</v>
      </c>
      <c r="AG105" s="229">
        <v>-5.1999999999999998E-3</v>
      </c>
      <c r="AH105" s="228">
        <v>-1.84</v>
      </c>
      <c r="AI105" s="228">
        <v>-0.28999999999999998</v>
      </c>
      <c r="AJ105" s="228">
        <v>-1.55</v>
      </c>
      <c r="AK105" s="229">
        <v>-1.7500000000000002E-2</v>
      </c>
      <c r="AL105" s="228">
        <v>-2.35</v>
      </c>
      <c r="AM105" s="228">
        <v>-0.62</v>
      </c>
      <c r="AN105" s="228">
        <v>-1.73</v>
      </c>
      <c r="AO105" s="229">
        <v>-2.24E-2</v>
      </c>
      <c r="AP105" s="228">
        <v>105.94</v>
      </c>
      <c r="AQ105" s="228">
        <v>104.85</v>
      </c>
      <c r="AR105" s="228">
        <v>0</v>
      </c>
      <c r="AS105" s="228">
        <v>570</v>
      </c>
      <c r="AT105" s="228">
        <v>200</v>
      </c>
      <c r="AU105" s="228">
        <v>371</v>
      </c>
      <c r="AV105" s="229">
        <v>1.8577999999999999</v>
      </c>
      <c r="AW105" s="228">
        <v>266</v>
      </c>
      <c r="AX105" s="228">
        <v>115</v>
      </c>
      <c r="AY105" s="228">
        <v>152</v>
      </c>
      <c r="AZ105" s="229">
        <v>1.3249</v>
      </c>
      <c r="BA105" s="228">
        <v>285</v>
      </c>
      <c r="BB105" s="228">
        <v>78</v>
      </c>
      <c r="BC105" s="228">
        <v>207</v>
      </c>
      <c r="BD105" s="229">
        <v>2.6513</v>
      </c>
      <c r="BE105" s="228">
        <v>19</v>
      </c>
      <c r="BF105" s="228">
        <v>7</v>
      </c>
      <c r="BG105" s="228">
        <v>12</v>
      </c>
      <c r="BH105" s="229">
        <v>1.7421</v>
      </c>
      <c r="BI105" s="230">
        <v>1464</v>
      </c>
      <c r="BJ105" s="230">
        <v>1016</v>
      </c>
      <c r="BK105" s="228">
        <v>448</v>
      </c>
      <c r="BL105" s="229">
        <v>0.441</v>
      </c>
      <c r="BM105" s="228">
        <v>384</v>
      </c>
      <c r="BN105" s="228">
        <v>263</v>
      </c>
      <c r="BO105" s="228">
        <v>120</v>
      </c>
      <c r="BP105" s="229">
        <v>0.45669999999999999</v>
      </c>
      <c r="BQ105" s="230">
        <v>2418</v>
      </c>
      <c r="BR105" s="230">
        <v>1479</v>
      </c>
      <c r="BS105" s="228">
        <v>939</v>
      </c>
      <c r="BT105" s="229">
        <v>0.63500000000000001</v>
      </c>
      <c r="BU105" s="230">
        <v>44280184</v>
      </c>
      <c r="BV105" s="230">
        <v>24206553</v>
      </c>
      <c r="BW105" s="230">
        <v>20073631</v>
      </c>
      <c r="BX105" s="229">
        <v>0.82930000000000004</v>
      </c>
      <c r="BY105" s="228">
        <v>683</v>
      </c>
      <c r="BZ105" s="228">
        <v>659</v>
      </c>
      <c r="CA105" s="228">
        <v>24</v>
      </c>
      <c r="CB105" s="229">
        <v>3.6400000000000002E-2</v>
      </c>
      <c r="CC105" s="228">
        <v>334</v>
      </c>
      <c r="CD105" s="228">
        <v>446</v>
      </c>
      <c r="CE105" s="228">
        <v>-112</v>
      </c>
      <c r="CF105" s="229">
        <v>-0.25080000000000002</v>
      </c>
      <c r="CG105" s="228">
        <v>315</v>
      </c>
      <c r="CH105" s="228">
        <v>189</v>
      </c>
      <c r="CI105" s="228">
        <v>127</v>
      </c>
      <c r="CJ105" s="229">
        <v>0.67249999999999999</v>
      </c>
      <c r="CK105" s="228">
        <v>33</v>
      </c>
      <c r="CL105" s="228">
        <v>24</v>
      </c>
      <c r="CM105" s="228">
        <v>9</v>
      </c>
      <c r="CN105" s="229">
        <v>0.37869999999999998</v>
      </c>
      <c r="CO105" s="228">
        <v>575</v>
      </c>
      <c r="CP105" s="228">
        <v>455</v>
      </c>
      <c r="CQ105" s="228">
        <v>120</v>
      </c>
      <c r="CR105" s="229">
        <v>0.26350000000000001</v>
      </c>
      <c r="CS105" s="228">
        <v>338</v>
      </c>
      <c r="CT105" s="228">
        <v>321</v>
      </c>
      <c r="CU105" s="228">
        <v>18</v>
      </c>
      <c r="CV105" s="229">
        <v>5.4800000000000001E-2</v>
      </c>
      <c r="CW105" s="230">
        <v>1596</v>
      </c>
      <c r="CX105" s="230">
        <v>1435</v>
      </c>
      <c r="CY105" s="228">
        <v>161</v>
      </c>
      <c r="CZ105" s="229">
        <v>0.1125</v>
      </c>
      <c r="DA105" s="228">
        <v>45.1</v>
      </c>
      <c r="DB105" s="228">
        <v>39.659999999999997</v>
      </c>
      <c r="DC105" s="228">
        <v>5.44</v>
      </c>
      <c r="DD105" s="228">
        <v>5.44</v>
      </c>
      <c r="DE105" s="228">
        <v>45.54</v>
      </c>
      <c r="DF105" s="228">
        <v>45.6</v>
      </c>
      <c r="DG105" s="228">
        <v>-0.44</v>
      </c>
      <c r="DH105" s="228">
        <v>-0.06</v>
      </c>
      <c r="DI105" s="228">
        <v>45.35</v>
      </c>
      <c r="DJ105" s="228">
        <v>38.86</v>
      </c>
      <c r="DK105" s="228">
        <v>6.49</v>
      </c>
      <c r="DL105" s="228">
        <v>6.49</v>
      </c>
      <c r="DM105" s="228">
        <v>44.57</v>
      </c>
      <c r="DN105" s="228">
        <v>42.72</v>
      </c>
      <c r="DO105" s="228">
        <v>1.85</v>
      </c>
      <c r="DP105" s="228">
        <v>1.85</v>
      </c>
      <c r="DQ105" s="228">
        <v>0.59</v>
      </c>
      <c r="DR105" s="228">
        <v>0.71</v>
      </c>
      <c r="DS105" s="228">
        <v>-0.12</v>
      </c>
      <c r="DT105" s="229">
        <v>-0.16900000000000001</v>
      </c>
      <c r="DU105" s="228">
        <v>110</v>
      </c>
      <c r="DV105" s="228">
        <v>85</v>
      </c>
      <c r="DW105" s="228">
        <v>0.26</v>
      </c>
      <c r="DX105" s="228">
        <v>0.26</v>
      </c>
      <c r="DY105" s="228">
        <v>0</v>
      </c>
      <c r="DZ105" s="229">
        <v>0</v>
      </c>
      <c r="EA105" s="229">
        <v>0.51039999999999996</v>
      </c>
      <c r="EB105" s="230">
        <v>20349000</v>
      </c>
      <c r="EC105" s="229">
        <v>-1.23E-2</v>
      </c>
      <c r="ED105" s="229">
        <v>0.51039999999999996</v>
      </c>
      <c r="EE105" s="228">
        <v>-1.0900000000000001</v>
      </c>
      <c r="EF105" s="229">
        <v>-1.03E-2</v>
      </c>
      <c r="EG105" s="230">
        <v>12451651</v>
      </c>
      <c r="EH105" s="230">
        <v>7830033</v>
      </c>
      <c r="EI105" s="229">
        <v>0.59019999999999995</v>
      </c>
      <c r="EJ105" s="229">
        <v>0.28120000000000001</v>
      </c>
      <c r="EK105" s="231">
        <v>1556.72</v>
      </c>
      <c r="EL105" s="228">
        <v>391.72</v>
      </c>
      <c r="EM105" s="228">
        <v>574.95000000000005</v>
      </c>
      <c r="EN105" s="228">
        <v>34.729999999999997</v>
      </c>
      <c r="EO105" s="231">
        <v>2523.39</v>
      </c>
      <c r="EP105" s="231">
        <v>1531.31</v>
      </c>
      <c r="EQ105" s="228">
        <v>992.08</v>
      </c>
      <c r="ER105" s="229">
        <v>0.64790000000000003</v>
      </c>
      <c r="ES105" s="228">
        <v>594.04999999999995</v>
      </c>
      <c r="ET105" s="228">
        <v>322.07</v>
      </c>
      <c r="EU105" s="228">
        <v>678.49</v>
      </c>
      <c r="EV105" s="231">
        <v>267310350</v>
      </c>
      <c r="EW105" s="231">
        <v>1594.61</v>
      </c>
      <c r="EX105" s="231">
        <v>1437.38</v>
      </c>
      <c r="EY105" s="228">
        <v>157.22999999999999</v>
      </c>
      <c r="EZ105" s="229">
        <v>0.1094</v>
      </c>
      <c r="FA105" s="229">
        <v>0.57130000000000003</v>
      </c>
      <c r="FB105" s="227" t="s">
        <v>566</v>
      </c>
      <c r="FC105">
        <f t="shared" si="1"/>
        <v>349</v>
      </c>
    </row>
    <row r="106" spans="1:159" ht="17.25" thickBot="1" x14ac:dyDescent="0.3">
      <c r="A106" s="226">
        <v>46135</v>
      </c>
      <c r="B106" s="227" t="s">
        <v>168</v>
      </c>
      <c r="C106" s="227" t="s">
        <v>242</v>
      </c>
      <c r="D106" s="228">
        <v>1600</v>
      </c>
      <c r="E106" s="228">
        <v>5</v>
      </c>
      <c r="F106" s="228">
        <v>305.05</v>
      </c>
      <c r="G106" s="228">
        <v>305.8</v>
      </c>
      <c r="H106" s="228">
        <v>-0.75</v>
      </c>
      <c r="I106" s="229">
        <v>-2.5000000000000001E-3</v>
      </c>
      <c r="J106" s="228">
        <v>305.3</v>
      </c>
      <c r="K106" s="228">
        <v>305.5</v>
      </c>
      <c r="L106" s="228">
        <v>-0.2</v>
      </c>
      <c r="M106" s="229">
        <v>-6.9999999999999999E-4</v>
      </c>
      <c r="N106" s="228">
        <v>305.05</v>
      </c>
      <c r="O106" s="228">
        <v>305.8</v>
      </c>
      <c r="P106" s="228">
        <v>-0.75</v>
      </c>
      <c r="Q106" s="229">
        <v>-2.5000000000000001E-3</v>
      </c>
      <c r="R106" s="228">
        <v>306.7</v>
      </c>
      <c r="S106" s="228">
        <v>307.5</v>
      </c>
      <c r="T106" s="228">
        <v>-0.8</v>
      </c>
      <c r="U106" s="229">
        <v>-2.5999999999999999E-3</v>
      </c>
      <c r="V106" s="228">
        <v>308.5</v>
      </c>
      <c r="W106" s="228">
        <v>309.39999999999998</v>
      </c>
      <c r="X106" s="228">
        <v>-0.9</v>
      </c>
      <c r="Y106" s="229">
        <v>-2.8999999999999998E-3</v>
      </c>
      <c r="Z106" s="228">
        <v>-0.25</v>
      </c>
      <c r="AA106" s="228">
        <v>0.3</v>
      </c>
      <c r="AB106" s="228">
        <v>-0.55000000000000004</v>
      </c>
      <c r="AC106" s="229">
        <v>-8.0000000000000004E-4</v>
      </c>
      <c r="AD106" s="228">
        <v>-0.25</v>
      </c>
      <c r="AE106" s="228">
        <v>0.3</v>
      </c>
      <c r="AF106" s="228">
        <v>-0.55000000000000004</v>
      </c>
      <c r="AG106" s="229">
        <v>-8.0000000000000004E-4</v>
      </c>
      <c r="AH106" s="228">
        <v>1.4</v>
      </c>
      <c r="AI106" s="228">
        <v>2</v>
      </c>
      <c r="AJ106" s="228">
        <v>-0.6</v>
      </c>
      <c r="AK106" s="229">
        <v>4.5999999999999999E-3</v>
      </c>
      <c r="AL106" s="228">
        <v>3.2</v>
      </c>
      <c r="AM106" s="228">
        <v>3.9</v>
      </c>
      <c r="AN106" s="228">
        <v>-0.7</v>
      </c>
      <c r="AO106" s="229">
        <v>1.0500000000000001E-2</v>
      </c>
      <c r="AP106" s="228">
        <v>305.13</v>
      </c>
      <c r="AQ106" s="228">
        <v>306.77999999999997</v>
      </c>
      <c r="AR106" s="228">
        <v>0</v>
      </c>
      <c r="AS106" s="230">
        <v>1880</v>
      </c>
      <c r="AT106" s="228">
        <v>998</v>
      </c>
      <c r="AU106" s="228">
        <v>881</v>
      </c>
      <c r="AV106" s="229">
        <v>0.88260000000000005</v>
      </c>
      <c r="AW106" s="228">
        <v>916</v>
      </c>
      <c r="AX106" s="228">
        <v>520</v>
      </c>
      <c r="AY106" s="228">
        <v>396</v>
      </c>
      <c r="AZ106" s="229">
        <v>0.76060000000000005</v>
      </c>
      <c r="BA106" s="228">
        <v>838</v>
      </c>
      <c r="BB106" s="228">
        <v>391</v>
      </c>
      <c r="BC106" s="228">
        <v>447</v>
      </c>
      <c r="BD106" s="229">
        <v>1.1448</v>
      </c>
      <c r="BE106" s="228">
        <v>126</v>
      </c>
      <c r="BF106" s="228">
        <v>88</v>
      </c>
      <c r="BG106" s="228">
        <v>38</v>
      </c>
      <c r="BH106" s="229">
        <v>0.43830000000000002</v>
      </c>
      <c r="BI106" s="230">
        <v>2812</v>
      </c>
      <c r="BJ106" s="230">
        <v>4438</v>
      </c>
      <c r="BK106" s="230">
        <v>-1626</v>
      </c>
      <c r="BL106" s="229">
        <v>-0.3664</v>
      </c>
      <c r="BM106" s="230">
        <v>1113</v>
      </c>
      <c r="BN106" s="230">
        <v>1578</v>
      </c>
      <c r="BO106" s="228">
        <v>-465</v>
      </c>
      <c r="BP106" s="229">
        <v>-0.29459999999999997</v>
      </c>
      <c r="BQ106" s="230">
        <v>5804</v>
      </c>
      <c r="BR106" s="230">
        <v>7014</v>
      </c>
      <c r="BS106" s="230">
        <v>-1210</v>
      </c>
      <c r="BT106" s="229">
        <v>-0.17249999999999999</v>
      </c>
      <c r="BU106" s="230">
        <v>11206575</v>
      </c>
      <c r="BV106" s="230">
        <v>25150184</v>
      </c>
      <c r="BW106" s="230">
        <v>-13943609</v>
      </c>
      <c r="BX106" s="229">
        <v>-0.5544</v>
      </c>
      <c r="BY106" s="230">
        <v>5386</v>
      </c>
      <c r="BZ106" s="230">
        <v>5333</v>
      </c>
      <c r="CA106" s="228">
        <v>53</v>
      </c>
      <c r="CB106" s="229">
        <v>9.9000000000000008E-3</v>
      </c>
      <c r="CC106" s="230">
        <v>3244</v>
      </c>
      <c r="CD106" s="230">
        <v>4031</v>
      </c>
      <c r="CE106" s="228">
        <v>-787</v>
      </c>
      <c r="CF106" s="229">
        <v>-0.1953</v>
      </c>
      <c r="CG106" s="230">
        <v>1796</v>
      </c>
      <c r="CH106" s="230">
        <v>1071</v>
      </c>
      <c r="CI106" s="228">
        <v>725</v>
      </c>
      <c r="CJ106" s="229">
        <v>0.67679999999999996</v>
      </c>
      <c r="CK106" s="228">
        <v>346</v>
      </c>
      <c r="CL106" s="228">
        <v>231</v>
      </c>
      <c r="CM106" s="228">
        <v>116</v>
      </c>
      <c r="CN106" s="229">
        <v>0.50149999999999995</v>
      </c>
      <c r="CO106" s="230">
        <v>3837</v>
      </c>
      <c r="CP106" s="230">
        <v>3863</v>
      </c>
      <c r="CQ106" s="228">
        <v>-25</v>
      </c>
      <c r="CR106" s="229">
        <v>-6.6E-3</v>
      </c>
      <c r="CS106" s="230">
        <v>1935</v>
      </c>
      <c r="CT106" s="230">
        <v>1920</v>
      </c>
      <c r="CU106" s="228">
        <v>15</v>
      </c>
      <c r="CV106" s="229">
        <v>7.7999999999999996E-3</v>
      </c>
      <c r="CW106" s="230">
        <v>11158</v>
      </c>
      <c r="CX106" s="230">
        <v>11116</v>
      </c>
      <c r="CY106" s="228">
        <v>43</v>
      </c>
      <c r="CZ106" s="229">
        <v>3.8E-3</v>
      </c>
      <c r="DA106" s="228">
        <v>24.07</v>
      </c>
      <c r="DB106" s="228">
        <v>21.78</v>
      </c>
      <c r="DC106" s="228">
        <v>2.29</v>
      </c>
      <c r="DD106" s="228">
        <v>2.29</v>
      </c>
      <c r="DE106" s="228">
        <v>24.39</v>
      </c>
      <c r="DF106" s="228">
        <v>24.45</v>
      </c>
      <c r="DG106" s="228">
        <v>-0.32</v>
      </c>
      <c r="DH106" s="228">
        <v>-0.06</v>
      </c>
      <c r="DI106" s="228">
        <v>24.25</v>
      </c>
      <c r="DJ106" s="228">
        <v>22.16</v>
      </c>
      <c r="DK106" s="228">
        <v>2.09</v>
      </c>
      <c r="DL106" s="228">
        <v>2.09</v>
      </c>
      <c r="DM106" s="228">
        <v>23.79</v>
      </c>
      <c r="DN106" s="228">
        <v>20.69</v>
      </c>
      <c r="DO106" s="228">
        <v>3.1</v>
      </c>
      <c r="DP106" s="228">
        <v>3.1</v>
      </c>
      <c r="DQ106" s="228">
        <v>0.5</v>
      </c>
      <c r="DR106" s="228">
        <v>0.5</v>
      </c>
      <c r="DS106" s="228">
        <v>0</v>
      </c>
      <c r="DT106" s="229">
        <v>0</v>
      </c>
      <c r="DU106" s="228">
        <v>310</v>
      </c>
      <c r="DV106" s="228">
        <v>300</v>
      </c>
      <c r="DW106" s="228">
        <v>0.4</v>
      </c>
      <c r="DX106" s="228">
        <v>0.36</v>
      </c>
      <c r="DY106" s="228">
        <v>0.04</v>
      </c>
      <c r="DZ106" s="229">
        <v>0.1111</v>
      </c>
      <c r="EA106" s="229">
        <v>0.3977</v>
      </c>
      <c r="EB106" s="230">
        <v>42667200</v>
      </c>
      <c r="EC106" s="229">
        <v>5.4000000000000003E-3</v>
      </c>
      <c r="ED106" s="229">
        <v>0.3977</v>
      </c>
      <c r="EE106" s="228">
        <v>1.65</v>
      </c>
      <c r="EF106" s="229">
        <v>5.4000000000000003E-3</v>
      </c>
      <c r="EG106" s="230">
        <v>6635559</v>
      </c>
      <c r="EH106" s="230">
        <v>14957096</v>
      </c>
      <c r="EI106" s="229">
        <v>-0.55640000000000001</v>
      </c>
      <c r="EJ106" s="229">
        <v>0.59209999999999996</v>
      </c>
      <c r="EK106" s="231">
        <v>2900.32</v>
      </c>
      <c r="EL106" s="231">
        <v>1104.97</v>
      </c>
      <c r="EM106" s="231">
        <v>1886.22</v>
      </c>
      <c r="EN106" s="228">
        <v>145.13999999999999</v>
      </c>
      <c r="EO106" s="231">
        <v>5891.51</v>
      </c>
      <c r="EP106" s="231">
        <v>7200.29</v>
      </c>
      <c r="EQ106" s="231">
        <v>-1308.78</v>
      </c>
      <c r="ER106" s="229">
        <v>-0.18179999999999999</v>
      </c>
      <c r="ES106" s="231">
        <v>3982.08</v>
      </c>
      <c r="ET106" s="231">
        <v>1906.54</v>
      </c>
      <c r="EU106" s="231">
        <v>5399.35</v>
      </c>
      <c r="EV106" s="231">
        <v>1317896781</v>
      </c>
      <c r="EW106" s="231">
        <v>11287.97</v>
      </c>
      <c r="EX106" s="231">
        <v>11249.41</v>
      </c>
      <c r="EY106" s="228">
        <v>38.56</v>
      </c>
      <c r="EZ106" s="229">
        <v>3.3999999999999998E-3</v>
      </c>
      <c r="FA106" s="229">
        <v>0.27760000000000001</v>
      </c>
      <c r="FB106" s="227" t="s">
        <v>566</v>
      </c>
      <c r="FC106">
        <f t="shared" si="1"/>
        <v>2142</v>
      </c>
    </row>
    <row r="107" spans="1:159" ht="17.25" thickBot="1" x14ac:dyDescent="0.3">
      <c r="A107" s="226">
        <v>46135</v>
      </c>
      <c r="B107" s="227" t="s">
        <v>227</v>
      </c>
      <c r="C107" s="227" t="s">
        <v>243</v>
      </c>
      <c r="D107" s="228">
        <v>625</v>
      </c>
      <c r="E107" s="228">
        <v>5</v>
      </c>
      <c r="F107" s="231">
        <v>1257.5999999999999</v>
      </c>
      <c r="G107" s="231">
        <v>1282.4000000000001</v>
      </c>
      <c r="H107" s="228">
        <v>-24.8</v>
      </c>
      <c r="I107" s="229">
        <v>-1.9300000000000001E-2</v>
      </c>
      <c r="J107" s="231">
        <v>1254.5</v>
      </c>
      <c r="K107" s="231">
        <v>1278.5999999999999</v>
      </c>
      <c r="L107" s="228">
        <v>-24.1</v>
      </c>
      <c r="M107" s="229">
        <v>-1.8800000000000001E-2</v>
      </c>
      <c r="N107" s="231">
        <v>1257.5999999999999</v>
      </c>
      <c r="O107" s="231">
        <v>1282.4000000000001</v>
      </c>
      <c r="P107" s="228">
        <v>-24.8</v>
      </c>
      <c r="Q107" s="229">
        <v>-1.9300000000000001E-2</v>
      </c>
      <c r="R107" s="231">
        <v>1263.0999999999999</v>
      </c>
      <c r="S107" s="231">
        <v>1287.7</v>
      </c>
      <c r="T107" s="228">
        <v>-24.6</v>
      </c>
      <c r="U107" s="229">
        <v>-1.9099999999999999E-2</v>
      </c>
      <c r="V107" s="231">
        <v>1270.8</v>
      </c>
      <c r="W107" s="231">
        <v>1291</v>
      </c>
      <c r="X107" s="228">
        <v>-20.2</v>
      </c>
      <c r="Y107" s="229">
        <v>-1.5599999999999999E-2</v>
      </c>
      <c r="Z107" s="228">
        <v>3.1</v>
      </c>
      <c r="AA107" s="228">
        <v>3.8</v>
      </c>
      <c r="AB107" s="228">
        <v>-0.7</v>
      </c>
      <c r="AC107" s="229">
        <v>2.5000000000000001E-3</v>
      </c>
      <c r="AD107" s="228">
        <v>3.1</v>
      </c>
      <c r="AE107" s="228">
        <v>3.8</v>
      </c>
      <c r="AF107" s="228">
        <v>-0.7</v>
      </c>
      <c r="AG107" s="229">
        <v>2.5000000000000001E-3</v>
      </c>
      <c r="AH107" s="228">
        <v>8.6</v>
      </c>
      <c r="AI107" s="228">
        <v>9.1</v>
      </c>
      <c r="AJ107" s="228">
        <v>-0.5</v>
      </c>
      <c r="AK107" s="229">
        <v>6.8999999999999999E-3</v>
      </c>
      <c r="AL107" s="228">
        <v>16.3</v>
      </c>
      <c r="AM107" s="228">
        <v>12.4</v>
      </c>
      <c r="AN107" s="228">
        <v>3.9</v>
      </c>
      <c r="AO107" s="229">
        <v>1.2999999999999999E-2</v>
      </c>
      <c r="AP107" s="231">
        <v>1265.45</v>
      </c>
      <c r="AQ107" s="231">
        <v>1271.3399999999999</v>
      </c>
      <c r="AR107" s="228">
        <v>0</v>
      </c>
      <c r="AS107" s="230">
        <v>1094</v>
      </c>
      <c r="AT107" s="228">
        <v>321</v>
      </c>
      <c r="AU107" s="228">
        <v>773</v>
      </c>
      <c r="AV107" s="229">
        <v>2.4091999999999998</v>
      </c>
      <c r="AW107" s="228">
        <v>556</v>
      </c>
      <c r="AX107" s="228">
        <v>194</v>
      </c>
      <c r="AY107" s="228">
        <v>361</v>
      </c>
      <c r="AZ107" s="229">
        <v>1.8589</v>
      </c>
      <c r="BA107" s="228">
        <v>537</v>
      </c>
      <c r="BB107" s="228">
        <v>126</v>
      </c>
      <c r="BC107" s="228">
        <v>411</v>
      </c>
      <c r="BD107" s="229">
        <v>3.2625000000000002</v>
      </c>
      <c r="BE107" s="228">
        <v>1</v>
      </c>
      <c r="BF107" s="228">
        <v>0</v>
      </c>
      <c r="BG107" s="228">
        <v>1</v>
      </c>
      <c r="BH107" s="229">
        <v>1.1667000000000001</v>
      </c>
      <c r="BI107" s="228">
        <v>510</v>
      </c>
      <c r="BJ107" s="228">
        <v>460</v>
      </c>
      <c r="BK107" s="228">
        <v>50</v>
      </c>
      <c r="BL107" s="229">
        <v>0.10879999999999999</v>
      </c>
      <c r="BM107" s="228">
        <v>462</v>
      </c>
      <c r="BN107" s="228">
        <v>520</v>
      </c>
      <c r="BO107" s="228">
        <v>-59</v>
      </c>
      <c r="BP107" s="229">
        <v>-0.11269999999999999</v>
      </c>
      <c r="BQ107" s="230">
        <v>2066</v>
      </c>
      <c r="BR107" s="230">
        <v>1301</v>
      </c>
      <c r="BS107" s="228">
        <v>765</v>
      </c>
      <c r="BT107" s="229">
        <v>0.58760000000000001</v>
      </c>
      <c r="BU107" s="230">
        <v>864241</v>
      </c>
      <c r="BV107" s="230">
        <v>1614596</v>
      </c>
      <c r="BW107" s="230">
        <v>-750355</v>
      </c>
      <c r="BX107" s="229">
        <v>-0.4647</v>
      </c>
      <c r="BY107" s="230">
        <v>1731</v>
      </c>
      <c r="BZ107" s="230">
        <v>1750</v>
      </c>
      <c r="CA107" s="228">
        <v>-19</v>
      </c>
      <c r="CB107" s="229">
        <v>-1.11E-2</v>
      </c>
      <c r="CC107" s="230">
        <v>1039</v>
      </c>
      <c r="CD107" s="230">
        <v>1461</v>
      </c>
      <c r="CE107" s="228">
        <v>-421</v>
      </c>
      <c r="CF107" s="229">
        <v>-0.28849999999999998</v>
      </c>
      <c r="CG107" s="228">
        <v>688</v>
      </c>
      <c r="CH107" s="228">
        <v>286</v>
      </c>
      <c r="CI107" s="228">
        <v>402</v>
      </c>
      <c r="CJ107" s="229">
        <v>1.4031</v>
      </c>
      <c r="CK107" s="228">
        <v>3</v>
      </c>
      <c r="CL107" s="228">
        <v>3</v>
      </c>
      <c r="CM107" s="228">
        <v>0</v>
      </c>
      <c r="CN107" s="229">
        <v>-2.4400000000000002E-2</v>
      </c>
      <c r="CO107" s="228">
        <v>510</v>
      </c>
      <c r="CP107" s="228">
        <v>509</v>
      </c>
      <c r="CQ107" s="228">
        <v>1</v>
      </c>
      <c r="CR107" s="229">
        <v>2.2000000000000001E-3</v>
      </c>
      <c r="CS107" s="228">
        <v>535</v>
      </c>
      <c r="CT107" s="228">
        <v>568</v>
      </c>
      <c r="CU107" s="228">
        <v>-33</v>
      </c>
      <c r="CV107" s="229">
        <v>-5.7700000000000001E-2</v>
      </c>
      <c r="CW107" s="230">
        <v>2776</v>
      </c>
      <c r="CX107" s="230">
        <v>2827</v>
      </c>
      <c r="CY107" s="228">
        <v>-51</v>
      </c>
      <c r="CZ107" s="229">
        <v>-1.8100000000000002E-2</v>
      </c>
      <c r="DA107" s="228">
        <v>32.99</v>
      </c>
      <c r="DB107" s="228">
        <v>29.77</v>
      </c>
      <c r="DC107" s="228">
        <v>3.22</v>
      </c>
      <c r="DD107" s="228">
        <v>3.22</v>
      </c>
      <c r="DE107" s="228">
        <v>37.840000000000003</v>
      </c>
      <c r="DF107" s="228">
        <v>37.85</v>
      </c>
      <c r="DG107" s="228">
        <v>-4.8499999999999996</v>
      </c>
      <c r="DH107" s="228">
        <v>-0.01</v>
      </c>
      <c r="DI107" s="228">
        <v>33.01</v>
      </c>
      <c r="DJ107" s="228">
        <v>28.36</v>
      </c>
      <c r="DK107" s="228">
        <v>4.6500000000000004</v>
      </c>
      <c r="DL107" s="228">
        <v>4.6500000000000004</v>
      </c>
      <c r="DM107" s="228">
        <v>32.96</v>
      </c>
      <c r="DN107" s="228">
        <v>31.02</v>
      </c>
      <c r="DO107" s="228">
        <v>1.94</v>
      </c>
      <c r="DP107" s="228">
        <v>1.94</v>
      </c>
      <c r="DQ107" s="228">
        <v>1.05</v>
      </c>
      <c r="DR107" s="228">
        <v>1.1200000000000001</v>
      </c>
      <c r="DS107" s="228">
        <v>-7.0000000000000007E-2</v>
      </c>
      <c r="DT107" s="229">
        <v>-6.25E-2</v>
      </c>
      <c r="DU107" s="231">
        <v>1300</v>
      </c>
      <c r="DV107" s="231">
        <v>1250</v>
      </c>
      <c r="DW107" s="228">
        <v>0.9</v>
      </c>
      <c r="DX107" s="228">
        <v>1.1299999999999999</v>
      </c>
      <c r="DY107" s="228">
        <v>-0.23</v>
      </c>
      <c r="DZ107" s="229">
        <v>-0.20349999999999999</v>
      </c>
      <c r="EA107" s="229">
        <v>0.39950000000000002</v>
      </c>
      <c r="EB107" s="230">
        <v>2303125</v>
      </c>
      <c r="EC107" s="229">
        <v>4.4000000000000003E-3</v>
      </c>
      <c r="ED107" s="229">
        <v>0.39950000000000002</v>
      </c>
      <c r="EE107" s="228">
        <v>5.89</v>
      </c>
      <c r="EF107" s="229">
        <v>4.7000000000000002E-3</v>
      </c>
      <c r="EG107" s="230">
        <v>404382</v>
      </c>
      <c r="EH107" s="230">
        <v>813915</v>
      </c>
      <c r="EI107" s="229">
        <v>-0.50319999999999998</v>
      </c>
      <c r="EJ107" s="229">
        <v>0.46789999999999998</v>
      </c>
      <c r="EK107" s="228">
        <v>532.62</v>
      </c>
      <c r="EL107" s="228">
        <v>458.16</v>
      </c>
      <c r="EM107" s="231">
        <v>1103.7</v>
      </c>
      <c r="EN107" s="228">
        <v>43.48</v>
      </c>
      <c r="EO107" s="231">
        <v>2094.4899999999998</v>
      </c>
      <c r="EP107" s="231">
        <v>1333.38</v>
      </c>
      <c r="EQ107" s="228">
        <v>761.11</v>
      </c>
      <c r="ER107" s="229">
        <v>0.57079999999999997</v>
      </c>
      <c r="ES107" s="228">
        <v>517.25</v>
      </c>
      <c r="ET107" s="228">
        <v>507.38</v>
      </c>
      <c r="EU107" s="231">
        <v>1733.74</v>
      </c>
      <c r="EV107" s="231">
        <v>45844541</v>
      </c>
      <c r="EW107" s="231">
        <v>2758.37</v>
      </c>
      <c r="EX107" s="231">
        <v>2840.68</v>
      </c>
      <c r="EY107" s="228">
        <v>-82.31</v>
      </c>
      <c r="EZ107" s="229">
        <v>-2.9000000000000001E-2</v>
      </c>
      <c r="FA107" s="229">
        <v>0.48149999999999998</v>
      </c>
      <c r="FB107" s="227" t="s">
        <v>567</v>
      </c>
      <c r="FC107">
        <f t="shared" si="1"/>
        <v>692</v>
      </c>
    </row>
    <row r="108" spans="1:159" ht="17.25" thickBot="1" x14ac:dyDescent="0.3">
      <c r="A108" s="226">
        <v>46135</v>
      </c>
      <c r="B108" s="227" t="s">
        <v>175</v>
      </c>
      <c r="C108" s="227" t="s">
        <v>569</v>
      </c>
      <c r="D108" s="228">
        <v>2350</v>
      </c>
      <c r="E108" s="228">
        <v>5</v>
      </c>
      <c r="F108" s="228">
        <v>248.92</v>
      </c>
      <c r="G108" s="228">
        <v>238.96</v>
      </c>
      <c r="H108" s="228">
        <v>9.9600000000000009</v>
      </c>
      <c r="I108" s="229">
        <v>4.1700000000000001E-2</v>
      </c>
      <c r="J108" s="228">
        <v>248.66</v>
      </c>
      <c r="K108" s="228">
        <v>238.51</v>
      </c>
      <c r="L108" s="228">
        <v>10.15</v>
      </c>
      <c r="M108" s="229">
        <v>4.2599999999999999E-2</v>
      </c>
      <c r="N108" s="228">
        <v>248.92</v>
      </c>
      <c r="O108" s="228">
        <v>238.96</v>
      </c>
      <c r="P108" s="228">
        <v>9.9600000000000009</v>
      </c>
      <c r="Q108" s="229">
        <v>4.1700000000000001E-2</v>
      </c>
      <c r="R108" s="228">
        <v>250.2</v>
      </c>
      <c r="S108" s="228">
        <v>240.15</v>
      </c>
      <c r="T108" s="228">
        <v>10.050000000000001</v>
      </c>
      <c r="U108" s="229">
        <v>4.1799999999999997E-2</v>
      </c>
      <c r="V108" s="228">
        <v>251.64</v>
      </c>
      <c r="W108" s="228">
        <v>241.66</v>
      </c>
      <c r="X108" s="228">
        <v>9.98</v>
      </c>
      <c r="Y108" s="229">
        <v>4.1300000000000003E-2</v>
      </c>
      <c r="Z108" s="228">
        <v>0.26</v>
      </c>
      <c r="AA108" s="228">
        <v>0.45</v>
      </c>
      <c r="AB108" s="228">
        <v>-0.19</v>
      </c>
      <c r="AC108" s="229">
        <v>1E-3</v>
      </c>
      <c r="AD108" s="228">
        <v>0.26</v>
      </c>
      <c r="AE108" s="228">
        <v>0.45</v>
      </c>
      <c r="AF108" s="228">
        <v>-0.19</v>
      </c>
      <c r="AG108" s="229">
        <v>1E-3</v>
      </c>
      <c r="AH108" s="228">
        <v>1.54</v>
      </c>
      <c r="AI108" s="228">
        <v>1.64</v>
      </c>
      <c r="AJ108" s="228">
        <v>-0.1</v>
      </c>
      <c r="AK108" s="229">
        <v>6.1999999999999998E-3</v>
      </c>
      <c r="AL108" s="228">
        <v>2.98</v>
      </c>
      <c r="AM108" s="228">
        <v>3.15</v>
      </c>
      <c r="AN108" s="228">
        <v>-0.17</v>
      </c>
      <c r="AO108" s="229">
        <v>1.2E-2</v>
      </c>
      <c r="AP108" s="228">
        <v>246.66</v>
      </c>
      <c r="AQ108" s="228">
        <v>247.99</v>
      </c>
      <c r="AR108" s="228">
        <v>0</v>
      </c>
      <c r="AS108" s="230">
        <v>3129</v>
      </c>
      <c r="AT108" s="230">
        <v>1205</v>
      </c>
      <c r="AU108" s="230">
        <v>1923</v>
      </c>
      <c r="AV108" s="229">
        <v>1.5954999999999999</v>
      </c>
      <c r="AW108" s="230">
        <v>1481</v>
      </c>
      <c r="AX108" s="228">
        <v>688</v>
      </c>
      <c r="AY108" s="228">
        <v>794</v>
      </c>
      <c r="AZ108" s="229">
        <v>1.1539999999999999</v>
      </c>
      <c r="BA108" s="230">
        <v>1505</v>
      </c>
      <c r="BB108" s="228">
        <v>460</v>
      </c>
      <c r="BC108" s="230">
        <v>1045</v>
      </c>
      <c r="BD108" s="229">
        <v>2.2734999999999999</v>
      </c>
      <c r="BE108" s="228">
        <v>142</v>
      </c>
      <c r="BF108" s="228">
        <v>58</v>
      </c>
      <c r="BG108" s="228">
        <v>84</v>
      </c>
      <c r="BH108" s="229">
        <v>1.4560999999999999</v>
      </c>
      <c r="BI108" s="230">
        <v>8005</v>
      </c>
      <c r="BJ108" s="230">
        <v>3841</v>
      </c>
      <c r="BK108" s="230">
        <v>4164</v>
      </c>
      <c r="BL108" s="229">
        <v>1.0840000000000001</v>
      </c>
      <c r="BM108" s="230">
        <v>3409</v>
      </c>
      <c r="BN108" s="230">
        <v>1963</v>
      </c>
      <c r="BO108" s="230">
        <v>1447</v>
      </c>
      <c r="BP108" s="229">
        <v>0.73709999999999998</v>
      </c>
      <c r="BQ108" s="230">
        <v>14543</v>
      </c>
      <c r="BR108" s="230">
        <v>7009</v>
      </c>
      <c r="BS108" s="230">
        <v>7534</v>
      </c>
      <c r="BT108" s="229">
        <v>1.0748</v>
      </c>
      <c r="BU108" s="230">
        <v>77026260</v>
      </c>
      <c r="BV108" s="230">
        <v>41936121</v>
      </c>
      <c r="BW108" s="230">
        <v>35090139</v>
      </c>
      <c r="BX108" s="229">
        <v>0.83679999999999999</v>
      </c>
      <c r="BY108" s="230">
        <v>4804</v>
      </c>
      <c r="BZ108" s="230">
        <v>4533</v>
      </c>
      <c r="CA108" s="228">
        <v>270</v>
      </c>
      <c r="CB108" s="229">
        <v>5.9700000000000003E-2</v>
      </c>
      <c r="CC108" s="230">
        <v>2316</v>
      </c>
      <c r="CD108" s="230">
        <v>2910</v>
      </c>
      <c r="CE108" s="228">
        <v>-595</v>
      </c>
      <c r="CF108" s="229">
        <v>-0.20430000000000001</v>
      </c>
      <c r="CG108" s="230">
        <v>2140</v>
      </c>
      <c r="CH108" s="230">
        <v>1375</v>
      </c>
      <c r="CI108" s="228">
        <v>765</v>
      </c>
      <c r="CJ108" s="229">
        <v>0.55630000000000002</v>
      </c>
      <c r="CK108" s="228">
        <v>348</v>
      </c>
      <c r="CL108" s="228">
        <v>247</v>
      </c>
      <c r="CM108" s="228">
        <v>100</v>
      </c>
      <c r="CN108" s="229">
        <v>0.4042</v>
      </c>
      <c r="CO108" s="230">
        <v>1802</v>
      </c>
      <c r="CP108" s="230">
        <v>1982</v>
      </c>
      <c r="CQ108" s="228">
        <v>-181</v>
      </c>
      <c r="CR108" s="229">
        <v>-9.1200000000000003E-2</v>
      </c>
      <c r="CS108" s="230">
        <v>1283</v>
      </c>
      <c r="CT108" s="230">
        <v>1324</v>
      </c>
      <c r="CU108" s="228">
        <v>-41</v>
      </c>
      <c r="CV108" s="229">
        <v>-3.1E-2</v>
      </c>
      <c r="CW108" s="230">
        <v>7889</v>
      </c>
      <c r="CX108" s="230">
        <v>7840</v>
      </c>
      <c r="CY108" s="228">
        <v>49</v>
      </c>
      <c r="CZ108" s="229">
        <v>6.1999999999999998E-3</v>
      </c>
      <c r="DA108" s="228">
        <v>36.700000000000003</v>
      </c>
      <c r="DB108" s="228">
        <v>36.93</v>
      </c>
      <c r="DC108" s="228">
        <v>-0.23</v>
      </c>
      <c r="DD108" s="228">
        <v>-0.23</v>
      </c>
      <c r="DE108" s="228">
        <v>37.76</v>
      </c>
      <c r="DF108" s="228">
        <v>37.450000000000003</v>
      </c>
      <c r="DG108" s="228">
        <v>-1.06</v>
      </c>
      <c r="DH108" s="228">
        <v>0.31</v>
      </c>
      <c r="DI108" s="228">
        <v>36.799999999999997</v>
      </c>
      <c r="DJ108" s="228">
        <v>37.049999999999997</v>
      </c>
      <c r="DK108" s="228">
        <v>-0.25</v>
      </c>
      <c r="DL108" s="228">
        <v>-0.25</v>
      </c>
      <c r="DM108" s="228">
        <v>36.39</v>
      </c>
      <c r="DN108" s="228">
        <v>36.71</v>
      </c>
      <c r="DO108" s="228">
        <v>-0.32</v>
      </c>
      <c r="DP108" s="228">
        <v>-0.32</v>
      </c>
      <c r="DQ108" s="228">
        <v>0.71</v>
      </c>
      <c r="DR108" s="228">
        <v>0.67</v>
      </c>
      <c r="DS108" s="228">
        <v>0.04</v>
      </c>
      <c r="DT108" s="229">
        <v>5.9700000000000003E-2</v>
      </c>
      <c r="DU108" s="228">
        <v>250</v>
      </c>
      <c r="DV108" s="228">
        <v>240</v>
      </c>
      <c r="DW108" s="228">
        <v>0.43</v>
      </c>
      <c r="DX108" s="228">
        <v>0.51</v>
      </c>
      <c r="DY108" s="228">
        <v>-0.08</v>
      </c>
      <c r="DZ108" s="229">
        <v>-0.15690000000000001</v>
      </c>
      <c r="EA108" s="229">
        <v>0.51790000000000003</v>
      </c>
      <c r="EB108" s="230">
        <v>65196050</v>
      </c>
      <c r="EC108" s="229">
        <v>5.1000000000000004E-3</v>
      </c>
      <c r="ED108" s="229">
        <v>0.51790000000000003</v>
      </c>
      <c r="EE108" s="228">
        <v>1.33</v>
      </c>
      <c r="EF108" s="229">
        <v>5.4000000000000003E-3</v>
      </c>
      <c r="EG108" s="230">
        <v>25614662</v>
      </c>
      <c r="EH108" s="230">
        <v>20144008</v>
      </c>
      <c r="EI108" s="229">
        <v>0.27160000000000001</v>
      </c>
      <c r="EJ108" s="229">
        <v>0.33250000000000002</v>
      </c>
      <c r="EK108" s="231">
        <v>8264.42</v>
      </c>
      <c r="EL108" s="231">
        <v>3307.32</v>
      </c>
      <c r="EM108" s="231">
        <v>3111.34</v>
      </c>
      <c r="EN108" s="228">
        <v>163.77000000000001</v>
      </c>
      <c r="EO108" s="231">
        <v>14683.08</v>
      </c>
      <c r="EP108" s="231">
        <v>6860.75</v>
      </c>
      <c r="EQ108" s="231">
        <v>7822.33</v>
      </c>
      <c r="ER108" s="229">
        <v>1.1402000000000001</v>
      </c>
      <c r="ES108" s="231">
        <v>1855.43</v>
      </c>
      <c r="ET108" s="231">
        <v>1251.04</v>
      </c>
      <c r="EU108" s="231">
        <v>4818.57</v>
      </c>
      <c r="EV108" s="231">
        <v>490240515</v>
      </c>
      <c r="EW108" s="231">
        <v>7925.04</v>
      </c>
      <c r="EX108" s="231">
        <v>7658.48</v>
      </c>
      <c r="EY108" s="228">
        <v>266.56</v>
      </c>
      <c r="EZ108" s="229">
        <v>3.4799999999999998E-2</v>
      </c>
      <c r="FA108" s="229">
        <v>0.64649999999999996</v>
      </c>
      <c r="FB108" s="227" t="s">
        <v>555</v>
      </c>
      <c r="FC108">
        <f t="shared" si="1"/>
        <v>2488</v>
      </c>
    </row>
    <row r="109" spans="1:159" ht="17.25" thickBot="1" x14ac:dyDescent="0.3">
      <c r="A109" s="226">
        <v>46135</v>
      </c>
      <c r="B109" s="227" t="s">
        <v>161</v>
      </c>
      <c r="C109" s="227" t="s">
        <v>579</v>
      </c>
      <c r="D109" s="228">
        <v>1000</v>
      </c>
      <c r="E109" s="228">
        <v>5</v>
      </c>
      <c r="F109" s="228">
        <v>560.4</v>
      </c>
      <c r="G109" s="228">
        <v>560.35</v>
      </c>
      <c r="H109" s="228">
        <v>0.05</v>
      </c>
      <c r="I109" s="229">
        <v>1E-4</v>
      </c>
      <c r="J109" s="228">
        <v>561.4</v>
      </c>
      <c r="K109" s="228">
        <v>560.54999999999995</v>
      </c>
      <c r="L109" s="228">
        <v>0.85</v>
      </c>
      <c r="M109" s="229">
        <v>1.5E-3</v>
      </c>
      <c r="N109" s="228">
        <v>560.4</v>
      </c>
      <c r="O109" s="228">
        <v>560.35</v>
      </c>
      <c r="P109" s="228">
        <v>0.05</v>
      </c>
      <c r="Q109" s="229">
        <v>1E-4</v>
      </c>
      <c r="R109" s="228">
        <v>562.1</v>
      </c>
      <c r="S109" s="228">
        <v>563.6</v>
      </c>
      <c r="T109" s="228">
        <v>-1.5</v>
      </c>
      <c r="U109" s="229">
        <v>-2.7000000000000001E-3</v>
      </c>
      <c r="V109" s="228">
        <v>563.4</v>
      </c>
      <c r="W109" s="228">
        <v>563.6</v>
      </c>
      <c r="X109" s="228">
        <v>-0.2</v>
      </c>
      <c r="Y109" s="229">
        <v>-4.0000000000000002E-4</v>
      </c>
      <c r="Z109" s="228">
        <v>-1</v>
      </c>
      <c r="AA109" s="228">
        <v>-0.2</v>
      </c>
      <c r="AB109" s="228">
        <v>-0.8</v>
      </c>
      <c r="AC109" s="229">
        <v>-1.8E-3</v>
      </c>
      <c r="AD109" s="228">
        <v>-1</v>
      </c>
      <c r="AE109" s="228">
        <v>-0.2</v>
      </c>
      <c r="AF109" s="228">
        <v>-0.8</v>
      </c>
      <c r="AG109" s="229">
        <v>-1.8E-3</v>
      </c>
      <c r="AH109" s="228">
        <v>0.7</v>
      </c>
      <c r="AI109" s="228">
        <v>3.05</v>
      </c>
      <c r="AJ109" s="228">
        <v>-2.35</v>
      </c>
      <c r="AK109" s="229">
        <v>1.1999999999999999E-3</v>
      </c>
      <c r="AL109" s="228">
        <v>2</v>
      </c>
      <c r="AM109" s="228">
        <v>3.05</v>
      </c>
      <c r="AN109" s="228">
        <v>-1.05</v>
      </c>
      <c r="AO109" s="229">
        <v>3.5999999999999999E-3</v>
      </c>
      <c r="AP109" s="228">
        <v>562.29</v>
      </c>
      <c r="AQ109" s="228">
        <v>563.14</v>
      </c>
      <c r="AR109" s="228">
        <v>0</v>
      </c>
      <c r="AS109" s="230">
        <v>1142</v>
      </c>
      <c r="AT109" s="228">
        <v>847</v>
      </c>
      <c r="AU109" s="228">
        <v>295</v>
      </c>
      <c r="AV109" s="229">
        <v>0.3483</v>
      </c>
      <c r="AW109" s="228">
        <v>591</v>
      </c>
      <c r="AX109" s="228">
        <v>482</v>
      </c>
      <c r="AY109" s="228">
        <v>109</v>
      </c>
      <c r="AZ109" s="229">
        <v>0.22600000000000001</v>
      </c>
      <c r="BA109" s="228">
        <v>543</v>
      </c>
      <c r="BB109" s="228">
        <v>364</v>
      </c>
      <c r="BC109" s="228">
        <v>180</v>
      </c>
      <c r="BD109" s="229">
        <v>0.495</v>
      </c>
      <c r="BE109" s="228">
        <v>7</v>
      </c>
      <c r="BF109" s="228">
        <v>1</v>
      </c>
      <c r="BG109" s="228">
        <v>6</v>
      </c>
      <c r="BH109" s="229">
        <v>5.1905000000000001</v>
      </c>
      <c r="BI109" s="228">
        <v>739</v>
      </c>
      <c r="BJ109" s="230">
        <v>1207</v>
      </c>
      <c r="BK109" s="228">
        <v>-468</v>
      </c>
      <c r="BL109" s="229">
        <v>-0.3876</v>
      </c>
      <c r="BM109" s="228">
        <v>241</v>
      </c>
      <c r="BN109" s="228">
        <v>373</v>
      </c>
      <c r="BO109" s="228">
        <v>-132</v>
      </c>
      <c r="BP109" s="229">
        <v>-0.35310000000000002</v>
      </c>
      <c r="BQ109" s="230">
        <v>2123</v>
      </c>
      <c r="BR109" s="230">
        <v>2427</v>
      </c>
      <c r="BS109" s="228">
        <v>-305</v>
      </c>
      <c r="BT109" s="229">
        <v>-0.1255</v>
      </c>
      <c r="BU109" s="230">
        <v>4462027</v>
      </c>
      <c r="BV109" s="230">
        <v>4349530</v>
      </c>
      <c r="BW109" s="230">
        <v>112497</v>
      </c>
      <c r="BX109" s="229">
        <v>2.5899999999999999E-2</v>
      </c>
      <c r="BY109" s="230">
        <v>1466</v>
      </c>
      <c r="BZ109" s="230">
        <v>1516</v>
      </c>
      <c r="CA109" s="228">
        <v>-50</v>
      </c>
      <c r="CB109" s="229">
        <v>-3.3000000000000002E-2</v>
      </c>
      <c r="CC109" s="228">
        <v>765</v>
      </c>
      <c r="CD109" s="230">
        <v>1121</v>
      </c>
      <c r="CE109" s="228">
        <v>-356</v>
      </c>
      <c r="CF109" s="229">
        <v>-0.31740000000000002</v>
      </c>
      <c r="CG109" s="228">
        <v>693</v>
      </c>
      <c r="CH109" s="228">
        <v>392</v>
      </c>
      <c r="CI109" s="228">
        <v>301</v>
      </c>
      <c r="CJ109" s="229">
        <v>0.76949999999999996</v>
      </c>
      <c r="CK109" s="228">
        <v>7</v>
      </c>
      <c r="CL109" s="228">
        <v>3</v>
      </c>
      <c r="CM109" s="228">
        <v>4</v>
      </c>
      <c r="CN109" s="229">
        <v>1.7020999999999999</v>
      </c>
      <c r="CO109" s="228">
        <v>449</v>
      </c>
      <c r="CP109" s="228">
        <v>459</v>
      </c>
      <c r="CQ109" s="228">
        <v>-9</v>
      </c>
      <c r="CR109" s="229">
        <v>-2.0500000000000001E-2</v>
      </c>
      <c r="CS109" s="228">
        <v>339</v>
      </c>
      <c r="CT109" s="228">
        <v>322</v>
      </c>
      <c r="CU109" s="228">
        <v>17</v>
      </c>
      <c r="CV109" s="229">
        <v>5.1299999999999998E-2</v>
      </c>
      <c r="CW109" s="230">
        <v>2254</v>
      </c>
      <c r="CX109" s="230">
        <v>2297</v>
      </c>
      <c r="CY109" s="228">
        <v>-43</v>
      </c>
      <c r="CZ109" s="229">
        <v>-1.8700000000000001E-2</v>
      </c>
      <c r="DA109" s="228">
        <v>37.729999999999997</v>
      </c>
      <c r="DB109" s="228">
        <v>33.409999999999997</v>
      </c>
      <c r="DC109" s="228">
        <v>4.32</v>
      </c>
      <c r="DD109" s="228">
        <v>4.32</v>
      </c>
      <c r="DE109" s="228">
        <v>42.63</v>
      </c>
      <c r="DF109" s="228">
        <v>42.74</v>
      </c>
      <c r="DG109" s="228">
        <v>-4.9000000000000004</v>
      </c>
      <c r="DH109" s="228">
        <v>-0.11</v>
      </c>
      <c r="DI109" s="228">
        <v>37.29</v>
      </c>
      <c r="DJ109" s="228">
        <v>32.99</v>
      </c>
      <c r="DK109" s="228">
        <v>4.3</v>
      </c>
      <c r="DL109" s="228">
        <v>4.3</v>
      </c>
      <c r="DM109" s="228">
        <v>38.93</v>
      </c>
      <c r="DN109" s="228">
        <v>34.770000000000003</v>
      </c>
      <c r="DO109" s="228">
        <v>4.16</v>
      </c>
      <c r="DP109" s="228">
        <v>4.16</v>
      </c>
      <c r="DQ109" s="228">
        <v>0.75</v>
      </c>
      <c r="DR109" s="228">
        <v>0.7</v>
      </c>
      <c r="DS109" s="228">
        <v>0.05</v>
      </c>
      <c r="DT109" s="229">
        <v>7.1400000000000005E-2</v>
      </c>
      <c r="DU109" s="228">
        <v>530</v>
      </c>
      <c r="DV109" s="228">
        <v>530</v>
      </c>
      <c r="DW109" s="228">
        <v>0.33</v>
      </c>
      <c r="DX109" s="228">
        <v>0.31</v>
      </c>
      <c r="DY109" s="228">
        <v>0.02</v>
      </c>
      <c r="DZ109" s="229">
        <v>6.4500000000000002E-2</v>
      </c>
      <c r="EA109" s="229">
        <v>0.4778</v>
      </c>
      <c r="EB109" s="230">
        <v>7039000</v>
      </c>
      <c r="EC109" s="229">
        <v>3.0000000000000001E-3</v>
      </c>
      <c r="ED109" s="229">
        <v>0.4778</v>
      </c>
      <c r="EE109" s="228">
        <v>0.85</v>
      </c>
      <c r="EF109" s="229">
        <v>1.5E-3</v>
      </c>
      <c r="EG109" s="230">
        <v>2071245</v>
      </c>
      <c r="EH109" s="230">
        <v>1908705</v>
      </c>
      <c r="EI109" s="229">
        <v>8.5199999999999998E-2</v>
      </c>
      <c r="EJ109" s="229">
        <v>0.4642</v>
      </c>
      <c r="EK109" s="228">
        <v>764.65</v>
      </c>
      <c r="EL109" s="228">
        <v>236.08</v>
      </c>
      <c r="EM109" s="231">
        <v>1146.82</v>
      </c>
      <c r="EN109" s="228">
        <v>68.44</v>
      </c>
      <c r="EO109" s="231">
        <v>2147.54</v>
      </c>
      <c r="EP109" s="231">
        <v>2437.96</v>
      </c>
      <c r="EQ109" s="228">
        <v>-290.42</v>
      </c>
      <c r="ER109" s="229">
        <v>-0.1191</v>
      </c>
      <c r="ES109" s="228">
        <v>438.2</v>
      </c>
      <c r="ET109" s="228">
        <v>312.39</v>
      </c>
      <c r="EU109" s="231">
        <v>1468.04</v>
      </c>
      <c r="EV109" s="231">
        <v>75294901</v>
      </c>
      <c r="EW109" s="231">
        <v>2218.62</v>
      </c>
      <c r="EX109" s="231">
        <v>2258.06</v>
      </c>
      <c r="EY109" s="228">
        <v>-39.44</v>
      </c>
      <c r="EZ109" s="229">
        <v>-1.7500000000000002E-2</v>
      </c>
      <c r="FA109" s="229">
        <v>0.53420000000000001</v>
      </c>
      <c r="FB109" s="227" t="s">
        <v>693</v>
      </c>
      <c r="FC109">
        <f t="shared" si="1"/>
        <v>701</v>
      </c>
    </row>
    <row r="110" spans="1:159" ht="17.25" thickBot="1" x14ac:dyDescent="0.3">
      <c r="A110" s="226">
        <v>46135</v>
      </c>
      <c r="B110" s="227" t="s">
        <v>227</v>
      </c>
      <c r="C110" s="227" t="s">
        <v>244</v>
      </c>
      <c r="D110" s="228">
        <v>675</v>
      </c>
      <c r="E110" s="228">
        <v>5</v>
      </c>
      <c r="F110" s="231">
        <v>1254.9000000000001</v>
      </c>
      <c r="G110" s="231">
        <v>1265.4000000000001</v>
      </c>
      <c r="H110" s="228">
        <v>-10.5</v>
      </c>
      <c r="I110" s="229">
        <v>-8.3000000000000001E-3</v>
      </c>
      <c r="J110" s="231">
        <v>1257</v>
      </c>
      <c r="K110" s="231">
        <v>1263.4000000000001</v>
      </c>
      <c r="L110" s="228">
        <v>-6.4</v>
      </c>
      <c r="M110" s="229">
        <v>-5.1000000000000004E-3</v>
      </c>
      <c r="N110" s="231">
        <v>1254.9000000000001</v>
      </c>
      <c r="O110" s="231">
        <v>1265.4000000000001</v>
      </c>
      <c r="P110" s="228">
        <v>-10.5</v>
      </c>
      <c r="Q110" s="229">
        <v>-8.3000000000000001E-3</v>
      </c>
      <c r="R110" s="231">
        <v>1262</v>
      </c>
      <c r="S110" s="231">
        <v>1272.0999999999999</v>
      </c>
      <c r="T110" s="228">
        <v>-10.1</v>
      </c>
      <c r="U110" s="229">
        <v>-7.9000000000000008E-3</v>
      </c>
      <c r="V110" s="231">
        <v>1271.7</v>
      </c>
      <c r="W110" s="231">
        <v>1280.4000000000001</v>
      </c>
      <c r="X110" s="228">
        <v>-8.6999999999999993</v>
      </c>
      <c r="Y110" s="229">
        <v>-6.7999999999999996E-3</v>
      </c>
      <c r="Z110" s="228">
        <v>-2.1</v>
      </c>
      <c r="AA110" s="228">
        <v>2</v>
      </c>
      <c r="AB110" s="228">
        <v>-4.0999999999999996</v>
      </c>
      <c r="AC110" s="229">
        <v>-1.6999999999999999E-3</v>
      </c>
      <c r="AD110" s="228">
        <v>-2.1</v>
      </c>
      <c r="AE110" s="228">
        <v>2</v>
      </c>
      <c r="AF110" s="228">
        <v>-4.0999999999999996</v>
      </c>
      <c r="AG110" s="229">
        <v>-1.6999999999999999E-3</v>
      </c>
      <c r="AH110" s="228">
        <v>5</v>
      </c>
      <c r="AI110" s="228">
        <v>8.6999999999999993</v>
      </c>
      <c r="AJ110" s="228">
        <v>-3.7</v>
      </c>
      <c r="AK110" s="229">
        <v>4.0000000000000001E-3</v>
      </c>
      <c r="AL110" s="228">
        <v>14.7</v>
      </c>
      <c r="AM110" s="228">
        <v>17</v>
      </c>
      <c r="AN110" s="228">
        <v>-2.2999999999999998</v>
      </c>
      <c r="AO110" s="229">
        <v>1.17E-2</v>
      </c>
      <c r="AP110" s="231">
        <v>1257.45</v>
      </c>
      <c r="AQ110" s="231">
        <v>1264.49</v>
      </c>
      <c r="AR110" s="228">
        <v>0</v>
      </c>
      <c r="AS110" s="230">
        <v>3280</v>
      </c>
      <c r="AT110" s="228">
        <v>980</v>
      </c>
      <c r="AU110" s="230">
        <v>2300</v>
      </c>
      <c r="AV110" s="229">
        <v>2.3473999999999999</v>
      </c>
      <c r="AW110" s="230">
        <v>1702</v>
      </c>
      <c r="AX110" s="228">
        <v>590</v>
      </c>
      <c r="AY110" s="230">
        <v>1112</v>
      </c>
      <c r="AZ110" s="229">
        <v>1.8835999999999999</v>
      </c>
      <c r="BA110" s="230">
        <v>1569</v>
      </c>
      <c r="BB110" s="228">
        <v>319</v>
      </c>
      <c r="BC110" s="230">
        <v>1251</v>
      </c>
      <c r="BD110" s="229">
        <v>3.9249999999999998</v>
      </c>
      <c r="BE110" s="228">
        <v>9</v>
      </c>
      <c r="BF110" s="228">
        <v>71</v>
      </c>
      <c r="BG110" s="228">
        <v>-62</v>
      </c>
      <c r="BH110" s="229">
        <v>-0.87829999999999997</v>
      </c>
      <c r="BI110" s="230">
        <v>1022</v>
      </c>
      <c r="BJ110" s="230">
        <v>1317</v>
      </c>
      <c r="BK110" s="228">
        <v>-295</v>
      </c>
      <c r="BL110" s="229">
        <v>-0.2243</v>
      </c>
      <c r="BM110" s="228">
        <v>493</v>
      </c>
      <c r="BN110" s="228">
        <v>876</v>
      </c>
      <c r="BO110" s="228">
        <v>-383</v>
      </c>
      <c r="BP110" s="229">
        <v>-0.4375</v>
      </c>
      <c r="BQ110" s="230">
        <v>4795</v>
      </c>
      <c r="BR110" s="230">
        <v>3173</v>
      </c>
      <c r="BS110" s="230">
        <v>1622</v>
      </c>
      <c r="BT110" s="229">
        <v>0.5111</v>
      </c>
      <c r="BU110" s="230">
        <v>1743929</v>
      </c>
      <c r="BV110" s="230">
        <v>2982876</v>
      </c>
      <c r="BW110" s="230">
        <v>-1238947</v>
      </c>
      <c r="BX110" s="229">
        <v>-0.41539999999999999</v>
      </c>
      <c r="BY110" s="230">
        <v>6253</v>
      </c>
      <c r="BZ110" s="230">
        <v>6255</v>
      </c>
      <c r="CA110" s="228">
        <v>-1</v>
      </c>
      <c r="CB110" s="229">
        <v>-2.0000000000000001E-4</v>
      </c>
      <c r="CC110" s="230">
        <v>2897</v>
      </c>
      <c r="CD110" s="230">
        <v>4350</v>
      </c>
      <c r="CE110" s="230">
        <v>-1453</v>
      </c>
      <c r="CF110" s="229">
        <v>-0.33410000000000001</v>
      </c>
      <c r="CG110" s="230">
        <v>3266</v>
      </c>
      <c r="CH110" s="230">
        <v>1820</v>
      </c>
      <c r="CI110" s="230">
        <v>1446</v>
      </c>
      <c r="CJ110" s="229">
        <v>0.79469999999999996</v>
      </c>
      <c r="CK110" s="228">
        <v>91</v>
      </c>
      <c r="CL110" s="228">
        <v>85</v>
      </c>
      <c r="CM110" s="228">
        <v>6</v>
      </c>
      <c r="CN110" s="229">
        <v>6.9699999999999998E-2</v>
      </c>
      <c r="CO110" s="228">
        <v>851</v>
      </c>
      <c r="CP110" s="228">
        <v>860</v>
      </c>
      <c r="CQ110" s="228">
        <v>-9</v>
      </c>
      <c r="CR110" s="229">
        <v>-1.09E-2</v>
      </c>
      <c r="CS110" s="228">
        <v>756</v>
      </c>
      <c r="CT110" s="228">
        <v>771</v>
      </c>
      <c r="CU110" s="228">
        <v>-15</v>
      </c>
      <c r="CV110" s="229">
        <v>-1.9800000000000002E-2</v>
      </c>
      <c r="CW110" s="230">
        <v>7860</v>
      </c>
      <c r="CX110" s="230">
        <v>7886</v>
      </c>
      <c r="CY110" s="228">
        <v>-26</v>
      </c>
      <c r="CZ110" s="229">
        <v>-3.3E-3</v>
      </c>
      <c r="DA110" s="228">
        <v>29.04</v>
      </c>
      <c r="DB110" s="228">
        <v>26.44</v>
      </c>
      <c r="DC110" s="228">
        <v>2.6</v>
      </c>
      <c r="DD110" s="228">
        <v>2.6</v>
      </c>
      <c r="DE110" s="228">
        <v>32.01</v>
      </c>
      <c r="DF110" s="228">
        <v>32.07</v>
      </c>
      <c r="DG110" s="228">
        <v>-2.97</v>
      </c>
      <c r="DH110" s="228">
        <v>-0.06</v>
      </c>
      <c r="DI110" s="228">
        <v>28.77</v>
      </c>
      <c r="DJ110" s="228">
        <v>25.95</v>
      </c>
      <c r="DK110" s="228">
        <v>2.82</v>
      </c>
      <c r="DL110" s="228">
        <v>2.82</v>
      </c>
      <c r="DM110" s="228">
        <v>29.54</v>
      </c>
      <c r="DN110" s="228">
        <v>27.17</v>
      </c>
      <c r="DO110" s="228">
        <v>2.37</v>
      </c>
      <c r="DP110" s="228">
        <v>2.37</v>
      </c>
      <c r="DQ110" s="228">
        <v>0.89</v>
      </c>
      <c r="DR110" s="228">
        <v>0.9</v>
      </c>
      <c r="DS110" s="228">
        <v>-0.01</v>
      </c>
      <c r="DT110" s="229">
        <v>-1.11E-2</v>
      </c>
      <c r="DU110" s="231">
        <v>1300</v>
      </c>
      <c r="DV110" s="231">
        <v>1260</v>
      </c>
      <c r="DW110" s="228">
        <v>0.48</v>
      </c>
      <c r="DX110" s="228">
        <v>0.67</v>
      </c>
      <c r="DY110" s="228">
        <v>-0.19</v>
      </c>
      <c r="DZ110" s="229">
        <v>-0.28360000000000002</v>
      </c>
      <c r="EA110" s="229">
        <v>0.53680000000000005</v>
      </c>
      <c r="EB110" s="230">
        <v>15178725</v>
      </c>
      <c r="EC110" s="229">
        <v>5.7000000000000002E-3</v>
      </c>
      <c r="ED110" s="229">
        <v>0.53680000000000005</v>
      </c>
      <c r="EE110" s="228">
        <v>7.04</v>
      </c>
      <c r="EF110" s="229">
        <v>5.5999999999999999E-3</v>
      </c>
      <c r="EG110" s="230">
        <v>818351</v>
      </c>
      <c r="EH110" s="230">
        <v>1786738</v>
      </c>
      <c r="EI110" s="229">
        <v>-0.54200000000000004</v>
      </c>
      <c r="EJ110" s="229">
        <v>0.46929999999999999</v>
      </c>
      <c r="EK110" s="231">
        <v>1052.7</v>
      </c>
      <c r="EL110" s="228">
        <v>486.13</v>
      </c>
      <c r="EM110" s="231">
        <v>3295.9</v>
      </c>
      <c r="EN110" s="228">
        <v>111.03</v>
      </c>
      <c r="EO110" s="231">
        <v>4834.7299999999996</v>
      </c>
      <c r="EP110" s="231">
        <v>3241.84</v>
      </c>
      <c r="EQ110" s="231">
        <v>1592.89</v>
      </c>
      <c r="ER110" s="229">
        <v>0.4914</v>
      </c>
      <c r="ES110" s="228">
        <v>854.3</v>
      </c>
      <c r="ET110" s="228">
        <v>698.66</v>
      </c>
      <c r="EU110" s="231">
        <v>6273.18</v>
      </c>
      <c r="EV110" s="231">
        <v>133242960</v>
      </c>
      <c r="EW110" s="231">
        <v>7826.14</v>
      </c>
      <c r="EX110" s="231">
        <v>7895.51</v>
      </c>
      <c r="EY110" s="228">
        <v>-69.37</v>
      </c>
      <c r="EZ110" s="229">
        <v>-8.8000000000000005E-3</v>
      </c>
      <c r="FA110" s="229">
        <v>0.47010000000000002</v>
      </c>
      <c r="FB110" s="227" t="s">
        <v>567</v>
      </c>
      <c r="FC110">
        <f t="shared" si="1"/>
        <v>3356</v>
      </c>
    </row>
    <row r="111" spans="1:159" ht="17.25" thickBot="1" x14ac:dyDescent="0.3">
      <c r="A111" s="226">
        <v>46135</v>
      </c>
      <c r="B111" s="227" t="s">
        <v>168</v>
      </c>
      <c r="C111" s="227" t="s">
        <v>245</v>
      </c>
      <c r="D111" s="228">
        <v>1250</v>
      </c>
      <c r="E111" s="228">
        <v>5</v>
      </c>
      <c r="F111" s="228">
        <v>491</v>
      </c>
      <c r="G111" s="228">
        <v>489.6</v>
      </c>
      <c r="H111" s="228">
        <v>1.4</v>
      </c>
      <c r="I111" s="229">
        <v>2.8999999999999998E-3</v>
      </c>
      <c r="J111" s="228">
        <v>492.85</v>
      </c>
      <c r="K111" s="228">
        <v>493.1</v>
      </c>
      <c r="L111" s="228">
        <v>-0.25</v>
      </c>
      <c r="M111" s="229">
        <v>-5.0000000000000001E-4</v>
      </c>
      <c r="N111" s="228">
        <v>491</v>
      </c>
      <c r="O111" s="228">
        <v>489.6</v>
      </c>
      <c r="P111" s="228">
        <v>1.4</v>
      </c>
      <c r="Q111" s="229">
        <v>2.8999999999999998E-3</v>
      </c>
      <c r="R111" s="228">
        <v>477.7</v>
      </c>
      <c r="S111" s="228">
        <v>476.4</v>
      </c>
      <c r="T111" s="228">
        <v>1.3</v>
      </c>
      <c r="U111" s="229">
        <v>2.7000000000000001E-3</v>
      </c>
      <c r="V111" s="228">
        <v>467.7</v>
      </c>
      <c r="W111" s="228">
        <v>465.6</v>
      </c>
      <c r="X111" s="228">
        <v>2.1</v>
      </c>
      <c r="Y111" s="229">
        <v>4.4999999999999997E-3</v>
      </c>
      <c r="Z111" s="228">
        <v>-1.85</v>
      </c>
      <c r="AA111" s="228">
        <v>-3.5</v>
      </c>
      <c r="AB111" s="228">
        <v>1.65</v>
      </c>
      <c r="AC111" s="229">
        <v>-3.8E-3</v>
      </c>
      <c r="AD111" s="228">
        <v>-1.85</v>
      </c>
      <c r="AE111" s="228">
        <v>-3.5</v>
      </c>
      <c r="AF111" s="228">
        <v>1.65</v>
      </c>
      <c r="AG111" s="229">
        <v>-3.8E-3</v>
      </c>
      <c r="AH111" s="228">
        <v>-15.15</v>
      </c>
      <c r="AI111" s="228">
        <v>-16.7</v>
      </c>
      <c r="AJ111" s="228">
        <v>1.55</v>
      </c>
      <c r="AK111" s="229">
        <v>-3.0700000000000002E-2</v>
      </c>
      <c r="AL111" s="228">
        <v>-25.15</v>
      </c>
      <c r="AM111" s="228">
        <v>-27.5</v>
      </c>
      <c r="AN111" s="228">
        <v>2.35</v>
      </c>
      <c r="AO111" s="229">
        <v>-5.0999999999999997E-2</v>
      </c>
      <c r="AP111" s="228">
        <v>490.95</v>
      </c>
      <c r="AQ111" s="228">
        <v>476.62</v>
      </c>
      <c r="AR111" s="228">
        <v>0</v>
      </c>
      <c r="AS111" s="230">
        <v>1650</v>
      </c>
      <c r="AT111" s="228">
        <v>719</v>
      </c>
      <c r="AU111" s="228">
        <v>930</v>
      </c>
      <c r="AV111" s="229">
        <v>1.2930999999999999</v>
      </c>
      <c r="AW111" s="228">
        <v>841</v>
      </c>
      <c r="AX111" s="228">
        <v>414</v>
      </c>
      <c r="AY111" s="228">
        <v>427</v>
      </c>
      <c r="AZ111" s="229">
        <v>1.0317000000000001</v>
      </c>
      <c r="BA111" s="228">
        <v>802</v>
      </c>
      <c r="BB111" s="228">
        <v>286</v>
      </c>
      <c r="BC111" s="228">
        <v>516</v>
      </c>
      <c r="BD111" s="229">
        <v>1.8066</v>
      </c>
      <c r="BE111" s="228">
        <v>7</v>
      </c>
      <c r="BF111" s="228">
        <v>20</v>
      </c>
      <c r="BG111" s="228">
        <v>-13</v>
      </c>
      <c r="BH111" s="229">
        <v>-0.6573</v>
      </c>
      <c r="BI111" s="230">
        <v>1130</v>
      </c>
      <c r="BJ111" s="230">
        <v>2113</v>
      </c>
      <c r="BK111" s="228">
        <v>-983</v>
      </c>
      <c r="BL111" s="229">
        <v>-0.46529999999999999</v>
      </c>
      <c r="BM111" s="228">
        <v>521</v>
      </c>
      <c r="BN111" s="228">
        <v>950</v>
      </c>
      <c r="BO111" s="228">
        <v>-429</v>
      </c>
      <c r="BP111" s="229">
        <v>-0.45200000000000001</v>
      </c>
      <c r="BQ111" s="230">
        <v>3300</v>
      </c>
      <c r="BR111" s="230">
        <v>3782</v>
      </c>
      <c r="BS111" s="228">
        <v>-482</v>
      </c>
      <c r="BT111" s="229">
        <v>-0.12759999999999999</v>
      </c>
      <c r="BU111" s="230">
        <v>2720864</v>
      </c>
      <c r="BV111" s="230">
        <v>4873889</v>
      </c>
      <c r="BW111" s="230">
        <v>-2153025</v>
      </c>
      <c r="BX111" s="229">
        <v>-0.44169999999999998</v>
      </c>
      <c r="BY111" s="230">
        <v>2462</v>
      </c>
      <c r="BZ111" s="230">
        <v>2697</v>
      </c>
      <c r="CA111" s="228">
        <v>-235</v>
      </c>
      <c r="CB111" s="229">
        <v>-8.72E-2</v>
      </c>
      <c r="CC111" s="230">
        <v>1250</v>
      </c>
      <c r="CD111" s="230">
        <v>1778</v>
      </c>
      <c r="CE111" s="228">
        <v>-528</v>
      </c>
      <c r="CF111" s="229">
        <v>-0.29709999999999998</v>
      </c>
      <c r="CG111" s="230">
        <v>1174</v>
      </c>
      <c r="CH111" s="228">
        <v>881</v>
      </c>
      <c r="CI111" s="228">
        <v>293</v>
      </c>
      <c r="CJ111" s="229">
        <v>0.33300000000000002</v>
      </c>
      <c r="CK111" s="228">
        <v>38</v>
      </c>
      <c r="CL111" s="228">
        <v>38</v>
      </c>
      <c r="CM111" s="228">
        <v>0</v>
      </c>
      <c r="CN111" s="229">
        <v>-9.5999999999999992E-3</v>
      </c>
      <c r="CO111" s="228">
        <v>653</v>
      </c>
      <c r="CP111" s="228">
        <v>669</v>
      </c>
      <c r="CQ111" s="228">
        <v>-16</v>
      </c>
      <c r="CR111" s="229">
        <v>-2.3800000000000002E-2</v>
      </c>
      <c r="CS111" s="228">
        <v>563</v>
      </c>
      <c r="CT111" s="228">
        <v>581</v>
      </c>
      <c r="CU111" s="228">
        <v>-19</v>
      </c>
      <c r="CV111" s="229">
        <v>-3.2300000000000002E-2</v>
      </c>
      <c r="CW111" s="230">
        <v>3678</v>
      </c>
      <c r="CX111" s="230">
        <v>3948</v>
      </c>
      <c r="CY111" s="228">
        <v>-270</v>
      </c>
      <c r="CZ111" s="229">
        <v>-6.8400000000000002E-2</v>
      </c>
      <c r="DA111" s="228">
        <v>38.97</v>
      </c>
      <c r="DB111" s="228">
        <v>35.9</v>
      </c>
      <c r="DC111" s="228">
        <v>3.07</v>
      </c>
      <c r="DD111" s="228">
        <v>3.07</v>
      </c>
      <c r="DE111" s="228">
        <v>38.479999999999997</v>
      </c>
      <c r="DF111" s="228">
        <v>38.57</v>
      </c>
      <c r="DG111" s="228">
        <v>0.49</v>
      </c>
      <c r="DH111" s="228">
        <v>-0.09</v>
      </c>
      <c r="DI111" s="228">
        <v>38.799999999999997</v>
      </c>
      <c r="DJ111" s="228">
        <v>34.31</v>
      </c>
      <c r="DK111" s="228">
        <v>4.49</v>
      </c>
      <c r="DL111" s="228">
        <v>4.49</v>
      </c>
      <c r="DM111" s="228">
        <v>39.6</v>
      </c>
      <c r="DN111" s="228">
        <v>39.450000000000003</v>
      </c>
      <c r="DO111" s="228">
        <v>0.15</v>
      </c>
      <c r="DP111" s="228">
        <v>0.15</v>
      </c>
      <c r="DQ111" s="228">
        <v>0.86</v>
      </c>
      <c r="DR111" s="228">
        <v>0.87</v>
      </c>
      <c r="DS111" s="228">
        <v>-0.01</v>
      </c>
      <c r="DT111" s="229">
        <v>-1.15E-2</v>
      </c>
      <c r="DU111" s="228">
        <v>500</v>
      </c>
      <c r="DV111" s="228">
        <v>400</v>
      </c>
      <c r="DW111" s="228">
        <v>0.46</v>
      </c>
      <c r="DX111" s="228">
        <v>0.45</v>
      </c>
      <c r="DY111" s="228">
        <v>0.01</v>
      </c>
      <c r="DZ111" s="229">
        <v>2.2200000000000001E-2</v>
      </c>
      <c r="EA111" s="229">
        <v>0.49230000000000002</v>
      </c>
      <c r="EB111" s="230">
        <v>18721250</v>
      </c>
      <c r="EC111" s="229">
        <v>-2.7099999999999999E-2</v>
      </c>
      <c r="ED111" s="229">
        <v>0.49230000000000002</v>
      </c>
      <c r="EE111" s="228">
        <v>-14.33</v>
      </c>
      <c r="EF111" s="229">
        <v>-2.92E-2</v>
      </c>
      <c r="EG111" s="230">
        <v>1025872</v>
      </c>
      <c r="EH111" s="230">
        <v>1986356</v>
      </c>
      <c r="EI111" s="229">
        <v>-0.48349999999999999</v>
      </c>
      <c r="EJ111" s="229">
        <v>0.377</v>
      </c>
      <c r="EK111" s="231">
        <v>1164.32</v>
      </c>
      <c r="EL111" s="228">
        <v>507</v>
      </c>
      <c r="EM111" s="231">
        <v>1625.76</v>
      </c>
      <c r="EN111" s="228">
        <v>81.45</v>
      </c>
      <c r="EO111" s="231">
        <v>3297.08</v>
      </c>
      <c r="EP111" s="231">
        <v>3748.82</v>
      </c>
      <c r="EQ111" s="228">
        <v>-451.74</v>
      </c>
      <c r="ER111" s="229">
        <v>-0.1205</v>
      </c>
      <c r="ES111" s="228">
        <v>632.27</v>
      </c>
      <c r="ET111" s="228">
        <v>512.04999999999995</v>
      </c>
      <c r="EU111" s="231">
        <v>2428.39</v>
      </c>
      <c r="EV111" s="231">
        <v>58777851</v>
      </c>
      <c r="EW111" s="231">
        <v>3572.71</v>
      </c>
      <c r="EX111" s="231">
        <v>3837.07</v>
      </c>
      <c r="EY111" s="228">
        <v>-264.36</v>
      </c>
      <c r="EZ111" s="229">
        <v>-6.8900000000000003E-2</v>
      </c>
      <c r="FA111" s="229">
        <v>1.2744</v>
      </c>
      <c r="FB111" s="227" t="s">
        <v>693</v>
      </c>
      <c r="FC111">
        <f t="shared" si="1"/>
        <v>1212</v>
      </c>
    </row>
    <row r="112" spans="1:159" ht="17.25" thickBot="1" x14ac:dyDescent="0.3">
      <c r="A112" s="226">
        <v>46135</v>
      </c>
      <c r="B112" s="227" t="s">
        <v>168</v>
      </c>
      <c r="C112" s="227" t="s">
        <v>581</v>
      </c>
      <c r="D112" s="228">
        <v>1175</v>
      </c>
      <c r="E112" s="228">
        <v>5</v>
      </c>
      <c r="F112" s="228">
        <v>413.3</v>
      </c>
      <c r="G112" s="228">
        <v>415.35</v>
      </c>
      <c r="H112" s="228">
        <v>-2.0499999999999998</v>
      </c>
      <c r="I112" s="229">
        <v>-4.8999999999999998E-3</v>
      </c>
      <c r="J112" s="228">
        <v>412.85</v>
      </c>
      <c r="K112" s="228">
        <v>414.25</v>
      </c>
      <c r="L112" s="228">
        <v>-1.4</v>
      </c>
      <c r="M112" s="229">
        <v>-3.3999999999999998E-3</v>
      </c>
      <c r="N112" s="228">
        <v>413.3</v>
      </c>
      <c r="O112" s="228">
        <v>415.35</v>
      </c>
      <c r="P112" s="228">
        <v>-2.0499999999999998</v>
      </c>
      <c r="Q112" s="229">
        <v>-4.8999999999999998E-3</v>
      </c>
      <c r="R112" s="228">
        <v>415.7</v>
      </c>
      <c r="S112" s="228">
        <v>417.3</v>
      </c>
      <c r="T112" s="228">
        <v>-1.6</v>
      </c>
      <c r="U112" s="229">
        <v>-3.8E-3</v>
      </c>
      <c r="V112" s="228">
        <v>418.05</v>
      </c>
      <c r="W112" s="228">
        <v>420.6</v>
      </c>
      <c r="X112" s="228">
        <v>-2.5499999999999998</v>
      </c>
      <c r="Y112" s="229">
        <v>-6.1000000000000004E-3</v>
      </c>
      <c r="Z112" s="228">
        <v>0.45</v>
      </c>
      <c r="AA112" s="228">
        <v>1.1000000000000001</v>
      </c>
      <c r="AB112" s="228">
        <v>-0.65</v>
      </c>
      <c r="AC112" s="229">
        <v>1.1000000000000001E-3</v>
      </c>
      <c r="AD112" s="228">
        <v>0.45</v>
      </c>
      <c r="AE112" s="228">
        <v>1.1000000000000001</v>
      </c>
      <c r="AF112" s="228">
        <v>-0.65</v>
      </c>
      <c r="AG112" s="229">
        <v>1.1000000000000001E-3</v>
      </c>
      <c r="AH112" s="228">
        <v>2.85</v>
      </c>
      <c r="AI112" s="228">
        <v>3.05</v>
      </c>
      <c r="AJ112" s="228">
        <v>-0.2</v>
      </c>
      <c r="AK112" s="229">
        <v>6.8999999999999999E-3</v>
      </c>
      <c r="AL112" s="228">
        <v>5.2</v>
      </c>
      <c r="AM112" s="228">
        <v>6.35</v>
      </c>
      <c r="AN112" s="228">
        <v>-1.1499999999999999</v>
      </c>
      <c r="AO112" s="229">
        <v>1.26E-2</v>
      </c>
      <c r="AP112" s="228">
        <v>411.23</v>
      </c>
      <c r="AQ112" s="228">
        <v>413.74</v>
      </c>
      <c r="AR112" s="228">
        <v>0</v>
      </c>
      <c r="AS112" s="228">
        <v>558</v>
      </c>
      <c r="AT112" s="228">
        <v>119</v>
      </c>
      <c r="AU112" s="228">
        <v>439</v>
      </c>
      <c r="AV112" s="229">
        <v>3.6865000000000001</v>
      </c>
      <c r="AW112" s="228">
        <v>278</v>
      </c>
      <c r="AX112" s="228">
        <v>79</v>
      </c>
      <c r="AY112" s="228">
        <v>199</v>
      </c>
      <c r="AZ112" s="229">
        <v>2.5289000000000001</v>
      </c>
      <c r="BA112" s="228">
        <v>277</v>
      </c>
      <c r="BB112" s="228">
        <v>37</v>
      </c>
      <c r="BC112" s="228">
        <v>240</v>
      </c>
      <c r="BD112" s="229">
        <v>6.4413</v>
      </c>
      <c r="BE112" s="228">
        <v>3</v>
      </c>
      <c r="BF112" s="228">
        <v>3</v>
      </c>
      <c r="BG112" s="228">
        <v>0</v>
      </c>
      <c r="BH112" s="229">
        <v>3.1699999999999999E-2</v>
      </c>
      <c r="BI112" s="228">
        <v>741</v>
      </c>
      <c r="BJ112" s="228">
        <v>470</v>
      </c>
      <c r="BK112" s="228">
        <v>271</v>
      </c>
      <c r="BL112" s="229">
        <v>0.57679999999999998</v>
      </c>
      <c r="BM112" s="228">
        <v>264</v>
      </c>
      <c r="BN112" s="228">
        <v>200</v>
      </c>
      <c r="BO112" s="228">
        <v>64</v>
      </c>
      <c r="BP112" s="229">
        <v>0.31929999999999997</v>
      </c>
      <c r="BQ112" s="230">
        <v>1564</v>
      </c>
      <c r="BR112" s="228">
        <v>789</v>
      </c>
      <c r="BS112" s="228">
        <v>774</v>
      </c>
      <c r="BT112" s="229">
        <v>0.98080000000000001</v>
      </c>
      <c r="BU112" s="230">
        <v>3609564</v>
      </c>
      <c r="BV112" s="230">
        <v>3656123</v>
      </c>
      <c r="BW112" s="230">
        <v>-46559</v>
      </c>
      <c r="BX112" s="229">
        <v>-1.2699999999999999E-2</v>
      </c>
      <c r="BY112" s="230">
        <v>1133</v>
      </c>
      <c r="BZ112" s="230">
        <v>1125</v>
      </c>
      <c r="CA112" s="228">
        <v>8</v>
      </c>
      <c r="CB112" s="229">
        <v>7.0000000000000001E-3</v>
      </c>
      <c r="CC112" s="228">
        <v>787</v>
      </c>
      <c r="CD112" s="230">
        <v>1001</v>
      </c>
      <c r="CE112" s="228">
        <v>-214</v>
      </c>
      <c r="CF112" s="229">
        <v>-0.21360000000000001</v>
      </c>
      <c r="CG112" s="228">
        <v>331</v>
      </c>
      <c r="CH112" s="228">
        <v>111</v>
      </c>
      <c r="CI112" s="228">
        <v>221</v>
      </c>
      <c r="CJ112" s="229">
        <v>1.9882</v>
      </c>
      <c r="CK112" s="228">
        <v>14</v>
      </c>
      <c r="CL112" s="228">
        <v>13</v>
      </c>
      <c r="CM112" s="228">
        <v>1</v>
      </c>
      <c r="CN112" s="229">
        <v>9.6199999999999994E-2</v>
      </c>
      <c r="CO112" s="228">
        <v>592</v>
      </c>
      <c r="CP112" s="228">
        <v>674</v>
      </c>
      <c r="CQ112" s="228">
        <v>-82</v>
      </c>
      <c r="CR112" s="229">
        <v>-0.12139999999999999</v>
      </c>
      <c r="CS112" s="228">
        <v>274</v>
      </c>
      <c r="CT112" s="228">
        <v>285</v>
      </c>
      <c r="CU112" s="228">
        <v>-11</v>
      </c>
      <c r="CV112" s="229">
        <v>-3.8399999999999997E-2</v>
      </c>
      <c r="CW112" s="230">
        <v>1999</v>
      </c>
      <c r="CX112" s="230">
        <v>2084</v>
      </c>
      <c r="CY112" s="228">
        <v>-85</v>
      </c>
      <c r="CZ112" s="229">
        <v>-4.0800000000000003E-2</v>
      </c>
      <c r="DA112" s="228">
        <v>47.11</v>
      </c>
      <c r="DB112" s="228">
        <v>40.96</v>
      </c>
      <c r="DC112" s="228">
        <v>6.15</v>
      </c>
      <c r="DD112" s="228">
        <v>6.15</v>
      </c>
      <c r="DE112" s="228">
        <v>52.03</v>
      </c>
      <c r="DF112" s="228">
        <v>52.16</v>
      </c>
      <c r="DG112" s="228">
        <v>-4.92</v>
      </c>
      <c r="DH112" s="228">
        <v>-0.13</v>
      </c>
      <c r="DI112" s="228">
        <v>46.41</v>
      </c>
      <c r="DJ112" s="228">
        <v>41.55</v>
      </c>
      <c r="DK112" s="228">
        <v>4.8600000000000003</v>
      </c>
      <c r="DL112" s="228">
        <v>4.8600000000000003</v>
      </c>
      <c r="DM112" s="228">
        <v>48.17</v>
      </c>
      <c r="DN112" s="228">
        <v>39.56</v>
      </c>
      <c r="DO112" s="228">
        <v>8.61</v>
      </c>
      <c r="DP112" s="228">
        <v>8.61</v>
      </c>
      <c r="DQ112" s="228">
        <v>0.46</v>
      </c>
      <c r="DR112" s="228">
        <v>0.42</v>
      </c>
      <c r="DS112" s="228">
        <v>0.04</v>
      </c>
      <c r="DT112" s="229">
        <v>9.5200000000000007E-2</v>
      </c>
      <c r="DU112" s="228">
        <v>450</v>
      </c>
      <c r="DV112" s="228">
        <v>420</v>
      </c>
      <c r="DW112" s="228">
        <v>0.36</v>
      </c>
      <c r="DX112" s="228">
        <v>0.43</v>
      </c>
      <c r="DY112" s="228">
        <v>-7.0000000000000007E-2</v>
      </c>
      <c r="DZ112" s="229">
        <v>-0.1628</v>
      </c>
      <c r="EA112" s="229">
        <v>0.30480000000000002</v>
      </c>
      <c r="EB112" s="230">
        <v>2989200</v>
      </c>
      <c r="EC112" s="229">
        <v>5.7999999999999996E-3</v>
      </c>
      <c r="ED112" s="229">
        <v>0.30480000000000002</v>
      </c>
      <c r="EE112" s="228">
        <v>2.5099999999999998</v>
      </c>
      <c r="EF112" s="229">
        <v>6.1000000000000004E-3</v>
      </c>
      <c r="EG112" s="230">
        <v>1127806</v>
      </c>
      <c r="EH112" s="230">
        <v>1306332</v>
      </c>
      <c r="EI112" s="229">
        <v>-0.13669999999999999</v>
      </c>
      <c r="EJ112" s="229">
        <v>0.31240000000000001</v>
      </c>
      <c r="EK112" s="228">
        <v>785.45</v>
      </c>
      <c r="EL112" s="228">
        <v>265.25</v>
      </c>
      <c r="EM112" s="228">
        <v>557.20000000000005</v>
      </c>
      <c r="EN112" s="228">
        <v>52.08</v>
      </c>
      <c r="EO112" s="231">
        <v>1607.89</v>
      </c>
      <c r="EP112" s="228">
        <v>821.31</v>
      </c>
      <c r="EQ112" s="228">
        <v>786.58</v>
      </c>
      <c r="ER112" s="229">
        <v>0.9577</v>
      </c>
      <c r="ES112" s="228">
        <v>626.1</v>
      </c>
      <c r="ET112" s="228">
        <v>271.06</v>
      </c>
      <c r="EU112" s="231">
        <v>1134.76</v>
      </c>
      <c r="EV112" s="231">
        <v>57686748</v>
      </c>
      <c r="EW112" s="231">
        <v>2031.92</v>
      </c>
      <c r="EX112" s="231">
        <v>2133.5100000000002</v>
      </c>
      <c r="EY112" s="228">
        <v>-101.59</v>
      </c>
      <c r="EZ112" s="229">
        <v>-4.7600000000000003E-2</v>
      </c>
      <c r="FA112" s="229">
        <v>0.83840000000000003</v>
      </c>
      <c r="FB112" s="227" t="s">
        <v>566</v>
      </c>
      <c r="FC112">
        <f t="shared" si="1"/>
        <v>346</v>
      </c>
    </row>
    <row r="113" spans="1:159" ht="17.25" thickBot="1" x14ac:dyDescent="0.3">
      <c r="A113" s="226">
        <v>46135</v>
      </c>
      <c r="B113" s="227" t="s">
        <v>184</v>
      </c>
      <c r="C113" s="227" t="s">
        <v>674</v>
      </c>
      <c r="D113" s="228">
        <v>100</v>
      </c>
      <c r="E113" s="228">
        <v>5</v>
      </c>
      <c r="F113" s="231">
        <v>4381.3</v>
      </c>
      <c r="G113" s="231">
        <v>4454.3999999999996</v>
      </c>
      <c r="H113" s="228">
        <v>-73.099999999999994</v>
      </c>
      <c r="I113" s="229">
        <v>-1.6400000000000001E-2</v>
      </c>
      <c r="J113" s="231">
        <v>4387.7</v>
      </c>
      <c r="K113" s="231">
        <v>4458.8999999999996</v>
      </c>
      <c r="L113" s="228">
        <v>-71.2</v>
      </c>
      <c r="M113" s="229">
        <v>-1.6E-2</v>
      </c>
      <c r="N113" s="231">
        <v>4381.3</v>
      </c>
      <c r="O113" s="231">
        <v>4454.3999999999996</v>
      </c>
      <c r="P113" s="228">
        <v>-73.099999999999994</v>
      </c>
      <c r="Q113" s="229">
        <v>-1.6400000000000001E-2</v>
      </c>
      <c r="R113" s="231">
        <v>4326.3999999999996</v>
      </c>
      <c r="S113" s="231">
        <v>4423.8</v>
      </c>
      <c r="T113" s="228">
        <v>-97.4</v>
      </c>
      <c r="U113" s="229">
        <v>-2.1999999999999999E-2</v>
      </c>
      <c r="V113" s="231">
        <v>4307.8</v>
      </c>
      <c r="W113" s="231">
        <v>4403.2</v>
      </c>
      <c r="X113" s="228">
        <v>-95.4</v>
      </c>
      <c r="Y113" s="229">
        <v>-2.1700000000000001E-2</v>
      </c>
      <c r="Z113" s="228">
        <v>-6.4</v>
      </c>
      <c r="AA113" s="228">
        <v>-4.5</v>
      </c>
      <c r="AB113" s="228">
        <v>-1.9</v>
      </c>
      <c r="AC113" s="229">
        <v>-1.5E-3</v>
      </c>
      <c r="AD113" s="228">
        <v>-6.4</v>
      </c>
      <c r="AE113" s="228">
        <v>-4.5</v>
      </c>
      <c r="AF113" s="228">
        <v>-1.9</v>
      </c>
      <c r="AG113" s="229">
        <v>-1.5E-3</v>
      </c>
      <c r="AH113" s="228">
        <v>-61.3</v>
      </c>
      <c r="AI113" s="228">
        <v>-35.1</v>
      </c>
      <c r="AJ113" s="228">
        <v>-26.2</v>
      </c>
      <c r="AK113" s="229">
        <v>-1.4E-2</v>
      </c>
      <c r="AL113" s="228">
        <v>-79.900000000000006</v>
      </c>
      <c r="AM113" s="228">
        <v>-55.7</v>
      </c>
      <c r="AN113" s="228">
        <v>-24.2</v>
      </c>
      <c r="AO113" s="229">
        <v>-1.8200000000000001E-2</v>
      </c>
      <c r="AP113" s="231">
        <v>4388.29</v>
      </c>
      <c r="AQ113" s="231">
        <v>4339.76</v>
      </c>
      <c r="AR113" s="228">
        <v>0</v>
      </c>
      <c r="AS113" s="230">
        <v>1144</v>
      </c>
      <c r="AT113" s="228">
        <v>678</v>
      </c>
      <c r="AU113" s="228">
        <v>466</v>
      </c>
      <c r="AV113" s="229">
        <v>0.68820000000000003</v>
      </c>
      <c r="AW113" s="228">
        <v>588</v>
      </c>
      <c r="AX113" s="228">
        <v>457</v>
      </c>
      <c r="AY113" s="228">
        <v>132</v>
      </c>
      <c r="AZ113" s="229">
        <v>0.2883</v>
      </c>
      <c r="BA113" s="228">
        <v>547</v>
      </c>
      <c r="BB113" s="228">
        <v>205</v>
      </c>
      <c r="BC113" s="228">
        <v>342</v>
      </c>
      <c r="BD113" s="229">
        <v>1.6667000000000001</v>
      </c>
      <c r="BE113" s="228">
        <v>8</v>
      </c>
      <c r="BF113" s="228">
        <v>16</v>
      </c>
      <c r="BG113" s="228">
        <v>-7</v>
      </c>
      <c r="BH113" s="229">
        <v>-0.47349999999999998</v>
      </c>
      <c r="BI113" s="230">
        <v>1326</v>
      </c>
      <c r="BJ113" s="230">
        <v>3494</v>
      </c>
      <c r="BK113" s="230">
        <v>-2168</v>
      </c>
      <c r="BL113" s="229">
        <v>-0.62050000000000005</v>
      </c>
      <c r="BM113" s="228">
        <v>942</v>
      </c>
      <c r="BN113" s="230">
        <v>2039</v>
      </c>
      <c r="BO113" s="230">
        <v>-1097</v>
      </c>
      <c r="BP113" s="229">
        <v>-0.53779999999999994</v>
      </c>
      <c r="BQ113" s="230">
        <v>3413</v>
      </c>
      <c r="BR113" s="230">
        <v>6211</v>
      </c>
      <c r="BS113" s="230">
        <v>-2798</v>
      </c>
      <c r="BT113" s="229">
        <v>-0.45050000000000001</v>
      </c>
      <c r="BU113" s="230">
        <v>1094386</v>
      </c>
      <c r="BV113" s="230">
        <v>1991439</v>
      </c>
      <c r="BW113" s="230">
        <v>-897053</v>
      </c>
      <c r="BX113" s="229">
        <v>-0.45050000000000001</v>
      </c>
      <c r="BY113" s="230">
        <v>1398</v>
      </c>
      <c r="BZ113" s="230">
        <v>1594</v>
      </c>
      <c r="CA113" s="228">
        <v>-196</v>
      </c>
      <c r="CB113" s="229">
        <v>-0.1229</v>
      </c>
      <c r="CC113" s="228">
        <v>794</v>
      </c>
      <c r="CD113" s="230">
        <v>1180</v>
      </c>
      <c r="CE113" s="228">
        <v>-386</v>
      </c>
      <c r="CF113" s="229">
        <v>-0.3271</v>
      </c>
      <c r="CG113" s="228">
        <v>569</v>
      </c>
      <c r="CH113" s="228">
        <v>383</v>
      </c>
      <c r="CI113" s="228">
        <v>186</v>
      </c>
      <c r="CJ113" s="229">
        <v>0.48470000000000002</v>
      </c>
      <c r="CK113" s="228">
        <v>36</v>
      </c>
      <c r="CL113" s="228">
        <v>31</v>
      </c>
      <c r="CM113" s="228">
        <v>4</v>
      </c>
      <c r="CN113" s="229">
        <v>0.1411</v>
      </c>
      <c r="CO113" s="228">
        <v>745</v>
      </c>
      <c r="CP113" s="228">
        <v>709</v>
      </c>
      <c r="CQ113" s="228">
        <v>36</v>
      </c>
      <c r="CR113" s="229">
        <v>5.0299999999999997E-2</v>
      </c>
      <c r="CS113" s="228">
        <v>629</v>
      </c>
      <c r="CT113" s="228">
        <v>680</v>
      </c>
      <c r="CU113" s="228">
        <v>-51</v>
      </c>
      <c r="CV113" s="229">
        <v>-7.4499999999999997E-2</v>
      </c>
      <c r="CW113" s="230">
        <v>2773</v>
      </c>
      <c r="CX113" s="230">
        <v>2984</v>
      </c>
      <c r="CY113" s="228">
        <v>-211</v>
      </c>
      <c r="CZ113" s="229">
        <v>-7.0699999999999999E-2</v>
      </c>
      <c r="DA113" s="228">
        <v>49.58</v>
      </c>
      <c r="DB113" s="228">
        <v>42.59</v>
      </c>
      <c r="DC113" s="228">
        <v>6.99</v>
      </c>
      <c r="DD113" s="228">
        <v>6.99</v>
      </c>
      <c r="DE113" s="228">
        <v>61</v>
      </c>
      <c r="DF113" s="228">
        <v>61.11</v>
      </c>
      <c r="DG113" s="228">
        <v>-11.42</v>
      </c>
      <c r="DH113" s="228">
        <v>-0.11</v>
      </c>
      <c r="DI113" s="228">
        <v>49.51</v>
      </c>
      <c r="DJ113" s="228">
        <v>39.090000000000003</v>
      </c>
      <c r="DK113" s="228">
        <v>10.42</v>
      </c>
      <c r="DL113" s="228">
        <v>10.42</v>
      </c>
      <c r="DM113" s="228">
        <v>49.76</v>
      </c>
      <c r="DN113" s="228">
        <v>48.58</v>
      </c>
      <c r="DO113" s="228">
        <v>1.18</v>
      </c>
      <c r="DP113" s="228">
        <v>1.18</v>
      </c>
      <c r="DQ113" s="228">
        <v>0.84</v>
      </c>
      <c r="DR113" s="228">
        <v>0.96</v>
      </c>
      <c r="DS113" s="228">
        <v>-0.12</v>
      </c>
      <c r="DT113" s="229">
        <v>-0.125</v>
      </c>
      <c r="DU113" s="231">
        <v>4500</v>
      </c>
      <c r="DV113" s="231">
        <v>4200</v>
      </c>
      <c r="DW113" s="228">
        <v>0.71</v>
      </c>
      <c r="DX113" s="228">
        <v>0.57999999999999996</v>
      </c>
      <c r="DY113" s="228">
        <v>0.13</v>
      </c>
      <c r="DZ113" s="229">
        <v>0.22409999999999999</v>
      </c>
      <c r="EA113" s="229">
        <v>0.43209999999999998</v>
      </c>
      <c r="EB113" s="230">
        <v>945600</v>
      </c>
      <c r="EC113" s="229">
        <v>-1.2500000000000001E-2</v>
      </c>
      <c r="ED113" s="229">
        <v>0.43209999999999998</v>
      </c>
      <c r="EE113" s="228">
        <v>-48.53</v>
      </c>
      <c r="EF113" s="229">
        <v>-1.11E-2</v>
      </c>
      <c r="EG113" s="230">
        <v>251972</v>
      </c>
      <c r="EH113" s="230">
        <v>453570</v>
      </c>
      <c r="EI113" s="229">
        <v>-0.44450000000000001</v>
      </c>
      <c r="EJ113" s="229">
        <v>0.23019999999999999</v>
      </c>
      <c r="EK113" s="231">
        <v>1386.61</v>
      </c>
      <c r="EL113" s="228">
        <v>880.81</v>
      </c>
      <c r="EM113" s="231">
        <v>1139.68</v>
      </c>
      <c r="EN113" s="228">
        <v>115.7</v>
      </c>
      <c r="EO113" s="231">
        <v>3407.1</v>
      </c>
      <c r="EP113" s="231">
        <v>6204.5</v>
      </c>
      <c r="EQ113" s="231">
        <v>-2797.41</v>
      </c>
      <c r="ER113" s="229">
        <v>-0.45090000000000002</v>
      </c>
      <c r="ES113" s="228">
        <v>714.8</v>
      </c>
      <c r="ET113" s="228">
        <v>558.34</v>
      </c>
      <c r="EU113" s="231">
        <v>1390.74</v>
      </c>
      <c r="EV113" s="231">
        <v>4679418</v>
      </c>
      <c r="EW113" s="231">
        <v>2663.89</v>
      </c>
      <c r="EX113" s="231">
        <v>2896.57</v>
      </c>
      <c r="EY113" s="228">
        <v>-232.68</v>
      </c>
      <c r="EZ113" s="229">
        <v>-8.0299999999999996E-2</v>
      </c>
      <c r="FA113" s="229">
        <v>1.3525</v>
      </c>
      <c r="FB113" s="227" t="s">
        <v>567</v>
      </c>
      <c r="FC113">
        <f t="shared" si="1"/>
        <v>604</v>
      </c>
    </row>
    <row r="114" spans="1:159" ht="17.25" thickBot="1" x14ac:dyDescent="0.3">
      <c r="A114" s="226">
        <v>46135</v>
      </c>
      <c r="B114" s="227" t="s">
        <v>161</v>
      </c>
      <c r="C114" s="227" t="s">
        <v>609</v>
      </c>
      <c r="D114" s="228">
        <v>175</v>
      </c>
      <c r="E114" s="228">
        <v>5</v>
      </c>
      <c r="F114" s="231">
        <v>4855</v>
      </c>
      <c r="G114" s="231">
        <v>4905.8</v>
      </c>
      <c r="H114" s="228">
        <v>-50.8</v>
      </c>
      <c r="I114" s="229">
        <v>-1.04E-2</v>
      </c>
      <c r="J114" s="231">
        <v>4839.5</v>
      </c>
      <c r="K114" s="231">
        <v>4909.7</v>
      </c>
      <c r="L114" s="228">
        <v>-70.2</v>
      </c>
      <c r="M114" s="229">
        <v>-1.43E-2</v>
      </c>
      <c r="N114" s="231">
        <v>4855</v>
      </c>
      <c r="O114" s="231">
        <v>4905.8</v>
      </c>
      <c r="P114" s="228">
        <v>-50.8</v>
      </c>
      <c r="Q114" s="229">
        <v>-1.04E-2</v>
      </c>
      <c r="R114" s="231">
        <v>4781.6000000000004</v>
      </c>
      <c r="S114" s="231">
        <v>4836.8</v>
      </c>
      <c r="T114" s="228">
        <v>-55.2</v>
      </c>
      <c r="U114" s="229">
        <v>-1.14E-2</v>
      </c>
      <c r="V114" s="231">
        <v>4782.3999999999996</v>
      </c>
      <c r="W114" s="231">
        <v>4820</v>
      </c>
      <c r="X114" s="228">
        <v>-37.6</v>
      </c>
      <c r="Y114" s="229">
        <v>-7.7999999999999996E-3</v>
      </c>
      <c r="Z114" s="228">
        <v>15.5</v>
      </c>
      <c r="AA114" s="228">
        <v>-3.9</v>
      </c>
      <c r="AB114" s="228">
        <v>19.399999999999999</v>
      </c>
      <c r="AC114" s="229">
        <v>3.2000000000000002E-3</v>
      </c>
      <c r="AD114" s="228">
        <v>15.5</v>
      </c>
      <c r="AE114" s="228">
        <v>-3.9</v>
      </c>
      <c r="AF114" s="228">
        <v>19.399999999999999</v>
      </c>
      <c r="AG114" s="229">
        <v>3.2000000000000002E-3</v>
      </c>
      <c r="AH114" s="228">
        <v>-57.9</v>
      </c>
      <c r="AI114" s="228">
        <v>-72.900000000000006</v>
      </c>
      <c r="AJ114" s="228">
        <v>15</v>
      </c>
      <c r="AK114" s="229">
        <v>-1.2E-2</v>
      </c>
      <c r="AL114" s="228">
        <v>-57.1</v>
      </c>
      <c r="AM114" s="228">
        <v>-89.7</v>
      </c>
      <c r="AN114" s="228">
        <v>32.6</v>
      </c>
      <c r="AO114" s="229">
        <v>-1.18E-2</v>
      </c>
      <c r="AP114" s="231">
        <v>4908.78</v>
      </c>
      <c r="AQ114" s="231">
        <v>4827.33</v>
      </c>
      <c r="AR114" s="228">
        <v>0</v>
      </c>
      <c r="AS114" s="228">
        <v>766</v>
      </c>
      <c r="AT114" s="228">
        <v>408</v>
      </c>
      <c r="AU114" s="228">
        <v>358</v>
      </c>
      <c r="AV114" s="229">
        <v>0.878</v>
      </c>
      <c r="AW114" s="228">
        <v>413</v>
      </c>
      <c r="AX114" s="228">
        <v>245</v>
      </c>
      <c r="AY114" s="228">
        <v>167</v>
      </c>
      <c r="AZ114" s="229">
        <v>0.6825</v>
      </c>
      <c r="BA114" s="228">
        <v>352</v>
      </c>
      <c r="BB114" s="228">
        <v>162</v>
      </c>
      <c r="BC114" s="228">
        <v>190</v>
      </c>
      <c r="BD114" s="229">
        <v>1.1678999999999999</v>
      </c>
      <c r="BE114" s="228">
        <v>1</v>
      </c>
      <c r="BF114" s="228">
        <v>0</v>
      </c>
      <c r="BG114" s="228">
        <v>1</v>
      </c>
      <c r="BH114" s="229">
        <v>6</v>
      </c>
      <c r="BI114" s="228">
        <v>614</v>
      </c>
      <c r="BJ114" s="228">
        <v>642</v>
      </c>
      <c r="BK114" s="228">
        <v>-28</v>
      </c>
      <c r="BL114" s="229">
        <v>-4.3999999999999997E-2</v>
      </c>
      <c r="BM114" s="228">
        <v>616</v>
      </c>
      <c r="BN114" s="230">
        <v>1093</v>
      </c>
      <c r="BO114" s="228">
        <v>-477</v>
      </c>
      <c r="BP114" s="229">
        <v>-0.43619999999999998</v>
      </c>
      <c r="BQ114" s="230">
        <v>1996</v>
      </c>
      <c r="BR114" s="230">
        <v>2143</v>
      </c>
      <c r="BS114" s="228">
        <v>-147</v>
      </c>
      <c r="BT114" s="229">
        <v>-6.8500000000000005E-2</v>
      </c>
      <c r="BU114" s="230">
        <v>380681</v>
      </c>
      <c r="BV114" s="230">
        <v>297322</v>
      </c>
      <c r="BW114" s="230">
        <v>83359</v>
      </c>
      <c r="BX114" s="229">
        <v>0.28039999999999998</v>
      </c>
      <c r="BY114" s="230">
        <v>1101</v>
      </c>
      <c r="BZ114" s="230">
        <v>1265</v>
      </c>
      <c r="CA114" s="228">
        <v>-163</v>
      </c>
      <c r="CB114" s="229">
        <v>-0.12909999999999999</v>
      </c>
      <c r="CC114" s="228">
        <v>520</v>
      </c>
      <c r="CD114" s="228">
        <v>788</v>
      </c>
      <c r="CE114" s="228">
        <v>-268</v>
      </c>
      <c r="CF114" s="229">
        <v>-0.34050000000000002</v>
      </c>
      <c r="CG114" s="228">
        <v>578</v>
      </c>
      <c r="CH114" s="228">
        <v>474</v>
      </c>
      <c r="CI114" s="228">
        <v>105</v>
      </c>
      <c r="CJ114" s="229">
        <v>0.221</v>
      </c>
      <c r="CK114" s="228">
        <v>3</v>
      </c>
      <c r="CL114" s="228">
        <v>3</v>
      </c>
      <c r="CM114" s="228">
        <v>0</v>
      </c>
      <c r="CN114" s="229">
        <v>0.1176</v>
      </c>
      <c r="CO114" s="228">
        <v>395</v>
      </c>
      <c r="CP114" s="228">
        <v>379</v>
      </c>
      <c r="CQ114" s="228">
        <v>16</v>
      </c>
      <c r="CR114" s="229">
        <v>4.1700000000000001E-2</v>
      </c>
      <c r="CS114" s="228">
        <v>280</v>
      </c>
      <c r="CT114" s="228">
        <v>286</v>
      </c>
      <c r="CU114" s="228">
        <v>-5</v>
      </c>
      <c r="CV114" s="229">
        <v>-1.7899999999999999E-2</v>
      </c>
      <c r="CW114" s="230">
        <v>1777</v>
      </c>
      <c r="CX114" s="230">
        <v>1929</v>
      </c>
      <c r="CY114" s="228">
        <v>-153</v>
      </c>
      <c r="CZ114" s="229">
        <v>-7.9100000000000004E-2</v>
      </c>
      <c r="DA114" s="228">
        <v>40.76</v>
      </c>
      <c r="DB114" s="228">
        <v>51.47</v>
      </c>
      <c r="DC114" s="228">
        <v>-10.71</v>
      </c>
      <c r="DD114" s="228">
        <v>-10.71</v>
      </c>
      <c r="DE114" s="228">
        <v>46.28</v>
      </c>
      <c r="DF114" s="228">
        <v>46.37</v>
      </c>
      <c r="DG114" s="228">
        <v>-5.52</v>
      </c>
      <c r="DH114" s="228">
        <v>-0.09</v>
      </c>
      <c r="DI114" s="228">
        <v>40.32</v>
      </c>
      <c r="DJ114" s="228">
        <v>35.1</v>
      </c>
      <c r="DK114" s="228">
        <v>5.22</v>
      </c>
      <c r="DL114" s="228">
        <v>5.22</v>
      </c>
      <c r="DM114" s="228">
        <v>41.84</v>
      </c>
      <c r="DN114" s="228">
        <v>61.09</v>
      </c>
      <c r="DO114" s="228">
        <v>-19.25</v>
      </c>
      <c r="DP114" s="228">
        <v>-19.25</v>
      </c>
      <c r="DQ114" s="228">
        <v>0.71</v>
      </c>
      <c r="DR114" s="228">
        <v>0.75</v>
      </c>
      <c r="DS114" s="228">
        <v>-0.04</v>
      </c>
      <c r="DT114" s="229">
        <v>-5.33E-2</v>
      </c>
      <c r="DU114" s="231">
        <v>5000</v>
      </c>
      <c r="DV114" s="231">
        <v>4500</v>
      </c>
      <c r="DW114" s="228">
        <v>1</v>
      </c>
      <c r="DX114" s="228">
        <v>1.7</v>
      </c>
      <c r="DY114" s="228">
        <v>-0.7</v>
      </c>
      <c r="DZ114" s="229">
        <v>-0.4118</v>
      </c>
      <c r="EA114" s="229">
        <v>0.52810000000000001</v>
      </c>
      <c r="EB114" s="230">
        <v>981575</v>
      </c>
      <c r="EC114" s="229">
        <v>-1.5100000000000001E-2</v>
      </c>
      <c r="ED114" s="229">
        <v>0.52810000000000001</v>
      </c>
      <c r="EE114" s="228">
        <v>-81.45</v>
      </c>
      <c r="EF114" s="229">
        <v>-1.66E-2</v>
      </c>
      <c r="EG114" s="230">
        <v>176539</v>
      </c>
      <c r="EH114" s="230">
        <v>98062</v>
      </c>
      <c r="EI114" s="229">
        <v>0.80030000000000001</v>
      </c>
      <c r="EJ114" s="229">
        <v>0.4637</v>
      </c>
      <c r="EK114" s="228">
        <v>641.16999999999996</v>
      </c>
      <c r="EL114" s="228">
        <v>559.22</v>
      </c>
      <c r="EM114" s="228">
        <v>768.74</v>
      </c>
      <c r="EN114" s="228">
        <v>42.71</v>
      </c>
      <c r="EO114" s="231">
        <v>1969.14</v>
      </c>
      <c r="EP114" s="231">
        <v>2036.08</v>
      </c>
      <c r="EQ114" s="228">
        <v>-66.94</v>
      </c>
      <c r="ER114" s="229">
        <v>-3.2899999999999999E-2</v>
      </c>
      <c r="ES114" s="228">
        <v>386.59</v>
      </c>
      <c r="ET114" s="228">
        <v>256.77999999999997</v>
      </c>
      <c r="EU114" s="231">
        <v>1092.49</v>
      </c>
      <c r="EV114" s="231">
        <v>9320940</v>
      </c>
      <c r="EW114" s="231">
        <v>1735.86</v>
      </c>
      <c r="EX114" s="231">
        <v>1900.46</v>
      </c>
      <c r="EY114" s="228">
        <v>-164.6</v>
      </c>
      <c r="EZ114" s="229">
        <v>-8.6599999999999996E-2</v>
      </c>
      <c r="FA114" s="229">
        <v>0.39269999999999999</v>
      </c>
      <c r="FB114" s="227" t="s">
        <v>567</v>
      </c>
      <c r="FC114">
        <f t="shared" si="1"/>
        <v>581</v>
      </c>
    </row>
    <row r="115" spans="1:159" ht="17.25" thickBot="1" x14ac:dyDescent="0.3">
      <c r="A115" s="226">
        <v>46135</v>
      </c>
      <c r="B115" s="227" t="s">
        <v>175</v>
      </c>
      <c r="C115" s="227" t="s">
        <v>681</v>
      </c>
      <c r="D115" s="228">
        <v>500</v>
      </c>
      <c r="E115" s="228">
        <v>5</v>
      </c>
      <c r="F115" s="228">
        <v>985.4</v>
      </c>
      <c r="G115" s="228">
        <v>989.05</v>
      </c>
      <c r="H115" s="228">
        <v>-3.65</v>
      </c>
      <c r="I115" s="229">
        <v>-3.7000000000000002E-3</v>
      </c>
      <c r="J115" s="228">
        <v>981.9</v>
      </c>
      <c r="K115" s="228">
        <v>990</v>
      </c>
      <c r="L115" s="228">
        <v>-8.1</v>
      </c>
      <c r="M115" s="229">
        <v>-8.2000000000000007E-3</v>
      </c>
      <c r="N115" s="228">
        <v>985.4</v>
      </c>
      <c r="O115" s="228">
        <v>989.05</v>
      </c>
      <c r="P115" s="228">
        <v>-3.65</v>
      </c>
      <c r="Q115" s="229">
        <v>-3.7000000000000002E-3</v>
      </c>
      <c r="R115" s="228">
        <v>968.05</v>
      </c>
      <c r="S115" s="228">
        <v>969.25</v>
      </c>
      <c r="T115" s="228">
        <v>-1.2</v>
      </c>
      <c r="U115" s="229">
        <v>-1.1999999999999999E-3</v>
      </c>
      <c r="V115" s="228">
        <v>964</v>
      </c>
      <c r="W115" s="228">
        <v>960.55</v>
      </c>
      <c r="X115" s="228">
        <v>3.45</v>
      </c>
      <c r="Y115" s="229">
        <v>3.5999999999999999E-3</v>
      </c>
      <c r="Z115" s="228">
        <v>3.5</v>
      </c>
      <c r="AA115" s="228">
        <v>-0.95</v>
      </c>
      <c r="AB115" s="228">
        <v>4.45</v>
      </c>
      <c r="AC115" s="229">
        <v>3.5999999999999999E-3</v>
      </c>
      <c r="AD115" s="228">
        <v>3.5</v>
      </c>
      <c r="AE115" s="228">
        <v>-0.95</v>
      </c>
      <c r="AF115" s="228">
        <v>4.45</v>
      </c>
      <c r="AG115" s="229">
        <v>3.5999999999999999E-3</v>
      </c>
      <c r="AH115" s="228">
        <v>-13.85</v>
      </c>
      <c r="AI115" s="228">
        <v>-20.75</v>
      </c>
      <c r="AJ115" s="228">
        <v>6.9</v>
      </c>
      <c r="AK115" s="229">
        <v>-1.41E-2</v>
      </c>
      <c r="AL115" s="228">
        <v>-17.899999999999999</v>
      </c>
      <c r="AM115" s="228">
        <v>-29.45</v>
      </c>
      <c r="AN115" s="228">
        <v>11.55</v>
      </c>
      <c r="AO115" s="229">
        <v>-1.8200000000000001E-2</v>
      </c>
      <c r="AP115" s="228">
        <v>984.16</v>
      </c>
      <c r="AQ115" s="228">
        <v>966.36</v>
      </c>
      <c r="AR115" s="228">
        <v>0</v>
      </c>
      <c r="AS115" s="228">
        <v>276</v>
      </c>
      <c r="AT115" s="228">
        <v>142</v>
      </c>
      <c r="AU115" s="228">
        <v>134</v>
      </c>
      <c r="AV115" s="229">
        <v>0.94640000000000002</v>
      </c>
      <c r="AW115" s="228">
        <v>152</v>
      </c>
      <c r="AX115" s="228">
        <v>75</v>
      </c>
      <c r="AY115" s="228">
        <v>77</v>
      </c>
      <c r="AZ115" s="229">
        <v>1.0342</v>
      </c>
      <c r="BA115" s="228">
        <v>122</v>
      </c>
      <c r="BB115" s="228">
        <v>65</v>
      </c>
      <c r="BC115" s="228">
        <v>57</v>
      </c>
      <c r="BD115" s="229">
        <v>0.88270000000000004</v>
      </c>
      <c r="BE115" s="228">
        <v>2</v>
      </c>
      <c r="BF115" s="228">
        <v>2</v>
      </c>
      <c r="BG115" s="228">
        <v>0</v>
      </c>
      <c r="BH115" s="229">
        <v>-0.23810000000000001</v>
      </c>
      <c r="BI115" s="228">
        <v>150</v>
      </c>
      <c r="BJ115" s="228">
        <v>231</v>
      </c>
      <c r="BK115" s="228">
        <v>-81</v>
      </c>
      <c r="BL115" s="229">
        <v>-0.35020000000000001</v>
      </c>
      <c r="BM115" s="228">
        <v>56</v>
      </c>
      <c r="BN115" s="228">
        <v>48</v>
      </c>
      <c r="BO115" s="228">
        <v>8</v>
      </c>
      <c r="BP115" s="229">
        <v>0.1741</v>
      </c>
      <c r="BQ115" s="228">
        <v>482</v>
      </c>
      <c r="BR115" s="228">
        <v>420</v>
      </c>
      <c r="BS115" s="228">
        <v>61</v>
      </c>
      <c r="BT115" s="229">
        <v>0.1459</v>
      </c>
      <c r="BU115" s="230">
        <v>621038</v>
      </c>
      <c r="BV115" s="230">
        <v>819182</v>
      </c>
      <c r="BW115" s="230">
        <v>-198144</v>
      </c>
      <c r="BX115" s="229">
        <v>-0.2419</v>
      </c>
      <c r="BY115" s="228">
        <v>402</v>
      </c>
      <c r="BZ115" s="228">
        <v>434</v>
      </c>
      <c r="CA115" s="228">
        <v>-32</v>
      </c>
      <c r="CB115" s="229">
        <v>-7.4300000000000005E-2</v>
      </c>
      <c r="CC115" s="228">
        <v>225</v>
      </c>
      <c r="CD115" s="228">
        <v>298</v>
      </c>
      <c r="CE115" s="228">
        <v>-73</v>
      </c>
      <c r="CF115" s="229">
        <v>-0.2455</v>
      </c>
      <c r="CG115" s="228">
        <v>169</v>
      </c>
      <c r="CH115" s="228">
        <v>129</v>
      </c>
      <c r="CI115" s="228">
        <v>40</v>
      </c>
      <c r="CJ115" s="229">
        <v>0.30959999999999999</v>
      </c>
      <c r="CK115" s="228">
        <v>8</v>
      </c>
      <c r="CL115" s="228">
        <v>7</v>
      </c>
      <c r="CM115" s="228">
        <v>1</v>
      </c>
      <c r="CN115" s="229">
        <v>0.13159999999999999</v>
      </c>
      <c r="CO115" s="228">
        <v>213</v>
      </c>
      <c r="CP115" s="228">
        <v>243</v>
      </c>
      <c r="CQ115" s="228">
        <v>-30</v>
      </c>
      <c r="CR115" s="229">
        <v>-0.122</v>
      </c>
      <c r="CS115" s="228">
        <v>142</v>
      </c>
      <c r="CT115" s="228">
        <v>149</v>
      </c>
      <c r="CU115" s="228">
        <v>-7</v>
      </c>
      <c r="CV115" s="229">
        <v>-4.8500000000000001E-2</v>
      </c>
      <c r="CW115" s="228">
        <v>757</v>
      </c>
      <c r="CX115" s="228">
        <v>826</v>
      </c>
      <c r="CY115" s="228">
        <v>-69</v>
      </c>
      <c r="CZ115" s="229">
        <v>-8.3699999999999997E-2</v>
      </c>
      <c r="DA115" s="228">
        <v>41.64</v>
      </c>
      <c r="DB115" s="228">
        <v>33.799999999999997</v>
      </c>
      <c r="DC115" s="228">
        <v>7.84</v>
      </c>
      <c r="DD115" s="228">
        <v>7.84</v>
      </c>
      <c r="DE115" s="228">
        <v>49.97</v>
      </c>
      <c r="DF115" s="228">
        <v>50.09</v>
      </c>
      <c r="DG115" s="228">
        <v>-8.33</v>
      </c>
      <c r="DH115" s="228">
        <v>-0.12</v>
      </c>
      <c r="DI115" s="228">
        <v>41.97</v>
      </c>
      <c r="DJ115" s="228">
        <v>33.03</v>
      </c>
      <c r="DK115" s="228">
        <v>8.94</v>
      </c>
      <c r="DL115" s="228">
        <v>8.94</v>
      </c>
      <c r="DM115" s="228">
        <v>41.12</v>
      </c>
      <c r="DN115" s="228">
        <v>37.51</v>
      </c>
      <c r="DO115" s="228">
        <v>3.61</v>
      </c>
      <c r="DP115" s="228">
        <v>3.61</v>
      </c>
      <c r="DQ115" s="228">
        <v>0.67</v>
      </c>
      <c r="DR115" s="228">
        <v>0.61</v>
      </c>
      <c r="DS115" s="228">
        <v>0.06</v>
      </c>
      <c r="DT115" s="229">
        <v>9.8400000000000001E-2</v>
      </c>
      <c r="DU115" s="231">
        <v>1040</v>
      </c>
      <c r="DV115" s="228">
        <v>950</v>
      </c>
      <c r="DW115" s="228">
        <v>0.37</v>
      </c>
      <c r="DX115" s="228">
        <v>0.21</v>
      </c>
      <c r="DY115" s="228">
        <v>0.16</v>
      </c>
      <c r="DZ115" s="229">
        <v>0.76190000000000002</v>
      </c>
      <c r="EA115" s="229">
        <v>0.44069999999999998</v>
      </c>
      <c r="EB115" s="230">
        <v>1382500</v>
      </c>
      <c r="EC115" s="229">
        <v>-1.7600000000000001E-2</v>
      </c>
      <c r="ED115" s="229">
        <v>0.44069999999999998</v>
      </c>
      <c r="EE115" s="228">
        <v>-17.8</v>
      </c>
      <c r="EF115" s="229">
        <v>-1.8100000000000002E-2</v>
      </c>
      <c r="EG115" s="230">
        <v>222686</v>
      </c>
      <c r="EH115" s="230">
        <v>363985</v>
      </c>
      <c r="EI115" s="229">
        <v>-0.38819999999999999</v>
      </c>
      <c r="EJ115" s="229">
        <v>0.35859999999999997</v>
      </c>
      <c r="EK115" s="228">
        <v>155.5</v>
      </c>
      <c r="EL115" s="228">
        <v>56.06</v>
      </c>
      <c r="EM115" s="228">
        <v>273.12</v>
      </c>
      <c r="EN115" s="228">
        <v>36.32</v>
      </c>
      <c r="EO115" s="228">
        <v>484.68</v>
      </c>
      <c r="EP115" s="228">
        <v>427.55</v>
      </c>
      <c r="EQ115" s="228">
        <v>57.13</v>
      </c>
      <c r="ER115" s="229">
        <v>0.1336</v>
      </c>
      <c r="ES115" s="228">
        <v>216.24</v>
      </c>
      <c r="ET115" s="228">
        <v>133.25</v>
      </c>
      <c r="EU115" s="228">
        <v>398.64</v>
      </c>
      <c r="EV115" s="231">
        <v>19953342</v>
      </c>
      <c r="EW115" s="228">
        <v>748.14</v>
      </c>
      <c r="EX115" s="228">
        <v>819.22</v>
      </c>
      <c r="EY115" s="228">
        <v>-71.08</v>
      </c>
      <c r="EZ115" s="229">
        <v>-8.6800000000000002E-2</v>
      </c>
      <c r="FA115" s="229">
        <v>0.38490000000000002</v>
      </c>
      <c r="FB115" s="227" t="s">
        <v>567</v>
      </c>
      <c r="FC115">
        <f t="shared" si="1"/>
        <v>177</v>
      </c>
    </row>
    <row r="116" spans="1:159" ht="17.25" thickBot="1" x14ac:dyDescent="0.3">
      <c r="A116" s="226">
        <v>46135</v>
      </c>
      <c r="B116" s="227" t="s">
        <v>172</v>
      </c>
      <c r="C116" s="227" t="s">
        <v>246</v>
      </c>
      <c r="D116" s="228">
        <v>2000</v>
      </c>
      <c r="E116" s="228">
        <v>5</v>
      </c>
      <c r="F116" s="228">
        <v>370.75</v>
      </c>
      <c r="G116" s="228">
        <v>377.35</v>
      </c>
      <c r="H116" s="228">
        <v>-6.6</v>
      </c>
      <c r="I116" s="229">
        <v>-1.7500000000000002E-2</v>
      </c>
      <c r="J116" s="228">
        <v>370.4</v>
      </c>
      <c r="K116" s="228">
        <v>376.85</v>
      </c>
      <c r="L116" s="228">
        <v>-6.45</v>
      </c>
      <c r="M116" s="229">
        <v>-1.7100000000000001E-2</v>
      </c>
      <c r="N116" s="228">
        <v>370.75</v>
      </c>
      <c r="O116" s="228">
        <v>377.35</v>
      </c>
      <c r="P116" s="228">
        <v>-6.6</v>
      </c>
      <c r="Q116" s="229">
        <v>-1.7500000000000002E-2</v>
      </c>
      <c r="R116" s="228">
        <v>372.9</v>
      </c>
      <c r="S116" s="228">
        <v>379.45</v>
      </c>
      <c r="T116" s="228">
        <v>-6.55</v>
      </c>
      <c r="U116" s="229">
        <v>-1.7299999999999999E-2</v>
      </c>
      <c r="V116" s="228">
        <v>375.2</v>
      </c>
      <c r="W116" s="228">
        <v>381.9</v>
      </c>
      <c r="X116" s="228">
        <v>-6.7</v>
      </c>
      <c r="Y116" s="229">
        <v>-1.7500000000000002E-2</v>
      </c>
      <c r="Z116" s="228">
        <v>0.35</v>
      </c>
      <c r="AA116" s="228">
        <v>0.5</v>
      </c>
      <c r="AB116" s="228">
        <v>-0.15</v>
      </c>
      <c r="AC116" s="229">
        <v>8.9999999999999998E-4</v>
      </c>
      <c r="AD116" s="228">
        <v>0.35</v>
      </c>
      <c r="AE116" s="228">
        <v>0.5</v>
      </c>
      <c r="AF116" s="228">
        <v>-0.15</v>
      </c>
      <c r="AG116" s="229">
        <v>8.9999999999999998E-4</v>
      </c>
      <c r="AH116" s="228">
        <v>2.5</v>
      </c>
      <c r="AI116" s="228">
        <v>2.6</v>
      </c>
      <c r="AJ116" s="228">
        <v>-0.1</v>
      </c>
      <c r="AK116" s="229">
        <v>6.7000000000000002E-3</v>
      </c>
      <c r="AL116" s="228">
        <v>4.8</v>
      </c>
      <c r="AM116" s="228">
        <v>5.05</v>
      </c>
      <c r="AN116" s="228">
        <v>-0.25</v>
      </c>
      <c r="AO116" s="229">
        <v>1.2999999999999999E-2</v>
      </c>
      <c r="AP116" s="228">
        <v>371.7</v>
      </c>
      <c r="AQ116" s="228">
        <v>373.89</v>
      </c>
      <c r="AR116" s="228">
        <v>0</v>
      </c>
      <c r="AS116" s="230">
        <v>3272</v>
      </c>
      <c r="AT116" s="230">
        <v>1592</v>
      </c>
      <c r="AU116" s="230">
        <v>1681</v>
      </c>
      <c r="AV116" s="229">
        <v>1.0559000000000001</v>
      </c>
      <c r="AW116" s="230">
        <v>1541</v>
      </c>
      <c r="AX116" s="228">
        <v>778</v>
      </c>
      <c r="AY116" s="228">
        <v>764</v>
      </c>
      <c r="AZ116" s="229">
        <v>0.98199999999999998</v>
      </c>
      <c r="BA116" s="230">
        <v>1420</v>
      </c>
      <c r="BB116" s="228">
        <v>742</v>
      </c>
      <c r="BC116" s="228">
        <v>678</v>
      </c>
      <c r="BD116" s="229">
        <v>0.91459999999999997</v>
      </c>
      <c r="BE116" s="228">
        <v>311</v>
      </c>
      <c r="BF116" s="228">
        <v>72</v>
      </c>
      <c r="BG116" s="228">
        <v>239</v>
      </c>
      <c r="BH116" s="229">
        <v>3.3005</v>
      </c>
      <c r="BI116" s="230">
        <v>1816</v>
      </c>
      <c r="BJ116" s="230">
        <v>1242</v>
      </c>
      <c r="BK116" s="228">
        <v>574</v>
      </c>
      <c r="BL116" s="229">
        <v>0.46229999999999999</v>
      </c>
      <c r="BM116" s="230">
        <v>1027</v>
      </c>
      <c r="BN116" s="228">
        <v>518</v>
      </c>
      <c r="BO116" s="228">
        <v>509</v>
      </c>
      <c r="BP116" s="229">
        <v>0.98280000000000001</v>
      </c>
      <c r="BQ116" s="230">
        <v>6115</v>
      </c>
      <c r="BR116" s="230">
        <v>3351</v>
      </c>
      <c r="BS116" s="230">
        <v>2764</v>
      </c>
      <c r="BT116" s="229">
        <v>0.82469999999999999</v>
      </c>
      <c r="BU116" s="230">
        <v>31843771</v>
      </c>
      <c r="BV116" s="230">
        <v>17342185</v>
      </c>
      <c r="BW116" s="230">
        <v>14501586</v>
      </c>
      <c r="BX116" s="229">
        <v>0.83620000000000005</v>
      </c>
      <c r="BY116" s="230">
        <v>8710</v>
      </c>
      <c r="BZ116" s="230">
        <v>8333</v>
      </c>
      <c r="CA116" s="228">
        <v>377</v>
      </c>
      <c r="CB116" s="229">
        <v>4.5199999999999997E-2</v>
      </c>
      <c r="CC116" s="230">
        <v>3461</v>
      </c>
      <c r="CD116" s="230">
        <v>4660</v>
      </c>
      <c r="CE116" s="230">
        <v>-1199</v>
      </c>
      <c r="CF116" s="229">
        <v>-0.25719999999999998</v>
      </c>
      <c r="CG116" s="230">
        <v>4174</v>
      </c>
      <c r="CH116" s="230">
        <v>2898</v>
      </c>
      <c r="CI116" s="230">
        <v>1277</v>
      </c>
      <c r="CJ116" s="229">
        <v>0.44059999999999999</v>
      </c>
      <c r="CK116" s="230">
        <v>1075</v>
      </c>
      <c r="CL116" s="228">
        <v>776</v>
      </c>
      <c r="CM116" s="228">
        <v>299</v>
      </c>
      <c r="CN116" s="229">
        <v>0.38469999999999999</v>
      </c>
      <c r="CO116" s="230">
        <v>1378</v>
      </c>
      <c r="CP116" s="230">
        <v>1325</v>
      </c>
      <c r="CQ116" s="228">
        <v>54</v>
      </c>
      <c r="CR116" s="229">
        <v>4.0399999999999998E-2</v>
      </c>
      <c r="CS116" s="230">
        <v>1107</v>
      </c>
      <c r="CT116" s="230">
        <v>1079</v>
      </c>
      <c r="CU116" s="228">
        <v>28</v>
      </c>
      <c r="CV116" s="229">
        <v>2.58E-2</v>
      </c>
      <c r="CW116" s="230">
        <v>11195</v>
      </c>
      <c r="CX116" s="230">
        <v>10737</v>
      </c>
      <c r="CY116" s="228">
        <v>458</v>
      </c>
      <c r="CZ116" s="229">
        <v>4.2700000000000002E-2</v>
      </c>
      <c r="DA116" s="228">
        <v>29.53</v>
      </c>
      <c r="DB116" s="228">
        <v>25.22</v>
      </c>
      <c r="DC116" s="228">
        <v>4.3099999999999996</v>
      </c>
      <c r="DD116" s="228">
        <v>4.3099999999999996</v>
      </c>
      <c r="DE116" s="228">
        <v>27.3</v>
      </c>
      <c r="DF116" s="228">
        <v>27.26</v>
      </c>
      <c r="DG116" s="228">
        <v>2.23</v>
      </c>
      <c r="DH116" s="228">
        <v>0.04</v>
      </c>
      <c r="DI116" s="228">
        <v>30.1</v>
      </c>
      <c r="DJ116" s="228">
        <v>25.56</v>
      </c>
      <c r="DK116" s="228">
        <v>4.54</v>
      </c>
      <c r="DL116" s="228">
        <v>4.54</v>
      </c>
      <c r="DM116" s="228">
        <v>28.66</v>
      </c>
      <c r="DN116" s="228">
        <v>24.4</v>
      </c>
      <c r="DO116" s="228">
        <v>4.26</v>
      </c>
      <c r="DP116" s="228">
        <v>4.26</v>
      </c>
      <c r="DQ116" s="228">
        <v>0.8</v>
      </c>
      <c r="DR116" s="228">
        <v>0.81</v>
      </c>
      <c r="DS116" s="228">
        <v>-0.01</v>
      </c>
      <c r="DT116" s="229">
        <v>-1.23E-2</v>
      </c>
      <c r="DU116" s="228">
        <v>370</v>
      </c>
      <c r="DV116" s="228">
        <v>335</v>
      </c>
      <c r="DW116" s="228">
        <v>0.56999999999999995</v>
      </c>
      <c r="DX116" s="228">
        <v>0.42</v>
      </c>
      <c r="DY116" s="228">
        <v>0.15</v>
      </c>
      <c r="DZ116" s="229">
        <v>0.35709999999999997</v>
      </c>
      <c r="EA116" s="229">
        <v>0.60260000000000002</v>
      </c>
      <c r="EB116" s="230">
        <v>99088000</v>
      </c>
      <c r="EC116" s="229">
        <v>5.7999999999999996E-3</v>
      </c>
      <c r="ED116" s="229">
        <v>0.60260000000000002</v>
      </c>
      <c r="EE116" s="228">
        <v>2.19</v>
      </c>
      <c r="EF116" s="229">
        <v>5.8999999999999999E-3</v>
      </c>
      <c r="EG116" s="230">
        <v>21547339</v>
      </c>
      <c r="EH116" s="230">
        <v>13052506</v>
      </c>
      <c r="EI116" s="229">
        <v>0.65080000000000005</v>
      </c>
      <c r="EJ116" s="229">
        <v>0.67669999999999997</v>
      </c>
      <c r="EK116" s="231">
        <v>1883.4</v>
      </c>
      <c r="EL116" s="231">
        <v>1039.8399999999999</v>
      </c>
      <c r="EM116" s="231">
        <v>3292.57</v>
      </c>
      <c r="EN116" s="228">
        <v>178.57</v>
      </c>
      <c r="EO116" s="231">
        <v>6215.82</v>
      </c>
      <c r="EP116" s="231">
        <v>3479.53</v>
      </c>
      <c r="EQ116" s="231">
        <v>2736.29</v>
      </c>
      <c r="ER116" s="229">
        <v>0.78639999999999999</v>
      </c>
      <c r="ES116" s="231">
        <v>1444.38</v>
      </c>
      <c r="ET116" s="231">
        <v>1074.42</v>
      </c>
      <c r="EU116" s="231">
        <v>8747.36</v>
      </c>
      <c r="EV116" s="231">
        <v>882793124</v>
      </c>
      <c r="EW116" s="231">
        <v>11266.16</v>
      </c>
      <c r="EX116" s="231">
        <v>10946.07</v>
      </c>
      <c r="EY116" s="228">
        <v>320.08999999999997</v>
      </c>
      <c r="EZ116" s="229">
        <v>2.92E-2</v>
      </c>
      <c r="FA116" s="229">
        <v>0.34210000000000002</v>
      </c>
      <c r="FB116" s="227" t="s">
        <v>566</v>
      </c>
      <c r="FC116">
        <f t="shared" si="1"/>
        <v>5249</v>
      </c>
    </row>
    <row r="117" spans="1:159" ht="17.25" thickBot="1" x14ac:dyDescent="0.3">
      <c r="A117" s="226">
        <v>46135</v>
      </c>
      <c r="B117" s="227" t="s">
        <v>221</v>
      </c>
      <c r="C117" s="227" t="s">
        <v>576</v>
      </c>
      <c r="D117" s="228">
        <v>425</v>
      </c>
      <c r="E117" s="228">
        <v>5</v>
      </c>
      <c r="F117" s="228">
        <v>733.4</v>
      </c>
      <c r="G117" s="228">
        <v>735.55</v>
      </c>
      <c r="H117" s="228">
        <v>-2.15</v>
      </c>
      <c r="I117" s="229">
        <v>-2.8999999999999998E-3</v>
      </c>
      <c r="J117" s="228">
        <v>733.65</v>
      </c>
      <c r="K117" s="228">
        <v>735.95</v>
      </c>
      <c r="L117" s="228">
        <v>-2.2999999999999998</v>
      </c>
      <c r="M117" s="229">
        <v>-3.0999999999999999E-3</v>
      </c>
      <c r="N117" s="228">
        <v>733.4</v>
      </c>
      <c r="O117" s="228">
        <v>735.55</v>
      </c>
      <c r="P117" s="228">
        <v>-2.15</v>
      </c>
      <c r="Q117" s="229">
        <v>-2.8999999999999998E-3</v>
      </c>
      <c r="R117" s="228">
        <v>738.2</v>
      </c>
      <c r="S117" s="228">
        <v>739</v>
      </c>
      <c r="T117" s="228">
        <v>-0.8</v>
      </c>
      <c r="U117" s="229">
        <v>-1.1000000000000001E-3</v>
      </c>
      <c r="V117" s="228">
        <v>743</v>
      </c>
      <c r="W117" s="228">
        <v>743.15</v>
      </c>
      <c r="X117" s="228">
        <v>-0.15</v>
      </c>
      <c r="Y117" s="229">
        <v>-2.0000000000000001E-4</v>
      </c>
      <c r="Z117" s="228">
        <v>-0.25</v>
      </c>
      <c r="AA117" s="228">
        <v>-0.4</v>
      </c>
      <c r="AB117" s="228">
        <v>0.15</v>
      </c>
      <c r="AC117" s="229">
        <v>-2.9999999999999997E-4</v>
      </c>
      <c r="AD117" s="228">
        <v>-0.25</v>
      </c>
      <c r="AE117" s="228">
        <v>-0.4</v>
      </c>
      <c r="AF117" s="228">
        <v>0.15</v>
      </c>
      <c r="AG117" s="229">
        <v>-2.9999999999999997E-4</v>
      </c>
      <c r="AH117" s="228">
        <v>4.55</v>
      </c>
      <c r="AI117" s="228">
        <v>3.05</v>
      </c>
      <c r="AJ117" s="228">
        <v>1.5</v>
      </c>
      <c r="AK117" s="229">
        <v>6.1999999999999998E-3</v>
      </c>
      <c r="AL117" s="228">
        <v>9.35</v>
      </c>
      <c r="AM117" s="228">
        <v>7.2</v>
      </c>
      <c r="AN117" s="228">
        <v>2.15</v>
      </c>
      <c r="AO117" s="229">
        <v>1.2699999999999999E-2</v>
      </c>
      <c r="AP117" s="228">
        <v>739.12</v>
      </c>
      <c r="AQ117" s="228">
        <v>743</v>
      </c>
      <c r="AR117" s="228">
        <v>0</v>
      </c>
      <c r="AS117" s="228">
        <v>367</v>
      </c>
      <c r="AT117" s="228">
        <v>177</v>
      </c>
      <c r="AU117" s="228">
        <v>190</v>
      </c>
      <c r="AV117" s="229">
        <v>1.0717000000000001</v>
      </c>
      <c r="AW117" s="228">
        <v>203</v>
      </c>
      <c r="AX117" s="228">
        <v>122</v>
      </c>
      <c r="AY117" s="228">
        <v>81</v>
      </c>
      <c r="AZ117" s="229">
        <v>0.6673</v>
      </c>
      <c r="BA117" s="228">
        <v>161</v>
      </c>
      <c r="BB117" s="228">
        <v>51</v>
      </c>
      <c r="BC117" s="228">
        <v>111</v>
      </c>
      <c r="BD117" s="229">
        <v>2.1897000000000002</v>
      </c>
      <c r="BE117" s="228">
        <v>2</v>
      </c>
      <c r="BF117" s="228">
        <v>5</v>
      </c>
      <c r="BG117" s="228">
        <v>-2</v>
      </c>
      <c r="BH117" s="229">
        <v>-0.51680000000000004</v>
      </c>
      <c r="BI117" s="228">
        <v>225</v>
      </c>
      <c r="BJ117" s="228">
        <v>226</v>
      </c>
      <c r="BK117" s="228">
        <v>0</v>
      </c>
      <c r="BL117" s="229">
        <v>-1.6999999999999999E-3</v>
      </c>
      <c r="BM117" s="228">
        <v>100</v>
      </c>
      <c r="BN117" s="228">
        <v>193</v>
      </c>
      <c r="BO117" s="228">
        <v>-93</v>
      </c>
      <c r="BP117" s="229">
        <v>-0.48149999999999998</v>
      </c>
      <c r="BQ117" s="228">
        <v>692</v>
      </c>
      <c r="BR117" s="228">
        <v>596</v>
      </c>
      <c r="BS117" s="228">
        <v>96</v>
      </c>
      <c r="BT117" s="229">
        <v>0.16139999999999999</v>
      </c>
      <c r="BU117" s="230">
        <v>1125887</v>
      </c>
      <c r="BV117" s="230">
        <v>1847170</v>
      </c>
      <c r="BW117" s="230">
        <v>-721283</v>
      </c>
      <c r="BX117" s="229">
        <v>-0.39050000000000001</v>
      </c>
      <c r="BY117" s="228">
        <v>502</v>
      </c>
      <c r="BZ117" s="228">
        <v>513</v>
      </c>
      <c r="CA117" s="228">
        <v>-11</v>
      </c>
      <c r="CB117" s="229">
        <v>-2.1700000000000001E-2</v>
      </c>
      <c r="CC117" s="228">
        <v>331</v>
      </c>
      <c r="CD117" s="228">
        <v>446</v>
      </c>
      <c r="CE117" s="228">
        <v>-115</v>
      </c>
      <c r="CF117" s="229">
        <v>-0.25690000000000002</v>
      </c>
      <c r="CG117" s="228">
        <v>163</v>
      </c>
      <c r="CH117" s="228">
        <v>59</v>
      </c>
      <c r="CI117" s="228">
        <v>103</v>
      </c>
      <c r="CJ117" s="229">
        <v>1.75</v>
      </c>
      <c r="CK117" s="228">
        <v>8</v>
      </c>
      <c r="CL117" s="228">
        <v>8</v>
      </c>
      <c r="CM117" s="228">
        <v>0</v>
      </c>
      <c r="CN117" s="229">
        <v>3.8999999999999998E-3</v>
      </c>
      <c r="CO117" s="228">
        <v>269</v>
      </c>
      <c r="CP117" s="228">
        <v>266</v>
      </c>
      <c r="CQ117" s="228">
        <v>2</v>
      </c>
      <c r="CR117" s="229">
        <v>8.3999999999999995E-3</v>
      </c>
      <c r="CS117" s="228">
        <v>157</v>
      </c>
      <c r="CT117" s="228">
        <v>159</v>
      </c>
      <c r="CU117" s="228">
        <v>-3</v>
      </c>
      <c r="CV117" s="229">
        <v>-1.6E-2</v>
      </c>
      <c r="CW117" s="228">
        <v>928</v>
      </c>
      <c r="CX117" s="228">
        <v>939</v>
      </c>
      <c r="CY117" s="228">
        <v>-11</v>
      </c>
      <c r="CZ117" s="229">
        <v>-1.2200000000000001E-2</v>
      </c>
      <c r="DA117" s="228">
        <v>45.38</v>
      </c>
      <c r="DB117" s="228">
        <v>45.83</v>
      </c>
      <c r="DC117" s="228">
        <v>-0.45</v>
      </c>
      <c r="DD117" s="228">
        <v>-0.45</v>
      </c>
      <c r="DE117" s="228">
        <v>44.76</v>
      </c>
      <c r="DF117" s="228">
        <v>44.87</v>
      </c>
      <c r="DG117" s="228">
        <v>0.62</v>
      </c>
      <c r="DH117" s="228">
        <v>-0.11</v>
      </c>
      <c r="DI117" s="228">
        <v>43.59</v>
      </c>
      <c r="DJ117" s="228">
        <v>44.15</v>
      </c>
      <c r="DK117" s="228">
        <v>-0.56000000000000005</v>
      </c>
      <c r="DL117" s="228">
        <v>-0.56000000000000005</v>
      </c>
      <c r="DM117" s="228">
        <v>47.9</v>
      </c>
      <c r="DN117" s="228">
        <v>47.79</v>
      </c>
      <c r="DO117" s="228">
        <v>0.11</v>
      </c>
      <c r="DP117" s="228">
        <v>0.11</v>
      </c>
      <c r="DQ117" s="228">
        <v>0.57999999999999996</v>
      </c>
      <c r="DR117" s="228">
        <v>0.6</v>
      </c>
      <c r="DS117" s="228">
        <v>-0.02</v>
      </c>
      <c r="DT117" s="229">
        <v>-3.3300000000000003E-2</v>
      </c>
      <c r="DU117" s="228">
        <v>800</v>
      </c>
      <c r="DV117" s="228">
        <v>700</v>
      </c>
      <c r="DW117" s="228">
        <v>0.44</v>
      </c>
      <c r="DX117" s="228">
        <v>0.86</v>
      </c>
      <c r="DY117" s="228">
        <v>-0.42</v>
      </c>
      <c r="DZ117" s="229">
        <v>-0.4884</v>
      </c>
      <c r="EA117" s="229">
        <v>0.33979999999999999</v>
      </c>
      <c r="EB117" s="230">
        <v>915025</v>
      </c>
      <c r="EC117" s="229">
        <v>6.4999999999999997E-3</v>
      </c>
      <c r="ED117" s="229">
        <v>0.33979999999999999</v>
      </c>
      <c r="EE117" s="228">
        <v>3.88</v>
      </c>
      <c r="EF117" s="229">
        <v>5.1999999999999998E-3</v>
      </c>
      <c r="EG117" s="230">
        <v>340525</v>
      </c>
      <c r="EH117" s="230">
        <v>539848</v>
      </c>
      <c r="EI117" s="229">
        <v>-0.36919999999999997</v>
      </c>
      <c r="EJ117" s="229">
        <v>0.30249999999999999</v>
      </c>
      <c r="EK117" s="228">
        <v>236.64</v>
      </c>
      <c r="EL117" s="228">
        <v>99.41</v>
      </c>
      <c r="EM117" s="228">
        <v>370.32</v>
      </c>
      <c r="EN117" s="228">
        <v>42.22</v>
      </c>
      <c r="EO117" s="228">
        <v>706.37</v>
      </c>
      <c r="EP117" s="228">
        <v>601.6</v>
      </c>
      <c r="EQ117" s="228">
        <v>104.77</v>
      </c>
      <c r="ER117" s="229">
        <v>0.1741</v>
      </c>
      <c r="ES117" s="228">
        <v>277.47000000000003</v>
      </c>
      <c r="ET117" s="228">
        <v>148.28</v>
      </c>
      <c r="EU117" s="228">
        <v>503.09</v>
      </c>
      <c r="EV117" s="231">
        <v>24611073</v>
      </c>
      <c r="EW117" s="228">
        <v>928.85</v>
      </c>
      <c r="EX117" s="228">
        <v>940.66</v>
      </c>
      <c r="EY117" s="228">
        <v>-11.81</v>
      </c>
      <c r="EZ117" s="229">
        <v>-1.26E-2</v>
      </c>
      <c r="FA117" s="229">
        <v>0.51390000000000002</v>
      </c>
      <c r="FB117" s="227" t="s">
        <v>567</v>
      </c>
      <c r="FC117">
        <f t="shared" si="1"/>
        <v>171</v>
      </c>
    </row>
    <row r="118" spans="1:159" ht="17.25" thickBot="1" x14ac:dyDescent="0.3">
      <c r="A118" s="226">
        <v>46135</v>
      </c>
      <c r="B118" s="227" t="s">
        <v>170</v>
      </c>
      <c r="C118" s="227" t="s">
        <v>535</v>
      </c>
      <c r="D118" s="228">
        <v>850</v>
      </c>
      <c r="E118" s="228">
        <v>5</v>
      </c>
      <c r="F118" s="231">
        <v>1129.3</v>
      </c>
      <c r="G118" s="231">
        <v>1098.75</v>
      </c>
      <c r="H118" s="228">
        <v>30.55</v>
      </c>
      <c r="I118" s="229">
        <v>2.7799999999999998E-2</v>
      </c>
      <c r="J118" s="231">
        <v>1129</v>
      </c>
      <c r="K118" s="231">
        <v>1096.0999999999999</v>
      </c>
      <c r="L118" s="228">
        <v>32.9</v>
      </c>
      <c r="M118" s="229">
        <v>0.03</v>
      </c>
      <c r="N118" s="231">
        <v>1129.3</v>
      </c>
      <c r="O118" s="231">
        <v>1098.75</v>
      </c>
      <c r="P118" s="228">
        <v>30.55</v>
      </c>
      <c r="Q118" s="229">
        <v>2.7799999999999998E-2</v>
      </c>
      <c r="R118" s="231">
        <v>1134.55</v>
      </c>
      <c r="S118" s="231">
        <v>1103.45</v>
      </c>
      <c r="T118" s="228">
        <v>31.1</v>
      </c>
      <c r="U118" s="229">
        <v>2.8199999999999999E-2</v>
      </c>
      <c r="V118" s="231">
        <v>1142.3</v>
      </c>
      <c r="W118" s="231">
        <v>1110.7</v>
      </c>
      <c r="X118" s="228">
        <v>31.6</v>
      </c>
      <c r="Y118" s="229">
        <v>2.8500000000000001E-2</v>
      </c>
      <c r="Z118" s="228">
        <v>0.3</v>
      </c>
      <c r="AA118" s="228">
        <v>2.65</v>
      </c>
      <c r="AB118" s="228">
        <v>-2.35</v>
      </c>
      <c r="AC118" s="229">
        <v>2.9999999999999997E-4</v>
      </c>
      <c r="AD118" s="228">
        <v>0.3</v>
      </c>
      <c r="AE118" s="228">
        <v>2.65</v>
      </c>
      <c r="AF118" s="228">
        <v>-2.35</v>
      </c>
      <c r="AG118" s="229">
        <v>2.9999999999999997E-4</v>
      </c>
      <c r="AH118" s="228">
        <v>5.55</v>
      </c>
      <c r="AI118" s="228">
        <v>7.35</v>
      </c>
      <c r="AJ118" s="228">
        <v>-1.8</v>
      </c>
      <c r="AK118" s="229">
        <v>4.8999999999999998E-3</v>
      </c>
      <c r="AL118" s="228">
        <v>13.3</v>
      </c>
      <c r="AM118" s="228">
        <v>14.6</v>
      </c>
      <c r="AN118" s="228">
        <v>-1.3</v>
      </c>
      <c r="AO118" s="229">
        <v>1.18E-2</v>
      </c>
      <c r="AP118" s="231">
        <v>1121.58</v>
      </c>
      <c r="AQ118" s="231">
        <v>1127.3900000000001</v>
      </c>
      <c r="AR118" s="228">
        <v>0</v>
      </c>
      <c r="AS118" s="230">
        <v>1176</v>
      </c>
      <c r="AT118" s="228">
        <v>577</v>
      </c>
      <c r="AU118" s="228">
        <v>599</v>
      </c>
      <c r="AV118" s="229">
        <v>1.0379</v>
      </c>
      <c r="AW118" s="228">
        <v>618</v>
      </c>
      <c r="AX118" s="228">
        <v>291</v>
      </c>
      <c r="AY118" s="228">
        <v>328</v>
      </c>
      <c r="AZ118" s="229">
        <v>1.1282000000000001</v>
      </c>
      <c r="BA118" s="228">
        <v>553</v>
      </c>
      <c r="BB118" s="228">
        <v>283</v>
      </c>
      <c r="BC118" s="228">
        <v>270</v>
      </c>
      <c r="BD118" s="229">
        <v>0.95089999999999997</v>
      </c>
      <c r="BE118" s="228">
        <v>4</v>
      </c>
      <c r="BF118" s="228">
        <v>3</v>
      </c>
      <c r="BG118" s="228">
        <v>1</v>
      </c>
      <c r="BH118" s="229">
        <v>0.5</v>
      </c>
      <c r="BI118" s="230">
        <v>1727</v>
      </c>
      <c r="BJ118" s="228">
        <v>767</v>
      </c>
      <c r="BK118" s="228">
        <v>960</v>
      </c>
      <c r="BL118" s="229">
        <v>1.2518</v>
      </c>
      <c r="BM118" s="228">
        <v>450</v>
      </c>
      <c r="BN118" s="228">
        <v>382</v>
      </c>
      <c r="BO118" s="228">
        <v>68</v>
      </c>
      <c r="BP118" s="229">
        <v>0.17780000000000001</v>
      </c>
      <c r="BQ118" s="230">
        <v>3352</v>
      </c>
      <c r="BR118" s="230">
        <v>1726</v>
      </c>
      <c r="BS118" s="230">
        <v>1627</v>
      </c>
      <c r="BT118" s="229">
        <v>0.9425</v>
      </c>
      <c r="BU118" s="230">
        <v>1993393</v>
      </c>
      <c r="BV118" s="230">
        <v>1981298</v>
      </c>
      <c r="BW118" s="230">
        <v>12095</v>
      </c>
      <c r="BX118" s="229">
        <v>6.1000000000000004E-3</v>
      </c>
      <c r="BY118" s="230">
        <v>2052</v>
      </c>
      <c r="BZ118" s="230">
        <v>2063</v>
      </c>
      <c r="CA118" s="228">
        <v>-12</v>
      </c>
      <c r="CB118" s="229">
        <v>-5.7000000000000002E-3</v>
      </c>
      <c r="CC118" s="230">
        <v>1239</v>
      </c>
      <c r="CD118" s="230">
        <v>1677</v>
      </c>
      <c r="CE118" s="228">
        <v>-437</v>
      </c>
      <c r="CF118" s="229">
        <v>-0.26090000000000002</v>
      </c>
      <c r="CG118" s="228">
        <v>801</v>
      </c>
      <c r="CH118" s="228">
        <v>378</v>
      </c>
      <c r="CI118" s="228">
        <v>423</v>
      </c>
      <c r="CJ118" s="229">
        <v>1.1204000000000001</v>
      </c>
      <c r="CK118" s="228">
        <v>11</v>
      </c>
      <c r="CL118" s="228">
        <v>9</v>
      </c>
      <c r="CM118" s="228">
        <v>2</v>
      </c>
      <c r="CN118" s="229">
        <v>0.25</v>
      </c>
      <c r="CO118" s="228">
        <v>678</v>
      </c>
      <c r="CP118" s="228">
        <v>663</v>
      </c>
      <c r="CQ118" s="228">
        <v>16</v>
      </c>
      <c r="CR118" s="229">
        <v>2.41E-2</v>
      </c>
      <c r="CS118" s="228">
        <v>538</v>
      </c>
      <c r="CT118" s="228">
        <v>532</v>
      </c>
      <c r="CU118" s="228">
        <v>6</v>
      </c>
      <c r="CV118" s="229">
        <v>1.0500000000000001E-2</v>
      </c>
      <c r="CW118" s="230">
        <v>3268</v>
      </c>
      <c r="CX118" s="230">
        <v>3258</v>
      </c>
      <c r="CY118" s="228">
        <v>10</v>
      </c>
      <c r="CZ118" s="229">
        <v>3.0000000000000001E-3</v>
      </c>
      <c r="DA118" s="228">
        <v>35.99</v>
      </c>
      <c r="DB118" s="228">
        <v>30.08</v>
      </c>
      <c r="DC118" s="228">
        <v>5.91</v>
      </c>
      <c r="DD118" s="228">
        <v>5.91</v>
      </c>
      <c r="DE118" s="228">
        <v>39.380000000000003</v>
      </c>
      <c r="DF118" s="228">
        <v>39.28</v>
      </c>
      <c r="DG118" s="228">
        <v>-3.39</v>
      </c>
      <c r="DH118" s="228">
        <v>0.1</v>
      </c>
      <c r="DI118" s="228">
        <v>35.65</v>
      </c>
      <c r="DJ118" s="228">
        <v>29.87</v>
      </c>
      <c r="DK118" s="228">
        <v>5.78</v>
      </c>
      <c r="DL118" s="228">
        <v>5.78</v>
      </c>
      <c r="DM118" s="228">
        <v>37.200000000000003</v>
      </c>
      <c r="DN118" s="228">
        <v>30.52</v>
      </c>
      <c r="DO118" s="228">
        <v>6.68</v>
      </c>
      <c r="DP118" s="228">
        <v>6.68</v>
      </c>
      <c r="DQ118" s="228">
        <v>0.79</v>
      </c>
      <c r="DR118" s="228">
        <v>0.8</v>
      </c>
      <c r="DS118" s="228">
        <v>-0.01</v>
      </c>
      <c r="DT118" s="229">
        <v>-1.2500000000000001E-2</v>
      </c>
      <c r="DU118" s="231">
        <v>1200</v>
      </c>
      <c r="DV118" s="231">
        <v>1050</v>
      </c>
      <c r="DW118" s="228">
        <v>0.26</v>
      </c>
      <c r="DX118" s="228">
        <v>0.5</v>
      </c>
      <c r="DY118" s="228">
        <v>-0.24</v>
      </c>
      <c r="DZ118" s="229">
        <v>-0.48</v>
      </c>
      <c r="EA118" s="229">
        <v>0.39600000000000002</v>
      </c>
      <c r="EB118" s="230">
        <v>3424650</v>
      </c>
      <c r="EC118" s="229">
        <v>4.5999999999999999E-3</v>
      </c>
      <c r="ED118" s="229">
        <v>0.39600000000000002</v>
      </c>
      <c r="EE118" s="228">
        <v>5.81</v>
      </c>
      <c r="EF118" s="229">
        <v>5.1999999999999998E-3</v>
      </c>
      <c r="EG118" s="230">
        <v>974657</v>
      </c>
      <c r="EH118" s="230">
        <v>1218577</v>
      </c>
      <c r="EI118" s="229">
        <v>-0.20019999999999999</v>
      </c>
      <c r="EJ118" s="229">
        <v>0.4889</v>
      </c>
      <c r="EK118" s="231">
        <v>1765.96</v>
      </c>
      <c r="EL118" s="228">
        <v>438.32</v>
      </c>
      <c r="EM118" s="231">
        <v>1170.54</v>
      </c>
      <c r="EN118" s="228">
        <v>34.5</v>
      </c>
      <c r="EO118" s="231">
        <v>3374.83</v>
      </c>
      <c r="EP118" s="231">
        <v>1720.28</v>
      </c>
      <c r="EQ118" s="231">
        <v>1654.55</v>
      </c>
      <c r="ER118" s="229">
        <v>0.96179999999999999</v>
      </c>
      <c r="ES118" s="228">
        <v>677.68</v>
      </c>
      <c r="ET118" s="228">
        <v>498.67</v>
      </c>
      <c r="EU118" s="231">
        <v>2055.46</v>
      </c>
      <c r="EV118" s="231">
        <v>58713729</v>
      </c>
      <c r="EW118" s="231">
        <v>3231.81</v>
      </c>
      <c r="EX118" s="231">
        <v>3158.16</v>
      </c>
      <c r="EY118" s="228">
        <v>73.650000000000006</v>
      </c>
      <c r="EZ118" s="229">
        <v>2.3300000000000001E-2</v>
      </c>
      <c r="FA118" s="229">
        <v>0.4929</v>
      </c>
      <c r="FB118" s="227" t="s">
        <v>693</v>
      </c>
      <c r="FC118">
        <f t="shared" si="1"/>
        <v>813</v>
      </c>
    </row>
    <row r="119" spans="1:159" ht="17.25" thickBot="1" x14ac:dyDescent="0.3">
      <c r="A119" s="226">
        <v>46135</v>
      </c>
      <c r="B119" s="227" t="s">
        <v>175</v>
      </c>
      <c r="C119" s="227" t="s">
        <v>248</v>
      </c>
      <c r="D119" s="228">
        <v>1000</v>
      </c>
      <c r="E119" s="228">
        <v>5</v>
      </c>
      <c r="F119" s="228">
        <v>546.20000000000005</v>
      </c>
      <c r="G119" s="228">
        <v>558.35</v>
      </c>
      <c r="H119" s="228">
        <v>-12.15</v>
      </c>
      <c r="I119" s="229">
        <v>-2.18E-2</v>
      </c>
      <c r="J119" s="228">
        <v>545.54999999999995</v>
      </c>
      <c r="K119" s="228">
        <v>559.04999999999995</v>
      </c>
      <c r="L119" s="228">
        <v>-13.5</v>
      </c>
      <c r="M119" s="229">
        <v>-2.41E-2</v>
      </c>
      <c r="N119" s="228">
        <v>546.20000000000005</v>
      </c>
      <c r="O119" s="228">
        <v>558.35</v>
      </c>
      <c r="P119" s="228">
        <v>-12.15</v>
      </c>
      <c r="Q119" s="229">
        <v>-2.18E-2</v>
      </c>
      <c r="R119" s="228">
        <v>549.25</v>
      </c>
      <c r="S119" s="228">
        <v>561.5</v>
      </c>
      <c r="T119" s="228">
        <v>-12.25</v>
      </c>
      <c r="U119" s="229">
        <v>-2.18E-2</v>
      </c>
      <c r="V119" s="228">
        <v>552.75</v>
      </c>
      <c r="W119" s="228">
        <v>565.15</v>
      </c>
      <c r="X119" s="228">
        <v>-12.4</v>
      </c>
      <c r="Y119" s="229">
        <v>-2.1899999999999999E-2</v>
      </c>
      <c r="Z119" s="228">
        <v>0.65</v>
      </c>
      <c r="AA119" s="228">
        <v>-0.7</v>
      </c>
      <c r="AB119" s="228">
        <v>1.35</v>
      </c>
      <c r="AC119" s="229">
        <v>1.1999999999999999E-3</v>
      </c>
      <c r="AD119" s="228">
        <v>0.65</v>
      </c>
      <c r="AE119" s="228">
        <v>-0.7</v>
      </c>
      <c r="AF119" s="228">
        <v>1.35</v>
      </c>
      <c r="AG119" s="229">
        <v>1.1999999999999999E-3</v>
      </c>
      <c r="AH119" s="228">
        <v>3.7</v>
      </c>
      <c r="AI119" s="228">
        <v>2.4500000000000002</v>
      </c>
      <c r="AJ119" s="228">
        <v>1.25</v>
      </c>
      <c r="AK119" s="229">
        <v>6.7999999999999996E-3</v>
      </c>
      <c r="AL119" s="228">
        <v>7.2</v>
      </c>
      <c r="AM119" s="228">
        <v>6.1</v>
      </c>
      <c r="AN119" s="228">
        <v>1.1000000000000001</v>
      </c>
      <c r="AO119" s="229">
        <v>1.32E-2</v>
      </c>
      <c r="AP119" s="228">
        <v>550.37</v>
      </c>
      <c r="AQ119" s="228">
        <v>553.23</v>
      </c>
      <c r="AR119" s="228">
        <v>0</v>
      </c>
      <c r="AS119" s="228">
        <v>600</v>
      </c>
      <c r="AT119" s="228">
        <v>341</v>
      </c>
      <c r="AU119" s="228">
        <v>258</v>
      </c>
      <c r="AV119" s="229">
        <v>0.75729999999999997</v>
      </c>
      <c r="AW119" s="228">
        <v>316</v>
      </c>
      <c r="AX119" s="228">
        <v>201</v>
      </c>
      <c r="AY119" s="228">
        <v>115</v>
      </c>
      <c r="AZ119" s="229">
        <v>0.56930000000000003</v>
      </c>
      <c r="BA119" s="228">
        <v>281</v>
      </c>
      <c r="BB119" s="228">
        <v>139</v>
      </c>
      <c r="BC119" s="228">
        <v>142</v>
      </c>
      <c r="BD119" s="229">
        <v>1.0204</v>
      </c>
      <c r="BE119" s="228">
        <v>3</v>
      </c>
      <c r="BF119" s="228">
        <v>1</v>
      </c>
      <c r="BG119" s="228">
        <v>2</v>
      </c>
      <c r="BH119" s="229">
        <v>2.3571</v>
      </c>
      <c r="BI119" s="228">
        <v>435</v>
      </c>
      <c r="BJ119" s="228">
        <v>514</v>
      </c>
      <c r="BK119" s="228">
        <v>-80</v>
      </c>
      <c r="BL119" s="229">
        <v>-0.15509999999999999</v>
      </c>
      <c r="BM119" s="228">
        <v>243</v>
      </c>
      <c r="BN119" s="228">
        <v>215</v>
      </c>
      <c r="BO119" s="228">
        <v>27</v>
      </c>
      <c r="BP119" s="229">
        <v>0.12659999999999999</v>
      </c>
      <c r="BQ119" s="230">
        <v>1277</v>
      </c>
      <c r="BR119" s="230">
        <v>1071</v>
      </c>
      <c r="BS119" s="228">
        <v>206</v>
      </c>
      <c r="BT119" s="229">
        <v>0.19220000000000001</v>
      </c>
      <c r="BU119" s="230">
        <v>1397095</v>
      </c>
      <c r="BV119" s="230">
        <v>1483159</v>
      </c>
      <c r="BW119" s="230">
        <v>-86064</v>
      </c>
      <c r="BX119" s="229">
        <v>-5.8000000000000003E-2</v>
      </c>
      <c r="BY119" s="230">
        <v>1681</v>
      </c>
      <c r="BZ119" s="230">
        <v>1719</v>
      </c>
      <c r="CA119" s="228">
        <v>-38</v>
      </c>
      <c r="CB119" s="229">
        <v>-2.1999999999999999E-2</v>
      </c>
      <c r="CC119" s="230">
        <v>1147</v>
      </c>
      <c r="CD119" s="230">
        <v>1384</v>
      </c>
      <c r="CE119" s="228">
        <v>-237</v>
      </c>
      <c r="CF119" s="229">
        <v>-0.17150000000000001</v>
      </c>
      <c r="CG119" s="228">
        <v>529</v>
      </c>
      <c r="CH119" s="228">
        <v>331</v>
      </c>
      <c r="CI119" s="228">
        <v>197</v>
      </c>
      <c r="CJ119" s="229">
        <v>0.59540000000000004</v>
      </c>
      <c r="CK119" s="228">
        <v>6</v>
      </c>
      <c r="CL119" s="228">
        <v>4</v>
      </c>
      <c r="CM119" s="228">
        <v>2</v>
      </c>
      <c r="CN119" s="229">
        <v>0.59699999999999998</v>
      </c>
      <c r="CO119" s="228">
        <v>458</v>
      </c>
      <c r="CP119" s="228">
        <v>442</v>
      </c>
      <c r="CQ119" s="228">
        <v>16</v>
      </c>
      <c r="CR119" s="229">
        <v>3.6299999999999999E-2</v>
      </c>
      <c r="CS119" s="228">
        <v>379</v>
      </c>
      <c r="CT119" s="228">
        <v>390</v>
      </c>
      <c r="CU119" s="228">
        <v>-11</v>
      </c>
      <c r="CV119" s="229">
        <v>-2.7400000000000001E-2</v>
      </c>
      <c r="CW119" s="230">
        <v>2519</v>
      </c>
      <c r="CX119" s="230">
        <v>2551</v>
      </c>
      <c r="CY119" s="228">
        <v>-32</v>
      </c>
      <c r="CZ119" s="229">
        <v>-1.2699999999999999E-2</v>
      </c>
      <c r="DA119" s="228">
        <v>30.13</v>
      </c>
      <c r="DB119" s="228">
        <v>29.81</v>
      </c>
      <c r="DC119" s="228">
        <v>0.32</v>
      </c>
      <c r="DD119" s="228">
        <v>0.32</v>
      </c>
      <c r="DE119" s="228">
        <v>33.76</v>
      </c>
      <c r="DF119" s="228">
        <v>33.71</v>
      </c>
      <c r="DG119" s="228">
        <v>-3.63</v>
      </c>
      <c r="DH119" s="228">
        <v>0.05</v>
      </c>
      <c r="DI119" s="228">
        <v>30.19</v>
      </c>
      <c r="DJ119" s="228">
        <v>29.29</v>
      </c>
      <c r="DK119" s="228">
        <v>0.9</v>
      </c>
      <c r="DL119" s="228">
        <v>0.9</v>
      </c>
      <c r="DM119" s="228">
        <v>29.94</v>
      </c>
      <c r="DN119" s="228">
        <v>31.08</v>
      </c>
      <c r="DO119" s="228">
        <v>-1.1399999999999999</v>
      </c>
      <c r="DP119" s="228">
        <v>-1.1399999999999999</v>
      </c>
      <c r="DQ119" s="228">
        <v>0.83</v>
      </c>
      <c r="DR119" s="228">
        <v>0.88</v>
      </c>
      <c r="DS119" s="228">
        <v>-0.05</v>
      </c>
      <c r="DT119" s="229">
        <v>-5.6800000000000003E-2</v>
      </c>
      <c r="DU119" s="228">
        <v>600</v>
      </c>
      <c r="DV119" s="228">
        <v>480</v>
      </c>
      <c r="DW119" s="228">
        <v>0.56000000000000005</v>
      </c>
      <c r="DX119" s="228">
        <v>0.42</v>
      </c>
      <c r="DY119" s="228">
        <v>0.14000000000000001</v>
      </c>
      <c r="DZ119" s="229">
        <v>0.33329999999999999</v>
      </c>
      <c r="EA119" s="229">
        <v>0.31790000000000002</v>
      </c>
      <c r="EB119" s="230">
        <v>6132000</v>
      </c>
      <c r="EC119" s="229">
        <v>5.5999999999999999E-3</v>
      </c>
      <c r="ED119" s="229">
        <v>0.31790000000000002</v>
      </c>
      <c r="EE119" s="228">
        <v>2.86</v>
      </c>
      <c r="EF119" s="229">
        <v>5.1999999999999998E-3</v>
      </c>
      <c r="EG119" s="230">
        <v>630581</v>
      </c>
      <c r="EH119" s="230">
        <v>651975</v>
      </c>
      <c r="EI119" s="229">
        <v>-3.2800000000000003E-2</v>
      </c>
      <c r="EJ119" s="229">
        <v>0.45140000000000002</v>
      </c>
      <c r="EK119" s="228">
        <v>457.28</v>
      </c>
      <c r="EL119" s="228">
        <v>242.82</v>
      </c>
      <c r="EM119" s="228">
        <v>605.69000000000005</v>
      </c>
      <c r="EN119" s="228">
        <v>51.51</v>
      </c>
      <c r="EO119" s="231">
        <v>1305.79</v>
      </c>
      <c r="EP119" s="231">
        <v>1115.78</v>
      </c>
      <c r="EQ119" s="228">
        <v>190</v>
      </c>
      <c r="ER119" s="229">
        <v>0.17030000000000001</v>
      </c>
      <c r="ES119" s="228">
        <v>472.91</v>
      </c>
      <c r="ET119" s="228">
        <v>358.34</v>
      </c>
      <c r="EU119" s="231">
        <v>1683.95</v>
      </c>
      <c r="EV119" s="231">
        <v>45183075</v>
      </c>
      <c r="EW119" s="231">
        <v>2515.1999999999998</v>
      </c>
      <c r="EX119" s="231">
        <v>2583.67</v>
      </c>
      <c r="EY119" s="228">
        <v>-68.47</v>
      </c>
      <c r="EZ119" s="229">
        <v>-2.6499999999999999E-2</v>
      </c>
      <c r="FA119" s="229">
        <v>1.0206</v>
      </c>
      <c r="FB119" s="227" t="s">
        <v>567</v>
      </c>
      <c r="FC119">
        <f t="shared" si="1"/>
        <v>534</v>
      </c>
    </row>
    <row r="120" spans="1:159" ht="17.25" thickBot="1" x14ac:dyDescent="0.3">
      <c r="A120" s="226">
        <v>46135</v>
      </c>
      <c r="B120" s="227" t="s">
        <v>175</v>
      </c>
      <c r="C120" s="227" t="s">
        <v>606</v>
      </c>
      <c r="D120" s="228">
        <v>700</v>
      </c>
      <c r="E120" s="228">
        <v>5</v>
      </c>
      <c r="F120" s="228">
        <v>810.8</v>
      </c>
      <c r="G120" s="228">
        <v>822.85</v>
      </c>
      <c r="H120" s="228">
        <v>-12.05</v>
      </c>
      <c r="I120" s="229">
        <v>-1.46E-2</v>
      </c>
      <c r="J120" s="228">
        <v>811.65</v>
      </c>
      <c r="K120" s="228">
        <v>820.5</v>
      </c>
      <c r="L120" s="228">
        <v>-8.85</v>
      </c>
      <c r="M120" s="229">
        <v>-1.0800000000000001E-2</v>
      </c>
      <c r="N120" s="228">
        <v>810.8</v>
      </c>
      <c r="O120" s="228">
        <v>822.85</v>
      </c>
      <c r="P120" s="228">
        <v>-12.05</v>
      </c>
      <c r="Q120" s="229">
        <v>-1.46E-2</v>
      </c>
      <c r="R120" s="228">
        <v>805.65</v>
      </c>
      <c r="S120" s="228">
        <v>820.5</v>
      </c>
      <c r="T120" s="228">
        <v>-14.85</v>
      </c>
      <c r="U120" s="229">
        <v>-1.8100000000000002E-2</v>
      </c>
      <c r="V120" s="228">
        <v>806.75</v>
      </c>
      <c r="W120" s="228">
        <v>821.9</v>
      </c>
      <c r="X120" s="228">
        <v>-15.15</v>
      </c>
      <c r="Y120" s="229">
        <v>-1.84E-2</v>
      </c>
      <c r="Z120" s="228">
        <v>-0.85</v>
      </c>
      <c r="AA120" s="228">
        <v>2.35</v>
      </c>
      <c r="AB120" s="228">
        <v>-3.2</v>
      </c>
      <c r="AC120" s="229">
        <v>-1E-3</v>
      </c>
      <c r="AD120" s="228">
        <v>-0.85</v>
      </c>
      <c r="AE120" s="228">
        <v>2.35</v>
      </c>
      <c r="AF120" s="228">
        <v>-3.2</v>
      </c>
      <c r="AG120" s="229">
        <v>-1E-3</v>
      </c>
      <c r="AH120" s="228">
        <v>-6</v>
      </c>
      <c r="AI120" s="228">
        <v>0</v>
      </c>
      <c r="AJ120" s="228">
        <v>-6</v>
      </c>
      <c r="AK120" s="229">
        <v>-7.4000000000000003E-3</v>
      </c>
      <c r="AL120" s="228">
        <v>-4.9000000000000004</v>
      </c>
      <c r="AM120" s="228">
        <v>1.4</v>
      </c>
      <c r="AN120" s="228">
        <v>-6.3</v>
      </c>
      <c r="AO120" s="229">
        <v>-6.0000000000000001E-3</v>
      </c>
      <c r="AP120" s="228">
        <v>815.95</v>
      </c>
      <c r="AQ120" s="228">
        <v>811.91</v>
      </c>
      <c r="AR120" s="228">
        <v>0</v>
      </c>
      <c r="AS120" s="228">
        <v>590</v>
      </c>
      <c r="AT120" s="228">
        <v>135</v>
      </c>
      <c r="AU120" s="228">
        <v>455</v>
      </c>
      <c r="AV120" s="229">
        <v>3.3595999999999999</v>
      </c>
      <c r="AW120" s="228">
        <v>293</v>
      </c>
      <c r="AX120" s="228">
        <v>78</v>
      </c>
      <c r="AY120" s="228">
        <v>215</v>
      </c>
      <c r="AZ120" s="229">
        <v>2.7568999999999999</v>
      </c>
      <c r="BA120" s="228">
        <v>291</v>
      </c>
      <c r="BB120" s="228">
        <v>56</v>
      </c>
      <c r="BC120" s="228">
        <v>236</v>
      </c>
      <c r="BD120" s="229">
        <v>4.24</v>
      </c>
      <c r="BE120" s="228">
        <v>6</v>
      </c>
      <c r="BF120" s="228">
        <v>2</v>
      </c>
      <c r="BG120" s="228">
        <v>4</v>
      </c>
      <c r="BH120" s="229">
        <v>2.3332999999999999</v>
      </c>
      <c r="BI120" s="228">
        <v>358</v>
      </c>
      <c r="BJ120" s="228">
        <v>277</v>
      </c>
      <c r="BK120" s="228">
        <v>81</v>
      </c>
      <c r="BL120" s="229">
        <v>0.29339999999999999</v>
      </c>
      <c r="BM120" s="228">
        <v>195</v>
      </c>
      <c r="BN120" s="228">
        <v>85</v>
      </c>
      <c r="BO120" s="228">
        <v>110</v>
      </c>
      <c r="BP120" s="229">
        <v>1.2882</v>
      </c>
      <c r="BQ120" s="230">
        <v>1143</v>
      </c>
      <c r="BR120" s="228">
        <v>497</v>
      </c>
      <c r="BS120" s="228">
        <v>646</v>
      </c>
      <c r="BT120" s="229">
        <v>1.2986</v>
      </c>
      <c r="BU120" s="230">
        <v>931945</v>
      </c>
      <c r="BV120" s="230">
        <v>1222096</v>
      </c>
      <c r="BW120" s="230">
        <v>-290151</v>
      </c>
      <c r="BX120" s="229">
        <v>-0.2374</v>
      </c>
      <c r="BY120" s="228">
        <v>823</v>
      </c>
      <c r="BZ120" s="228">
        <v>953</v>
      </c>
      <c r="CA120" s="228">
        <v>-130</v>
      </c>
      <c r="CB120" s="229">
        <v>-0.1366</v>
      </c>
      <c r="CC120" s="228">
        <v>448</v>
      </c>
      <c r="CD120" s="228">
        <v>677</v>
      </c>
      <c r="CE120" s="228">
        <v>-230</v>
      </c>
      <c r="CF120" s="229">
        <v>-0.3392</v>
      </c>
      <c r="CG120" s="228">
        <v>349</v>
      </c>
      <c r="CH120" s="228">
        <v>252</v>
      </c>
      <c r="CI120" s="228">
        <v>96</v>
      </c>
      <c r="CJ120" s="229">
        <v>0.38119999999999998</v>
      </c>
      <c r="CK120" s="228">
        <v>27</v>
      </c>
      <c r="CL120" s="228">
        <v>23</v>
      </c>
      <c r="CM120" s="228">
        <v>3</v>
      </c>
      <c r="CN120" s="229">
        <v>0.1404</v>
      </c>
      <c r="CO120" s="228">
        <v>553</v>
      </c>
      <c r="CP120" s="228">
        <v>584</v>
      </c>
      <c r="CQ120" s="228">
        <v>-31</v>
      </c>
      <c r="CR120" s="229">
        <v>-5.2900000000000003E-2</v>
      </c>
      <c r="CS120" s="228">
        <v>388</v>
      </c>
      <c r="CT120" s="228">
        <v>377</v>
      </c>
      <c r="CU120" s="228">
        <v>11</v>
      </c>
      <c r="CV120" s="229">
        <v>0.03</v>
      </c>
      <c r="CW120" s="230">
        <v>1763</v>
      </c>
      <c r="CX120" s="230">
        <v>1913</v>
      </c>
      <c r="CY120" s="228">
        <v>-150</v>
      </c>
      <c r="CZ120" s="229">
        <v>-7.8299999999999995E-2</v>
      </c>
      <c r="DA120" s="228">
        <v>31.57</v>
      </c>
      <c r="DB120" s="228">
        <v>30.77</v>
      </c>
      <c r="DC120" s="228">
        <v>0.8</v>
      </c>
      <c r="DD120" s="228">
        <v>0.8</v>
      </c>
      <c r="DE120" s="228">
        <v>33.130000000000003</v>
      </c>
      <c r="DF120" s="228">
        <v>33.15</v>
      </c>
      <c r="DG120" s="228">
        <v>-1.56</v>
      </c>
      <c r="DH120" s="228">
        <v>-0.02</v>
      </c>
      <c r="DI120" s="228">
        <v>32.130000000000003</v>
      </c>
      <c r="DJ120" s="228">
        <v>31.16</v>
      </c>
      <c r="DK120" s="228">
        <v>0.97</v>
      </c>
      <c r="DL120" s="228">
        <v>0.97</v>
      </c>
      <c r="DM120" s="228">
        <v>30.39</v>
      </c>
      <c r="DN120" s="228">
        <v>29.49</v>
      </c>
      <c r="DO120" s="228">
        <v>0.9</v>
      </c>
      <c r="DP120" s="228">
        <v>0.9</v>
      </c>
      <c r="DQ120" s="228">
        <v>0.7</v>
      </c>
      <c r="DR120" s="228">
        <v>0.65</v>
      </c>
      <c r="DS120" s="228">
        <v>0.05</v>
      </c>
      <c r="DT120" s="229">
        <v>7.6899999999999996E-2</v>
      </c>
      <c r="DU120" s="228">
        <v>900</v>
      </c>
      <c r="DV120" s="228">
        <v>750</v>
      </c>
      <c r="DW120" s="228">
        <v>0.54</v>
      </c>
      <c r="DX120" s="228">
        <v>0.31</v>
      </c>
      <c r="DY120" s="228">
        <v>0.23</v>
      </c>
      <c r="DZ120" s="229">
        <v>0.7419</v>
      </c>
      <c r="EA120" s="229">
        <v>0.45610000000000001</v>
      </c>
      <c r="EB120" s="230">
        <v>3402000</v>
      </c>
      <c r="EC120" s="229">
        <v>-6.4000000000000003E-3</v>
      </c>
      <c r="ED120" s="229">
        <v>0.45610000000000001</v>
      </c>
      <c r="EE120" s="228">
        <v>-4.04</v>
      </c>
      <c r="EF120" s="229">
        <v>-5.0000000000000001E-3</v>
      </c>
      <c r="EG120" s="230">
        <v>470854</v>
      </c>
      <c r="EH120" s="230">
        <v>623995</v>
      </c>
      <c r="EI120" s="229">
        <v>-0.24540000000000001</v>
      </c>
      <c r="EJ120" s="229">
        <v>0.50519999999999998</v>
      </c>
      <c r="EK120" s="228">
        <v>380.99</v>
      </c>
      <c r="EL120" s="228">
        <v>193.21</v>
      </c>
      <c r="EM120" s="228">
        <v>592.64</v>
      </c>
      <c r="EN120" s="228">
        <v>30.71</v>
      </c>
      <c r="EO120" s="231">
        <v>1166.8399999999999</v>
      </c>
      <c r="EP120" s="228">
        <v>519.45000000000005</v>
      </c>
      <c r="EQ120" s="228">
        <v>647.39</v>
      </c>
      <c r="ER120" s="229">
        <v>1.2463</v>
      </c>
      <c r="ES120" s="228">
        <v>575.99</v>
      </c>
      <c r="ET120" s="228">
        <v>373.2</v>
      </c>
      <c r="EU120" s="228">
        <v>820.5</v>
      </c>
      <c r="EV120" s="231">
        <v>33206238</v>
      </c>
      <c r="EW120" s="231">
        <v>1769.69</v>
      </c>
      <c r="EX120" s="231">
        <v>1941.84</v>
      </c>
      <c r="EY120" s="228">
        <v>-172.15</v>
      </c>
      <c r="EZ120" s="229">
        <v>-8.8700000000000001E-2</v>
      </c>
      <c r="FA120" s="229">
        <v>0.65490000000000004</v>
      </c>
      <c r="FB120" s="227" t="s">
        <v>567</v>
      </c>
      <c r="FC120">
        <f t="shared" si="1"/>
        <v>375</v>
      </c>
    </row>
    <row r="121" spans="1:159" ht="17.25" thickBot="1" x14ac:dyDescent="0.3">
      <c r="A121" s="226">
        <v>46135</v>
      </c>
      <c r="B121" s="227" t="s">
        <v>206</v>
      </c>
      <c r="C121" s="227" t="s">
        <v>587</v>
      </c>
      <c r="D121" s="228">
        <v>450</v>
      </c>
      <c r="E121" s="228">
        <v>5</v>
      </c>
      <c r="F121" s="228">
        <v>857.7</v>
      </c>
      <c r="G121" s="228">
        <v>883.6</v>
      </c>
      <c r="H121" s="228">
        <v>-25.9</v>
      </c>
      <c r="I121" s="229">
        <v>-2.93E-2</v>
      </c>
      <c r="J121" s="228">
        <v>856.5</v>
      </c>
      <c r="K121" s="228">
        <v>884.8</v>
      </c>
      <c r="L121" s="228">
        <v>-28.3</v>
      </c>
      <c r="M121" s="229">
        <v>-3.2000000000000001E-2</v>
      </c>
      <c r="N121" s="228">
        <v>857.7</v>
      </c>
      <c r="O121" s="228">
        <v>883.6</v>
      </c>
      <c r="P121" s="228">
        <v>-25.9</v>
      </c>
      <c r="Q121" s="229">
        <v>-2.93E-2</v>
      </c>
      <c r="R121" s="228">
        <v>862.45</v>
      </c>
      <c r="S121" s="228">
        <v>889.05</v>
      </c>
      <c r="T121" s="228">
        <v>-26.6</v>
      </c>
      <c r="U121" s="229">
        <v>-2.9899999999999999E-2</v>
      </c>
      <c r="V121" s="228">
        <v>866.95</v>
      </c>
      <c r="W121" s="228">
        <v>893.5</v>
      </c>
      <c r="X121" s="228">
        <v>-26.55</v>
      </c>
      <c r="Y121" s="229">
        <v>-2.9700000000000001E-2</v>
      </c>
      <c r="Z121" s="228">
        <v>1.2</v>
      </c>
      <c r="AA121" s="228">
        <v>-1.2</v>
      </c>
      <c r="AB121" s="228">
        <v>2.4</v>
      </c>
      <c r="AC121" s="229">
        <v>1.4E-3</v>
      </c>
      <c r="AD121" s="228">
        <v>1.2</v>
      </c>
      <c r="AE121" s="228">
        <v>-1.2</v>
      </c>
      <c r="AF121" s="228">
        <v>2.4</v>
      </c>
      <c r="AG121" s="229">
        <v>1.4E-3</v>
      </c>
      <c r="AH121" s="228">
        <v>5.95</v>
      </c>
      <c r="AI121" s="228">
        <v>4.25</v>
      </c>
      <c r="AJ121" s="228">
        <v>1.7</v>
      </c>
      <c r="AK121" s="229">
        <v>6.8999999999999999E-3</v>
      </c>
      <c r="AL121" s="228">
        <v>10.45</v>
      </c>
      <c r="AM121" s="228">
        <v>8.6999999999999993</v>
      </c>
      <c r="AN121" s="228">
        <v>1.75</v>
      </c>
      <c r="AO121" s="229">
        <v>1.2200000000000001E-2</v>
      </c>
      <c r="AP121" s="228">
        <v>864.95</v>
      </c>
      <c r="AQ121" s="228">
        <v>869.69</v>
      </c>
      <c r="AR121" s="228">
        <v>0</v>
      </c>
      <c r="AS121" s="228">
        <v>745</v>
      </c>
      <c r="AT121" s="228">
        <v>277</v>
      </c>
      <c r="AU121" s="228">
        <v>469</v>
      </c>
      <c r="AV121" s="229">
        <v>1.6947000000000001</v>
      </c>
      <c r="AW121" s="228">
        <v>386</v>
      </c>
      <c r="AX121" s="228">
        <v>221</v>
      </c>
      <c r="AY121" s="228">
        <v>165</v>
      </c>
      <c r="AZ121" s="229">
        <v>0.74619999999999997</v>
      </c>
      <c r="BA121" s="228">
        <v>355</v>
      </c>
      <c r="BB121" s="228">
        <v>51</v>
      </c>
      <c r="BC121" s="228">
        <v>304</v>
      </c>
      <c r="BD121" s="229">
        <v>5.915</v>
      </c>
      <c r="BE121" s="228">
        <v>4</v>
      </c>
      <c r="BF121" s="228">
        <v>4</v>
      </c>
      <c r="BG121" s="228">
        <v>0</v>
      </c>
      <c r="BH121" s="229">
        <v>3.6999999999999998E-2</v>
      </c>
      <c r="BI121" s="228">
        <v>470</v>
      </c>
      <c r="BJ121" s="228">
        <v>591</v>
      </c>
      <c r="BK121" s="228">
        <v>-121</v>
      </c>
      <c r="BL121" s="229">
        <v>-0.2041</v>
      </c>
      <c r="BM121" s="228">
        <v>389</v>
      </c>
      <c r="BN121" s="228">
        <v>345</v>
      </c>
      <c r="BO121" s="228">
        <v>44</v>
      </c>
      <c r="BP121" s="229">
        <v>0.12670000000000001</v>
      </c>
      <c r="BQ121" s="230">
        <v>1605</v>
      </c>
      <c r="BR121" s="230">
        <v>1213</v>
      </c>
      <c r="BS121" s="228">
        <v>392</v>
      </c>
      <c r="BT121" s="229">
        <v>0.32319999999999999</v>
      </c>
      <c r="BU121" s="230">
        <v>1739431</v>
      </c>
      <c r="BV121" s="230">
        <v>3242868</v>
      </c>
      <c r="BW121" s="230">
        <v>-1503437</v>
      </c>
      <c r="BX121" s="229">
        <v>-0.46360000000000001</v>
      </c>
      <c r="BY121" s="230">
        <v>1558</v>
      </c>
      <c r="BZ121" s="230">
        <v>1558</v>
      </c>
      <c r="CA121" s="228">
        <v>-1</v>
      </c>
      <c r="CB121" s="229">
        <v>-4.0000000000000002E-4</v>
      </c>
      <c r="CC121" s="230">
        <v>1050</v>
      </c>
      <c r="CD121" s="230">
        <v>1349</v>
      </c>
      <c r="CE121" s="228">
        <v>-298</v>
      </c>
      <c r="CF121" s="229">
        <v>-0.22109999999999999</v>
      </c>
      <c r="CG121" s="228">
        <v>444</v>
      </c>
      <c r="CH121" s="228">
        <v>149</v>
      </c>
      <c r="CI121" s="228">
        <v>295</v>
      </c>
      <c r="CJ121" s="229">
        <v>1.978</v>
      </c>
      <c r="CK121" s="228">
        <v>63</v>
      </c>
      <c r="CL121" s="228">
        <v>61</v>
      </c>
      <c r="CM121" s="228">
        <v>3</v>
      </c>
      <c r="CN121" s="229">
        <v>4.4499999999999998E-2</v>
      </c>
      <c r="CO121" s="228">
        <v>521</v>
      </c>
      <c r="CP121" s="228">
        <v>514</v>
      </c>
      <c r="CQ121" s="228">
        <v>7</v>
      </c>
      <c r="CR121" s="229">
        <v>1.4200000000000001E-2</v>
      </c>
      <c r="CS121" s="228">
        <v>448</v>
      </c>
      <c r="CT121" s="228">
        <v>429</v>
      </c>
      <c r="CU121" s="228">
        <v>19</v>
      </c>
      <c r="CV121" s="229">
        <v>4.5199999999999997E-2</v>
      </c>
      <c r="CW121" s="230">
        <v>2527</v>
      </c>
      <c r="CX121" s="230">
        <v>2501</v>
      </c>
      <c r="CY121" s="228">
        <v>26</v>
      </c>
      <c r="CZ121" s="229">
        <v>1.04E-2</v>
      </c>
      <c r="DA121" s="228">
        <v>44.42</v>
      </c>
      <c r="DB121" s="228">
        <v>44.64</v>
      </c>
      <c r="DC121" s="228">
        <v>-0.22</v>
      </c>
      <c r="DD121" s="228">
        <v>-0.22</v>
      </c>
      <c r="DE121" s="228">
        <v>47.69</v>
      </c>
      <c r="DF121" s="228">
        <v>47.61</v>
      </c>
      <c r="DG121" s="228">
        <v>-3.27</v>
      </c>
      <c r="DH121" s="228">
        <v>0.08</v>
      </c>
      <c r="DI121" s="228">
        <v>44.14</v>
      </c>
      <c r="DJ121" s="228">
        <v>43.33</v>
      </c>
      <c r="DK121" s="228">
        <v>0.81</v>
      </c>
      <c r="DL121" s="228">
        <v>0.81</v>
      </c>
      <c r="DM121" s="228">
        <v>45.11</v>
      </c>
      <c r="DN121" s="228">
        <v>46.87</v>
      </c>
      <c r="DO121" s="228">
        <v>-1.76</v>
      </c>
      <c r="DP121" s="228">
        <v>-1.76</v>
      </c>
      <c r="DQ121" s="228">
        <v>0.86</v>
      </c>
      <c r="DR121" s="228">
        <v>0.84</v>
      </c>
      <c r="DS121" s="228">
        <v>0.02</v>
      </c>
      <c r="DT121" s="229">
        <v>2.3800000000000002E-2</v>
      </c>
      <c r="DU121" s="228">
        <v>920</v>
      </c>
      <c r="DV121" s="228">
        <v>830</v>
      </c>
      <c r="DW121" s="228">
        <v>0.83</v>
      </c>
      <c r="DX121" s="228">
        <v>0.57999999999999996</v>
      </c>
      <c r="DY121" s="228">
        <v>0.25</v>
      </c>
      <c r="DZ121" s="229">
        <v>0.43099999999999999</v>
      </c>
      <c r="EA121" s="229">
        <v>0.32569999999999999</v>
      </c>
      <c r="EB121" s="230">
        <v>2445300</v>
      </c>
      <c r="EC121" s="229">
        <v>5.4999999999999997E-3</v>
      </c>
      <c r="ED121" s="229">
        <v>0.32569999999999999</v>
      </c>
      <c r="EE121" s="228">
        <v>4.74</v>
      </c>
      <c r="EF121" s="229">
        <v>5.4999999999999997E-3</v>
      </c>
      <c r="EG121" s="230">
        <v>822821</v>
      </c>
      <c r="EH121" s="230">
        <v>1901314</v>
      </c>
      <c r="EI121" s="229">
        <v>-0.56720000000000004</v>
      </c>
      <c r="EJ121" s="229">
        <v>0.47299999999999998</v>
      </c>
      <c r="EK121" s="228">
        <v>497.48</v>
      </c>
      <c r="EL121" s="228">
        <v>385.47</v>
      </c>
      <c r="EM121" s="228">
        <v>753.74</v>
      </c>
      <c r="EN121" s="228">
        <v>72.02</v>
      </c>
      <c r="EO121" s="231">
        <v>1636.68</v>
      </c>
      <c r="EP121" s="231">
        <v>1260.8499999999999</v>
      </c>
      <c r="EQ121" s="228">
        <v>375.83</v>
      </c>
      <c r="ER121" s="229">
        <v>0.29809999999999998</v>
      </c>
      <c r="ES121" s="228">
        <v>511.85</v>
      </c>
      <c r="ET121" s="228">
        <v>408.97</v>
      </c>
      <c r="EU121" s="231">
        <v>1560.82</v>
      </c>
      <c r="EV121" s="231">
        <v>42165698</v>
      </c>
      <c r="EW121" s="231">
        <v>2481.63</v>
      </c>
      <c r="EX121" s="231">
        <v>2503.6</v>
      </c>
      <c r="EY121" s="228">
        <v>-21.97</v>
      </c>
      <c r="EZ121" s="229">
        <v>-8.8000000000000005E-3</v>
      </c>
      <c r="FA121" s="229">
        <v>0.69869999999999999</v>
      </c>
      <c r="FB121" s="227" t="s">
        <v>567</v>
      </c>
      <c r="FC121">
        <f t="shared" si="1"/>
        <v>508</v>
      </c>
    </row>
    <row r="122" spans="1:159" ht="17.25" thickBot="1" x14ac:dyDescent="0.3">
      <c r="A122" s="226">
        <v>46135</v>
      </c>
      <c r="B122" s="227" t="s">
        <v>184</v>
      </c>
      <c r="C122" s="227" t="s">
        <v>249</v>
      </c>
      <c r="D122" s="228">
        <v>175</v>
      </c>
      <c r="E122" s="228">
        <v>5</v>
      </c>
      <c r="F122" s="231">
        <v>4057.6</v>
      </c>
      <c r="G122" s="231">
        <v>4025.4</v>
      </c>
      <c r="H122" s="228">
        <v>32.200000000000003</v>
      </c>
      <c r="I122" s="229">
        <v>8.0000000000000002E-3</v>
      </c>
      <c r="J122" s="231">
        <v>4054.1</v>
      </c>
      <c r="K122" s="231">
        <v>4021.1</v>
      </c>
      <c r="L122" s="228">
        <v>33</v>
      </c>
      <c r="M122" s="229">
        <v>8.2000000000000007E-3</v>
      </c>
      <c r="N122" s="231">
        <v>4057.6</v>
      </c>
      <c r="O122" s="231">
        <v>4025.4</v>
      </c>
      <c r="P122" s="228">
        <v>32.200000000000003</v>
      </c>
      <c r="Q122" s="229">
        <v>8.0000000000000002E-3</v>
      </c>
      <c r="R122" s="231">
        <v>4078.9</v>
      </c>
      <c r="S122" s="231">
        <v>4046.6</v>
      </c>
      <c r="T122" s="228">
        <v>32.299999999999997</v>
      </c>
      <c r="U122" s="229">
        <v>8.0000000000000002E-3</v>
      </c>
      <c r="V122" s="231">
        <v>4078.8</v>
      </c>
      <c r="W122" s="231">
        <v>4046.8</v>
      </c>
      <c r="X122" s="228">
        <v>32</v>
      </c>
      <c r="Y122" s="229">
        <v>7.9000000000000008E-3</v>
      </c>
      <c r="Z122" s="228">
        <v>3.5</v>
      </c>
      <c r="AA122" s="228">
        <v>4.3</v>
      </c>
      <c r="AB122" s="228">
        <v>-0.8</v>
      </c>
      <c r="AC122" s="229">
        <v>8.9999999999999998E-4</v>
      </c>
      <c r="AD122" s="228">
        <v>3.5</v>
      </c>
      <c r="AE122" s="228">
        <v>4.3</v>
      </c>
      <c r="AF122" s="228">
        <v>-0.8</v>
      </c>
      <c r="AG122" s="229">
        <v>8.9999999999999998E-4</v>
      </c>
      <c r="AH122" s="228">
        <v>24.8</v>
      </c>
      <c r="AI122" s="228">
        <v>25.5</v>
      </c>
      <c r="AJ122" s="228">
        <v>-0.7</v>
      </c>
      <c r="AK122" s="229">
        <v>6.1000000000000004E-3</v>
      </c>
      <c r="AL122" s="228">
        <v>24.7</v>
      </c>
      <c r="AM122" s="228">
        <v>25.7</v>
      </c>
      <c r="AN122" s="228">
        <v>-1</v>
      </c>
      <c r="AO122" s="229">
        <v>6.1000000000000004E-3</v>
      </c>
      <c r="AP122" s="231">
        <v>4043.15</v>
      </c>
      <c r="AQ122" s="231">
        <v>4065.65</v>
      </c>
      <c r="AR122" s="228">
        <v>0</v>
      </c>
      <c r="AS122" s="230">
        <v>2341</v>
      </c>
      <c r="AT122" s="230">
        <v>1269</v>
      </c>
      <c r="AU122" s="230">
        <v>1072</v>
      </c>
      <c r="AV122" s="229">
        <v>0.8448</v>
      </c>
      <c r="AW122" s="230">
        <v>1203</v>
      </c>
      <c r="AX122" s="228">
        <v>748</v>
      </c>
      <c r="AY122" s="228">
        <v>454</v>
      </c>
      <c r="AZ122" s="229">
        <v>0.60699999999999998</v>
      </c>
      <c r="BA122" s="230">
        <v>1104</v>
      </c>
      <c r="BB122" s="228">
        <v>478</v>
      </c>
      <c r="BC122" s="228">
        <v>626</v>
      </c>
      <c r="BD122" s="229">
        <v>1.3105</v>
      </c>
      <c r="BE122" s="228">
        <v>34</v>
      </c>
      <c r="BF122" s="228">
        <v>43</v>
      </c>
      <c r="BG122" s="228">
        <v>-9</v>
      </c>
      <c r="BH122" s="229">
        <v>-0.20169999999999999</v>
      </c>
      <c r="BI122" s="230">
        <v>3143</v>
      </c>
      <c r="BJ122" s="230">
        <v>3806</v>
      </c>
      <c r="BK122" s="228">
        <v>-663</v>
      </c>
      <c r="BL122" s="229">
        <v>-0.1741</v>
      </c>
      <c r="BM122" s="230">
        <v>1988</v>
      </c>
      <c r="BN122" s="230">
        <v>2071</v>
      </c>
      <c r="BO122" s="228">
        <v>-83</v>
      </c>
      <c r="BP122" s="229">
        <v>-0.04</v>
      </c>
      <c r="BQ122" s="230">
        <v>7472</v>
      </c>
      <c r="BR122" s="230">
        <v>7145</v>
      </c>
      <c r="BS122" s="228">
        <v>327</v>
      </c>
      <c r="BT122" s="229">
        <v>4.5699999999999998E-2</v>
      </c>
      <c r="BU122" s="230">
        <v>2508228</v>
      </c>
      <c r="BV122" s="230">
        <v>2407880</v>
      </c>
      <c r="BW122" s="230">
        <v>100348</v>
      </c>
      <c r="BX122" s="229">
        <v>4.1700000000000001E-2</v>
      </c>
      <c r="BY122" s="230">
        <v>6298</v>
      </c>
      <c r="BZ122" s="230">
        <v>6172</v>
      </c>
      <c r="CA122" s="228">
        <v>126</v>
      </c>
      <c r="CB122" s="229">
        <v>2.0400000000000001E-2</v>
      </c>
      <c r="CC122" s="230">
        <v>3468</v>
      </c>
      <c r="CD122" s="230">
        <v>4257</v>
      </c>
      <c r="CE122" s="228">
        <v>-789</v>
      </c>
      <c r="CF122" s="229">
        <v>-0.18529999999999999</v>
      </c>
      <c r="CG122" s="230">
        <v>2690</v>
      </c>
      <c r="CH122" s="230">
        <v>1794</v>
      </c>
      <c r="CI122" s="228">
        <v>896</v>
      </c>
      <c r="CJ122" s="229">
        <v>0.49919999999999998</v>
      </c>
      <c r="CK122" s="228">
        <v>140</v>
      </c>
      <c r="CL122" s="228">
        <v>121</v>
      </c>
      <c r="CM122" s="228">
        <v>19</v>
      </c>
      <c r="CN122" s="229">
        <v>0.156</v>
      </c>
      <c r="CO122" s="230">
        <v>4058</v>
      </c>
      <c r="CP122" s="230">
        <v>4201</v>
      </c>
      <c r="CQ122" s="228">
        <v>-143</v>
      </c>
      <c r="CR122" s="229">
        <v>-3.4000000000000002E-2</v>
      </c>
      <c r="CS122" s="230">
        <v>3271</v>
      </c>
      <c r="CT122" s="230">
        <v>3225</v>
      </c>
      <c r="CU122" s="228">
        <v>46</v>
      </c>
      <c r="CV122" s="229">
        <v>1.44E-2</v>
      </c>
      <c r="CW122" s="230">
        <v>13627</v>
      </c>
      <c r="CX122" s="230">
        <v>13598</v>
      </c>
      <c r="CY122" s="228">
        <v>29</v>
      </c>
      <c r="CZ122" s="229">
        <v>2.2000000000000001E-3</v>
      </c>
      <c r="DA122" s="228">
        <v>32.380000000000003</v>
      </c>
      <c r="DB122" s="228">
        <v>30.08</v>
      </c>
      <c r="DC122" s="228">
        <v>2.2999999999999998</v>
      </c>
      <c r="DD122" s="228">
        <v>2.2999999999999998</v>
      </c>
      <c r="DE122" s="228">
        <v>33.79</v>
      </c>
      <c r="DF122" s="228">
        <v>33.85</v>
      </c>
      <c r="DG122" s="228">
        <v>-1.41</v>
      </c>
      <c r="DH122" s="228">
        <v>-0.06</v>
      </c>
      <c r="DI122" s="228">
        <v>31.6</v>
      </c>
      <c r="DJ122" s="228">
        <v>29.19</v>
      </c>
      <c r="DK122" s="228">
        <v>2.41</v>
      </c>
      <c r="DL122" s="228">
        <v>2.41</v>
      </c>
      <c r="DM122" s="228">
        <v>33.159999999999997</v>
      </c>
      <c r="DN122" s="228">
        <v>31.72</v>
      </c>
      <c r="DO122" s="228">
        <v>1.44</v>
      </c>
      <c r="DP122" s="228">
        <v>1.44</v>
      </c>
      <c r="DQ122" s="228">
        <v>0.81</v>
      </c>
      <c r="DR122" s="228">
        <v>0.77</v>
      </c>
      <c r="DS122" s="228">
        <v>0.04</v>
      </c>
      <c r="DT122" s="229">
        <v>5.1900000000000002E-2</v>
      </c>
      <c r="DU122" s="231">
        <v>4100</v>
      </c>
      <c r="DV122" s="231">
        <v>4000</v>
      </c>
      <c r="DW122" s="228">
        <v>0.63</v>
      </c>
      <c r="DX122" s="228">
        <v>0.54</v>
      </c>
      <c r="DY122" s="228">
        <v>0.09</v>
      </c>
      <c r="DZ122" s="229">
        <v>0.16669999999999999</v>
      </c>
      <c r="EA122" s="229">
        <v>0.44940000000000002</v>
      </c>
      <c r="EB122" s="230">
        <v>4720450</v>
      </c>
      <c r="EC122" s="229">
        <v>5.1999999999999998E-3</v>
      </c>
      <c r="ED122" s="229">
        <v>0.44940000000000002</v>
      </c>
      <c r="EE122" s="228">
        <v>22.5</v>
      </c>
      <c r="EF122" s="229">
        <v>5.5999999999999999E-3</v>
      </c>
      <c r="EG122" s="230">
        <v>1361292</v>
      </c>
      <c r="EH122" s="230">
        <v>1508881</v>
      </c>
      <c r="EI122" s="229">
        <v>-9.7799999999999998E-2</v>
      </c>
      <c r="EJ122" s="229">
        <v>0.54269999999999996</v>
      </c>
      <c r="EK122" s="231">
        <v>3235.7</v>
      </c>
      <c r="EL122" s="231">
        <v>1938.42</v>
      </c>
      <c r="EM122" s="231">
        <v>2338.88</v>
      </c>
      <c r="EN122" s="228">
        <v>146.84</v>
      </c>
      <c r="EO122" s="231">
        <v>7513.01</v>
      </c>
      <c r="EP122" s="231">
        <v>7224.81</v>
      </c>
      <c r="EQ122" s="228">
        <v>288.2</v>
      </c>
      <c r="ER122" s="229">
        <v>3.9899999999999998E-2</v>
      </c>
      <c r="ES122" s="231">
        <v>4037.11</v>
      </c>
      <c r="ET122" s="231">
        <v>3071.13</v>
      </c>
      <c r="EU122" s="231">
        <v>6312.69</v>
      </c>
      <c r="EV122" s="231">
        <v>136099497</v>
      </c>
      <c r="EW122" s="231">
        <v>13420.93</v>
      </c>
      <c r="EX122" s="231">
        <v>13338.37</v>
      </c>
      <c r="EY122" s="228">
        <v>82.56</v>
      </c>
      <c r="EZ122" s="229">
        <v>6.1999999999999998E-3</v>
      </c>
      <c r="FA122" s="229">
        <v>0.24679999999999999</v>
      </c>
      <c r="FB122" s="227" t="s">
        <v>555</v>
      </c>
      <c r="FC122">
        <f t="shared" si="1"/>
        <v>2830</v>
      </c>
    </row>
    <row r="123" spans="1:159" ht="17.25" thickBot="1" x14ac:dyDescent="0.3">
      <c r="A123" s="226">
        <v>46135</v>
      </c>
      <c r="B123" s="227" t="s">
        <v>175</v>
      </c>
      <c r="C123" s="227" t="s">
        <v>564</v>
      </c>
      <c r="D123" s="228">
        <v>2250</v>
      </c>
      <c r="E123" s="228">
        <v>5</v>
      </c>
      <c r="F123" s="228">
        <v>292.14</v>
      </c>
      <c r="G123" s="228">
        <v>294.16000000000003</v>
      </c>
      <c r="H123" s="228">
        <v>-2.02</v>
      </c>
      <c r="I123" s="229">
        <v>-6.8999999999999999E-3</v>
      </c>
      <c r="J123" s="228">
        <v>292.12</v>
      </c>
      <c r="K123" s="228">
        <v>294.04000000000002</v>
      </c>
      <c r="L123" s="228">
        <v>-1.92</v>
      </c>
      <c r="M123" s="229">
        <v>-6.4999999999999997E-3</v>
      </c>
      <c r="N123" s="228">
        <v>292.14</v>
      </c>
      <c r="O123" s="228">
        <v>294.16000000000003</v>
      </c>
      <c r="P123" s="228">
        <v>-2.02</v>
      </c>
      <c r="Q123" s="229">
        <v>-6.8999999999999999E-3</v>
      </c>
      <c r="R123" s="228">
        <v>289.35000000000002</v>
      </c>
      <c r="S123" s="228">
        <v>291.93</v>
      </c>
      <c r="T123" s="228">
        <v>-2.58</v>
      </c>
      <c r="U123" s="229">
        <v>-8.8000000000000005E-3</v>
      </c>
      <c r="V123" s="228">
        <v>288.41000000000003</v>
      </c>
      <c r="W123" s="228">
        <v>291.27</v>
      </c>
      <c r="X123" s="228">
        <v>-2.86</v>
      </c>
      <c r="Y123" s="229">
        <v>-9.7999999999999997E-3</v>
      </c>
      <c r="Z123" s="228">
        <v>0.02</v>
      </c>
      <c r="AA123" s="228">
        <v>0.12</v>
      </c>
      <c r="AB123" s="228">
        <v>-0.1</v>
      </c>
      <c r="AC123" s="229">
        <v>1E-4</v>
      </c>
      <c r="AD123" s="228">
        <v>0.02</v>
      </c>
      <c r="AE123" s="228">
        <v>0.12</v>
      </c>
      <c r="AF123" s="228">
        <v>-0.1</v>
      </c>
      <c r="AG123" s="229">
        <v>1E-4</v>
      </c>
      <c r="AH123" s="228">
        <v>-2.77</v>
      </c>
      <c r="AI123" s="228">
        <v>-2.11</v>
      </c>
      <c r="AJ123" s="228">
        <v>-0.66</v>
      </c>
      <c r="AK123" s="229">
        <v>-9.4999999999999998E-3</v>
      </c>
      <c r="AL123" s="228">
        <v>-3.71</v>
      </c>
      <c r="AM123" s="228">
        <v>-2.77</v>
      </c>
      <c r="AN123" s="228">
        <v>-0.94</v>
      </c>
      <c r="AO123" s="229">
        <v>-1.2699999999999999E-2</v>
      </c>
      <c r="AP123" s="228">
        <v>291.49</v>
      </c>
      <c r="AQ123" s="228">
        <v>288.86</v>
      </c>
      <c r="AR123" s="228">
        <v>0</v>
      </c>
      <c r="AS123" s="230">
        <v>1073</v>
      </c>
      <c r="AT123" s="228">
        <v>245</v>
      </c>
      <c r="AU123" s="228">
        <v>827</v>
      </c>
      <c r="AV123" s="229">
        <v>3.3748</v>
      </c>
      <c r="AW123" s="228">
        <v>556</v>
      </c>
      <c r="AX123" s="228">
        <v>168</v>
      </c>
      <c r="AY123" s="228">
        <v>389</v>
      </c>
      <c r="AZ123" s="229">
        <v>2.3174000000000001</v>
      </c>
      <c r="BA123" s="228">
        <v>514</v>
      </c>
      <c r="BB123" s="228">
        <v>75</v>
      </c>
      <c r="BC123" s="228">
        <v>439</v>
      </c>
      <c r="BD123" s="229">
        <v>5.8390000000000004</v>
      </c>
      <c r="BE123" s="228">
        <v>2</v>
      </c>
      <c r="BF123" s="228">
        <v>2</v>
      </c>
      <c r="BG123" s="228">
        <v>0</v>
      </c>
      <c r="BH123" s="229">
        <v>0</v>
      </c>
      <c r="BI123" s="228">
        <v>447</v>
      </c>
      <c r="BJ123" s="228">
        <v>381</v>
      </c>
      <c r="BK123" s="228">
        <v>66</v>
      </c>
      <c r="BL123" s="229">
        <v>0.17280000000000001</v>
      </c>
      <c r="BM123" s="228">
        <v>321</v>
      </c>
      <c r="BN123" s="228">
        <v>230</v>
      </c>
      <c r="BO123" s="228">
        <v>91</v>
      </c>
      <c r="BP123" s="229">
        <v>0.3952</v>
      </c>
      <c r="BQ123" s="230">
        <v>1841</v>
      </c>
      <c r="BR123" s="228">
        <v>857</v>
      </c>
      <c r="BS123" s="228">
        <v>984</v>
      </c>
      <c r="BT123" s="229">
        <v>1.149</v>
      </c>
      <c r="BU123" s="230">
        <v>3603385</v>
      </c>
      <c r="BV123" s="230">
        <v>3626154</v>
      </c>
      <c r="BW123" s="230">
        <v>-22769</v>
      </c>
      <c r="BX123" s="229">
        <v>-6.3E-3</v>
      </c>
      <c r="BY123" s="230">
        <v>1388</v>
      </c>
      <c r="BZ123" s="230">
        <v>1447</v>
      </c>
      <c r="CA123" s="228">
        <v>-59</v>
      </c>
      <c r="CB123" s="229">
        <v>-4.0800000000000003E-2</v>
      </c>
      <c r="CC123" s="228">
        <v>860</v>
      </c>
      <c r="CD123" s="230">
        <v>1223</v>
      </c>
      <c r="CE123" s="228">
        <v>-362</v>
      </c>
      <c r="CF123" s="229">
        <v>-0.2964</v>
      </c>
      <c r="CG123" s="228">
        <v>517</v>
      </c>
      <c r="CH123" s="228">
        <v>215</v>
      </c>
      <c r="CI123" s="228">
        <v>302</v>
      </c>
      <c r="CJ123" s="229">
        <v>1.4058999999999999</v>
      </c>
      <c r="CK123" s="228">
        <v>11</v>
      </c>
      <c r="CL123" s="228">
        <v>10</v>
      </c>
      <c r="CM123" s="228">
        <v>1</v>
      </c>
      <c r="CN123" s="229">
        <v>0.1517</v>
      </c>
      <c r="CO123" s="228">
        <v>612</v>
      </c>
      <c r="CP123" s="228">
        <v>591</v>
      </c>
      <c r="CQ123" s="228">
        <v>21</v>
      </c>
      <c r="CR123" s="229">
        <v>3.5000000000000003E-2</v>
      </c>
      <c r="CS123" s="228">
        <v>531</v>
      </c>
      <c r="CT123" s="228">
        <v>517</v>
      </c>
      <c r="CU123" s="228">
        <v>14</v>
      </c>
      <c r="CV123" s="229">
        <v>2.7799999999999998E-2</v>
      </c>
      <c r="CW123" s="230">
        <v>2531</v>
      </c>
      <c r="CX123" s="230">
        <v>2555</v>
      </c>
      <c r="CY123" s="228">
        <v>-24</v>
      </c>
      <c r="CZ123" s="229">
        <v>-9.4000000000000004E-3</v>
      </c>
      <c r="DA123" s="228">
        <v>42.13</v>
      </c>
      <c r="DB123" s="228">
        <v>43.46</v>
      </c>
      <c r="DC123" s="228">
        <v>-1.33</v>
      </c>
      <c r="DD123" s="228">
        <v>-1.33</v>
      </c>
      <c r="DE123" s="228">
        <v>41.34</v>
      </c>
      <c r="DF123" s="228">
        <v>41.44</v>
      </c>
      <c r="DG123" s="228">
        <v>0.79</v>
      </c>
      <c r="DH123" s="228">
        <v>-0.1</v>
      </c>
      <c r="DI123" s="228">
        <v>41.88</v>
      </c>
      <c r="DJ123" s="228">
        <v>41.27</v>
      </c>
      <c r="DK123" s="228">
        <v>0.61</v>
      </c>
      <c r="DL123" s="228">
        <v>0.61</v>
      </c>
      <c r="DM123" s="228">
        <v>42.69</v>
      </c>
      <c r="DN123" s="228">
        <v>47.09</v>
      </c>
      <c r="DO123" s="228">
        <v>-4.4000000000000004</v>
      </c>
      <c r="DP123" s="228">
        <v>-4.4000000000000004</v>
      </c>
      <c r="DQ123" s="228">
        <v>0.87</v>
      </c>
      <c r="DR123" s="228">
        <v>0.87</v>
      </c>
      <c r="DS123" s="228">
        <v>0</v>
      </c>
      <c r="DT123" s="229">
        <v>0</v>
      </c>
      <c r="DU123" s="228">
        <v>300</v>
      </c>
      <c r="DV123" s="228">
        <v>300</v>
      </c>
      <c r="DW123" s="228">
        <v>0.72</v>
      </c>
      <c r="DX123" s="228">
        <v>0.6</v>
      </c>
      <c r="DY123" s="228">
        <v>0.12</v>
      </c>
      <c r="DZ123" s="229">
        <v>0.2</v>
      </c>
      <c r="EA123" s="229">
        <v>0.38019999999999998</v>
      </c>
      <c r="EB123" s="230">
        <v>7677000</v>
      </c>
      <c r="EC123" s="229">
        <v>-9.5999999999999992E-3</v>
      </c>
      <c r="ED123" s="229">
        <v>0.38019999999999998</v>
      </c>
      <c r="EE123" s="228">
        <v>-2.63</v>
      </c>
      <c r="EF123" s="229">
        <v>-8.9999999999999993E-3</v>
      </c>
      <c r="EG123" s="230">
        <v>1282625</v>
      </c>
      <c r="EH123" s="230">
        <v>1832667</v>
      </c>
      <c r="EI123" s="229">
        <v>-0.30009999999999998</v>
      </c>
      <c r="EJ123" s="229">
        <v>0.35599999999999998</v>
      </c>
      <c r="EK123" s="228">
        <v>465.11</v>
      </c>
      <c r="EL123" s="228">
        <v>307.68</v>
      </c>
      <c r="EM123" s="231">
        <v>1065.58</v>
      </c>
      <c r="EN123" s="228">
        <v>44.89</v>
      </c>
      <c r="EO123" s="231">
        <v>1838.38</v>
      </c>
      <c r="EP123" s="228">
        <v>865.52</v>
      </c>
      <c r="EQ123" s="228">
        <v>972.86</v>
      </c>
      <c r="ER123" s="229">
        <v>1.1240000000000001</v>
      </c>
      <c r="ES123" s="228">
        <v>599.42999999999995</v>
      </c>
      <c r="ET123" s="228">
        <v>495.42</v>
      </c>
      <c r="EU123" s="231">
        <v>1382.78</v>
      </c>
      <c r="EV123" s="231">
        <v>127514625</v>
      </c>
      <c r="EW123" s="231">
        <v>2477.63</v>
      </c>
      <c r="EX123" s="231">
        <v>2513.06</v>
      </c>
      <c r="EY123" s="228">
        <v>-35.43</v>
      </c>
      <c r="EZ123" s="229">
        <v>-1.41E-2</v>
      </c>
      <c r="FA123" s="229">
        <v>0.6794</v>
      </c>
      <c r="FB123" s="227" t="s">
        <v>567</v>
      </c>
      <c r="FC123">
        <f t="shared" si="1"/>
        <v>528</v>
      </c>
    </row>
    <row r="124" spans="1:159" ht="17.25" thickBot="1" x14ac:dyDescent="0.3">
      <c r="A124" s="226">
        <v>46135</v>
      </c>
      <c r="B124" s="227" t="s">
        <v>221</v>
      </c>
      <c r="C124" s="227" t="s">
        <v>692</v>
      </c>
      <c r="D124" s="228">
        <v>150</v>
      </c>
      <c r="E124" s="228">
        <v>5</v>
      </c>
      <c r="F124" s="231">
        <v>4531.6000000000004</v>
      </c>
      <c r="G124" s="231">
        <v>4616.8</v>
      </c>
      <c r="H124" s="228">
        <v>-85.2</v>
      </c>
      <c r="I124" s="229">
        <v>-1.8499999999999999E-2</v>
      </c>
      <c r="J124" s="231">
        <v>4531.5</v>
      </c>
      <c r="K124" s="231">
        <v>4604.3</v>
      </c>
      <c r="L124" s="228">
        <v>-72.8</v>
      </c>
      <c r="M124" s="229">
        <v>-1.5800000000000002E-2</v>
      </c>
      <c r="N124" s="231">
        <v>4531.6000000000004</v>
      </c>
      <c r="O124" s="231">
        <v>4616.8</v>
      </c>
      <c r="P124" s="228">
        <v>-85.2</v>
      </c>
      <c r="Q124" s="229">
        <v>-1.8499999999999999E-2</v>
      </c>
      <c r="R124" s="231">
        <v>4402.5</v>
      </c>
      <c r="S124" s="231">
        <v>4476.8999999999996</v>
      </c>
      <c r="T124" s="228">
        <v>-74.400000000000006</v>
      </c>
      <c r="U124" s="229">
        <v>-1.66E-2</v>
      </c>
      <c r="V124" s="231">
        <v>4336.2</v>
      </c>
      <c r="W124" s="231">
        <v>4431.2</v>
      </c>
      <c r="X124" s="228">
        <v>-95</v>
      </c>
      <c r="Y124" s="229">
        <v>-2.1399999999999999E-2</v>
      </c>
      <c r="Z124" s="228">
        <v>0.1</v>
      </c>
      <c r="AA124" s="228">
        <v>12.5</v>
      </c>
      <c r="AB124" s="228">
        <v>-12.4</v>
      </c>
      <c r="AC124" s="229">
        <v>0</v>
      </c>
      <c r="AD124" s="228">
        <v>0.1</v>
      </c>
      <c r="AE124" s="228">
        <v>12.5</v>
      </c>
      <c r="AF124" s="228">
        <v>-12.4</v>
      </c>
      <c r="AG124" s="229">
        <v>0</v>
      </c>
      <c r="AH124" s="228">
        <v>-129</v>
      </c>
      <c r="AI124" s="228">
        <v>-127.4</v>
      </c>
      <c r="AJ124" s="228">
        <v>-1.6</v>
      </c>
      <c r="AK124" s="229">
        <v>-2.8500000000000001E-2</v>
      </c>
      <c r="AL124" s="228">
        <v>-195.3</v>
      </c>
      <c r="AM124" s="228">
        <v>-173.1</v>
      </c>
      <c r="AN124" s="228">
        <v>-22.2</v>
      </c>
      <c r="AO124" s="229">
        <v>-4.3099999999999999E-2</v>
      </c>
      <c r="AP124" s="231">
        <v>4568.78</v>
      </c>
      <c r="AQ124" s="231">
        <v>4423.7</v>
      </c>
      <c r="AR124" s="228">
        <v>0</v>
      </c>
      <c r="AS124" s="230">
        <v>1352</v>
      </c>
      <c r="AT124" s="228">
        <v>577</v>
      </c>
      <c r="AU124" s="228">
        <v>775</v>
      </c>
      <c r="AV124" s="229">
        <v>1.343</v>
      </c>
      <c r="AW124" s="228">
        <v>731</v>
      </c>
      <c r="AX124" s="228">
        <v>383</v>
      </c>
      <c r="AY124" s="228">
        <v>348</v>
      </c>
      <c r="AZ124" s="229">
        <v>0.90910000000000002</v>
      </c>
      <c r="BA124" s="228">
        <v>616</v>
      </c>
      <c r="BB124" s="228">
        <v>190</v>
      </c>
      <c r="BC124" s="228">
        <v>427</v>
      </c>
      <c r="BD124" s="229">
        <v>2.2513000000000001</v>
      </c>
      <c r="BE124" s="228">
        <v>4</v>
      </c>
      <c r="BF124" s="228">
        <v>4</v>
      </c>
      <c r="BG124" s="228">
        <v>0</v>
      </c>
      <c r="BH124" s="229">
        <v>-4.6899999999999997E-2</v>
      </c>
      <c r="BI124" s="230">
        <v>1260</v>
      </c>
      <c r="BJ124" s="228">
        <v>891</v>
      </c>
      <c r="BK124" s="228">
        <v>369</v>
      </c>
      <c r="BL124" s="229">
        <v>0.41389999999999999</v>
      </c>
      <c r="BM124" s="230">
        <v>1193</v>
      </c>
      <c r="BN124" s="228">
        <v>807</v>
      </c>
      <c r="BO124" s="228">
        <v>386</v>
      </c>
      <c r="BP124" s="229">
        <v>0.47839999999999999</v>
      </c>
      <c r="BQ124" s="230">
        <v>3805</v>
      </c>
      <c r="BR124" s="230">
        <v>2275</v>
      </c>
      <c r="BS124" s="230">
        <v>1530</v>
      </c>
      <c r="BT124" s="229">
        <v>0.6724</v>
      </c>
      <c r="BU124" s="230">
        <v>277104</v>
      </c>
      <c r="BV124" s="230">
        <v>509542</v>
      </c>
      <c r="BW124" s="230">
        <v>-232438</v>
      </c>
      <c r="BX124" s="229">
        <v>-0.45619999999999999</v>
      </c>
      <c r="BY124" s="230">
        <v>2038</v>
      </c>
      <c r="BZ124" s="230">
        <v>2238</v>
      </c>
      <c r="CA124" s="228">
        <v>-200</v>
      </c>
      <c r="CB124" s="229">
        <v>-8.9399999999999993E-2</v>
      </c>
      <c r="CC124" s="230">
        <v>1071</v>
      </c>
      <c r="CD124" s="230">
        <v>1560</v>
      </c>
      <c r="CE124" s="228">
        <v>-489</v>
      </c>
      <c r="CF124" s="229">
        <v>-0.31369999999999998</v>
      </c>
      <c r="CG124" s="228">
        <v>951</v>
      </c>
      <c r="CH124" s="228">
        <v>664</v>
      </c>
      <c r="CI124" s="228">
        <v>286</v>
      </c>
      <c r="CJ124" s="229">
        <v>0.43130000000000002</v>
      </c>
      <c r="CK124" s="228">
        <v>17</v>
      </c>
      <c r="CL124" s="228">
        <v>14</v>
      </c>
      <c r="CM124" s="228">
        <v>3</v>
      </c>
      <c r="CN124" s="229">
        <v>0.2049</v>
      </c>
      <c r="CO124" s="228">
        <v>617</v>
      </c>
      <c r="CP124" s="228">
        <v>530</v>
      </c>
      <c r="CQ124" s="228">
        <v>87</v>
      </c>
      <c r="CR124" s="229">
        <v>0.1641</v>
      </c>
      <c r="CS124" s="228">
        <v>607</v>
      </c>
      <c r="CT124" s="228">
        <v>503</v>
      </c>
      <c r="CU124" s="228">
        <v>103</v>
      </c>
      <c r="CV124" s="229">
        <v>0.20480000000000001</v>
      </c>
      <c r="CW124" s="230">
        <v>3262</v>
      </c>
      <c r="CX124" s="230">
        <v>3271</v>
      </c>
      <c r="CY124" s="228">
        <v>-10</v>
      </c>
      <c r="CZ124" s="229">
        <v>-3.0000000000000001E-3</v>
      </c>
      <c r="DA124" s="228">
        <v>39.549999999999997</v>
      </c>
      <c r="DB124" s="228">
        <v>46.25</v>
      </c>
      <c r="DC124" s="228">
        <v>-6.7</v>
      </c>
      <c r="DD124" s="228">
        <v>-6.7</v>
      </c>
      <c r="DE124" s="228">
        <v>35.909999999999997</v>
      </c>
      <c r="DF124" s="228">
        <v>35.93</v>
      </c>
      <c r="DG124" s="228">
        <v>3.64</v>
      </c>
      <c r="DH124" s="228">
        <v>-0.02</v>
      </c>
      <c r="DI124" s="228">
        <v>39.35</v>
      </c>
      <c r="DJ124" s="228">
        <v>43.94</v>
      </c>
      <c r="DK124" s="228">
        <v>-4.59</v>
      </c>
      <c r="DL124" s="228">
        <v>-4.59</v>
      </c>
      <c r="DM124" s="228">
        <v>40.03</v>
      </c>
      <c r="DN124" s="228">
        <v>48.8</v>
      </c>
      <c r="DO124" s="228">
        <v>-8.77</v>
      </c>
      <c r="DP124" s="228">
        <v>-8.77</v>
      </c>
      <c r="DQ124" s="228">
        <v>0.98</v>
      </c>
      <c r="DR124" s="228">
        <v>0.95</v>
      </c>
      <c r="DS124" s="228">
        <v>0.03</v>
      </c>
      <c r="DT124" s="229">
        <v>3.1600000000000003E-2</v>
      </c>
      <c r="DU124" s="231">
        <v>5000</v>
      </c>
      <c r="DV124" s="231">
        <v>4300</v>
      </c>
      <c r="DW124" s="228">
        <v>0.95</v>
      </c>
      <c r="DX124" s="228">
        <v>0.91</v>
      </c>
      <c r="DY124" s="228">
        <v>0.04</v>
      </c>
      <c r="DZ124" s="229">
        <v>4.3999999999999997E-2</v>
      </c>
      <c r="EA124" s="229">
        <v>0.47470000000000001</v>
      </c>
      <c r="EB124" s="230">
        <v>1496250</v>
      </c>
      <c r="EC124" s="229">
        <v>-2.8500000000000001E-2</v>
      </c>
      <c r="ED124" s="229">
        <v>0.47470000000000001</v>
      </c>
      <c r="EE124" s="228">
        <v>-145.08000000000001</v>
      </c>
      <c r="EF124" s="229">
        <v>-3.1800000000000002E-2</v>
      </c>
      <c r="EG124" s="230">
        <v>101043</v>
      </c>
      <c r="EH124" s="230">
        <v>244353</v>
      </c>
      <c r="EI124" s="229">
        <v>-0.58650000000000002</v>
      </c>
      <c r="EJ124" s="229">
        <v>0.36459999999999998</v>
      </c>
      <c r="EK124" s="231">
        <v>1347.12</v>
      </c>
      <c r="EL124" s="231">
        <v>1165.03</v>
      </c>
      <c r="EM124" s="231">
        <v>1342.84</v>
      </c>
      <c r="EN124" s="228">
        <v>61.62</v>
      </c>
      <c r="EO124" s="231">
        <v>3854.99</v>
      </c>
      <c r="EP124" s="231">
        <v>2336.23</v>
      </c>
      <c r="EQ124" s="231">
        <v>1518.77</v>
      </c>
      <c r="ER124" s="229">
        <v>0.65010000000000001</v>
      </c>
      <c r="ES124" s="228">
        <v>632.89</v>
      </c>
      <c r="ET124" s="228">
        <v>575.99</v>
      </c>
      <c r="EU124" s="231">
        <v>2010.12</v>
      </c>
      <c r="EV124" s="231">
        <v>12564965</v>
      </c>
      <c r="EW124" s="231">
        <v>3219.01</v>
      </c>
      <c r="EX124" s="231">
        <v>3279.75</v>
      </c>
      <c r="EY124" s="228">
        <v>-60.74</v>
      </c>
      <c r="EZ124" s="229">
        <v>-1.8499999999999999E-2</v>
      </c>
      <c r="FA124" s="229">
        <v>0.57279999999999998</v>
      </c>
      <c r="FB124" s="227" t="s">
        <v>567</v>
      </c>
      <c r="FC124">
        <f t="shared" si="1"/>
        <v>967</v>
      </c>
    </row>
    <row r="125" spans="1:159" ht="17.25" thickBot="1" x14ac:dyDescent="0.3">
      <c r="A125" s="226">
        <v>46135</v>
      </c>
      <c r="B125" s="227" t="s">
        <v>170</v>
      </c>
      <c r="C125" s="227" t="s">
        <v>250</v>
      </c>
      <c r="D125" s="228">
        <v>425</v>
      </c>
      <c r="E125" s="228">
        <v>5</v>
      </c>
      <c r="F125" s="231">
        <v>2345.1</v>
      </c>
      <c r="G125" s="231">
        <v>2312.8000000000002</v>
      </c>
      <c r="H125" s="228">
        <v>32.299999999999997</v>
      </c>
      <c r="I125" s="229">
        <v>1.4E-2</v>
      </c>
      <c r="J125" s="231">
        <v>2341.4</v>
      </c>
      <c r="K125" s="231">
        <v>2307.9</v>
      </c>
      <c r="L125" s="228">
        <v>33.5</v>
      </c>
      <c r="M125" s="229">
        <v>1.4500000000000001E-2</v>
      </c>
      <c r="N125" s="231">
        <v>2345.1</v>
      </c>
      <c r="O125" s="231">
        <v>2312.8000000000002</v>
      </c>
      <c r="P125" s="228">
        <v>32.299999999999997</v>
      </c>
      <c r="Q125" s="229">
        <v>1.4E-2</v>
      </c>
      <c r="R125" s="231">
        <v>2356.6999999999998</v>
      </c>
      <c r="S125" s="231">
        <v>2323.1999999999998</v>
      </c>
      <c r="T125" s="228">
        <v>33.5</v>
      </c>
      <c r="U125" s="229">
        <v>1.44E-2</v>
      </c>
      <c r="V125" s="231">
        <v>2371.9</v>
      </c>
      <c r="W125" s="231">
        <v>2338.9</v>
      </c>
      <c r="X125" s="228">
        <v>33</v>
      </c>
      <c r="Y125" s="229">
        <v>1.41E-2</v>
      </c>
      <c r="Z125" s="228">
        <v>3.7</v>
      </c>
      <c r="AA125" s="228">
        <v>4.9000000000000004</v>
      </c>
      <c r="AB125" s="228">
        <v>-1.2</v>
      </c>
      <c r="AC125" s="229">
        <v>1.6000000000000001E-3</v>
      </c>
      <c r="AD125" s="228">
        <v>3.7</v>
      </c>
      <c r="AE125" s="228">
        <v>4.9000000000000004</v>
      </c>
      <c r="AF125" s="228">
        <v>-1.2</v>
      </c>
      <c r="AG125" s="229">
        <v>1.6000000000000001E-3</v>
      </c>
      <c r="AH125" s="228">
        <v>15.3</v>
      </c>
      <c r="AI125" s="228">
        <v>15.3</v>
      </c>
      <c r="AJ125" s="228">
        <v>0</v>
      </c>
      <c r="AK125" s="229">
        <v>6.4999999999999997E-3</v>
      </c>
      <c r="AL125" s="228">
        <v>30.5</v>
      </c>
      <c r="AM125" s="228">
        <v>31</v>
      </c>
      <c r="AN125" s="228">
        <v>-0.5</v>
      </c>
      <c r="AO125" s="229">
        <v>1.2999999999999999E-2</v>
      </c>
      <c r="AP125" s="231">
        <v>2352.77</v>
      </c>
      <c r="AQ125" s="231">
        <v>2364.89</v>
      </c>
      <c r="AR125" s="228">
        <v>0</v>
      </c>
      <c r="AS125" s="230">
        <v>1236</v>
      </c>
      <c r="AT125" s="228">
        <v>184</v>
      </c>
      <c r="AU125" s="230">
        <v>1052</v>
      </c>
      <c r="AV125" s="229">
        <v>5.7233999999999998</v>
      </c>
      <c r="AW125" s="228">
        <v>627</v>
      </c>
      <c r="AX125" s="228">
        <v>114</v>
      </c>
      <c r="AY125" s="228">
        <v>513</v>
      </c>
      <c r="AZ125" s="229">
        <v>4.5224000000000002</v>
      </c>
      <c r="BA125" s="228">
        <v>602</v>
      </c>
      <c r="BB125" s="228">
        <v>66</v>
      </c>
      <c r="BC125" s="228">
        <v>535</v>
      </c>
      <c r="BD125" s="229">
        <v>8.0631000000000004</v>
      </c>
      <c r="BE125" s="228">
        <v>7</v>
      </c>
      <c r="BF125" s="228">
        <v>4</v>
      </c>
      <c r="BG125" s="228">
        <v>3</v>
      </c>
      <c r="BH125" s="229">
        <v>0.84619999999999995</v>
      </c>
      <c r="BI125" s="230">
        <v>3938</v>
      </c>
      <c r="BJ125" s="228">
        <v>704</v>
      </c>
      <c r="BK125" s="230">
        <v>3234</v>
      </c>
      <c r="BL125" s="229">
        <v>4.5938999999999997</v>
      </c>
      <c r="BM125" s="230">
        <v>1245</v>
      </c>
      <c r="BN125" s="228">
        <v>401</v>
      </c>
      <c r="BO125" s="228">
        <v>844</v>
      </c>
      <c r="BP125" s="229">
        <v>2.1034000000000002</v>
      </c>
      <c r="BQ125" s="230">
        <v>6418</v>
      </c>
      <c r="BR125" s="230">
        <v>1289</v>
      </c>
      <c r="BS125" s="230">
        <v>5129</v>
      </c>
      <c r="BT125" s="229">
        <v>3.98</v>
      </c>
      <c r="BU125" s="230">
        <v>1159694</v>
      </c>
      <c r="BV125" s="230">
        <v>1017710</v>
      </c>
      <c r="BW125" s="230">
        <v>141984</v>
      </c>
      <c r="BX125" s="229">
        <v>0.13950000000000001</v>
      </c>
      <c r="BY125" s="230">
        <v>1720</v>
      </c>
      <c r="BZ125" s="230">
        <v>1610</v>
      </c>
      <c r="CA125" s="228">
        <v>110</v>
      </c>
      <c r="CB125" s="229">
        <v>6.8500000000000005E-2</v>
      </c>
      <c r="CC125" s="230">
        <v>1205</v>
      </c>
      <c r="CD125" s="230">
        <v>1484</v>
      </c>
      <c r="CE125" s="228">
        <v>-280</v>
      </c>
      <c r="CF125" s="229">
        <v>-0.18840000000000001</v>
      </c>
      <c r="CG125" s="228">
        <v>509</v>
      </c>
      <c r="CH125" s="228">
        <v>119</v>
      </c>
      <c r="CI125" s="228">
        <v>390</v>
      </c>
      <c r="CJ125" s="229">
        <v>3.2707000000000002</v>
      </c>
      <c r="CK125" s="228">
        <v>6</v>
      </c>
      <c r="CL125" s="228">
        <v>6</v>
      </c>
      <c r="CM125" s="228">
        <v>0</v>
      </c>
      <c r="CN125" s="229">
        <v>-4.9200000000000001E-2</v>
      </c>
      <c r="CO125" s="228">
        <v>650</v>
      </c>
      <c r="CP125" s="228">
        <v>549</v>
      </c>
      <c r="CQ125" s="228">
        <v>101</v>
      </c>
      <c r="CR125" s="229">
        <v>0.18340000000000001</v>
      </c>
      <c r="CS125" s="228">
        <v>451</v>
      </c>
      <c r="CT125" s="228">
        <v>411</v>
      </c>
      <c r="CU125" s="228">
        <v>40</v>
      </c>
      <c r="CV125" s="229">
        <v>9.8199999999999996E-2</v>
      </c>
      <c r="CW125" s="230">
        <v>2821</v>
      </c>
      <c r="CX125" s="230">
        <v>2570</v>
      </c>
      <c r="CY125" s="228">
        <v>251</v>
      </c>
      <c r="CZ125" s="229">
        <v>9.7799999999999998E-2</v>
      </c>
      <c r="DA125" s="228">
        <v>31.71</v>
      </c>
      <c r="DB125" s="228">
        <v>23.25</v>
      </c>
      <c r="DC125" s="228">
        <v>8.4600000000000009</v>
      </c>
      <c r="DD125" s="228">
        <v>8.4600000000000009</v>
      </c>
      <c r="DE125" s="228">
        <v>27.71</v>
      </c>
      <c r="DF125" s="228">
        <v>27.72</v>
      </c>
      <c r="DG125" s="228">
        <v>4</v>
      </c>
      <c r="DH125" s="228">
        <v>-0.01</v>
      </c>
      <c r="DI125" s="228">
        <v>31.8</v>
      </c>
      <c r="DJ125" s="228">
        <v>23.07</v>
      </c>
      <c r="DK125" s="228">
        <v>8.73</v>
      </c>
      <c r="DL125" s="228">
        <v>8.73</v>
      </c>
      <c r="DM125" s="228">
        <v>31.42</v>
      </c>
      <c r="DN125" s="228">
        <v>23.57</v>
      </c>
      <c r="DO125" s="228">
        <v>7.85</v>
      </c>
      <c r="DP125" s="228">
        <v>7.85</v>
      </c>
      <c r="DQ125" s="228">
        <v>0.69</v>
      </c>
      <c r="DR125" s="228">
        <v>0.75</v>
      </c>
      <c r="DS125" s="228">
        <v>-0.06</v>
      </c>
      <c r="DT125" s="229">
        <v>-0.08</v>
      </c>
      <c r="DU125" s="231">
        <v>2400</v>
      </c>
      <c r="DV125" s="231">
        <v>2300</v>
      </c>
      <c r="DW125" s="228">
        <v>0.32</v>
      </c>
      <c r="DX125" s="228">
        <v>0.56999999999999995</v>
      </c>
      <c r="DY125" s="228">
        <v>-0.25</v>
      </c>
      <c r="DZ125" s="229">
        <v>-0.43859999999999999</v>
      </c>
      <c r="EA125" s="229">
        <v>0.29959999999999998</v>
      </c>
      <c r="EB125" s="230">
        <v>534650</v>
      </c>
      <c r="EC125" s="229">
        <v>4.8999999999999998E-3</v>
      </c>
      <c r="ED125" s="229">
        <v>0.29959999999999998</v>
      </c>
      <c r="EE125" s="228">
        <v>12.12</v>
      </c>
      <c r="EF125" s="229">
        <v>5.1999999999999998E-3</v>
      </c>
      <c r="EG125" s="230">
        <v>524027</v>
      </c>
      <c r="EH125" s="230">
        <v>631213</v>
      </c>
      <c r="EI125" s="229">
        <v>-0.16980000000000001</v>
      </c>
      <c r="EJ125" s="229">
        <v>0.45190000000000002</v>
      </c>
      <c r="EK125" s="231">
        <v>4061.68</v>
      </c>
      <c r="EL125" s="231">
        <v>1231.31</v>
      </c>
      <c r="EM125" s="231">
        <v>1242.8800000000001</v>
      </c>
      <c r="EN125" s="228">
        <v>21.27</v>
      </c>
      <c r="EO125" s="231">
        <v>6535.87</v>
      </c>
      <c r="EP125" s="231">
        <v>1287.3900000000001</v>
      </c>
      <c r="EQ125" s="231">
        <v>5248.47</v>
      </c>
      <c r="ER125" s="229">
        <v>4.0768000000000004</v>
      </c>
      <c r="ES125" s="228">
        <v>665.7</v>
      </c>
      <c r="ET125" s="228">
        <v>432.01</v>
      </c>
      <c r="EU125" s="231">
        <v>1722.44</v>
      </c>
      <c r="EV125" s="231">
        <v>32222448</v>
      </c>
      <c r="EW125" s="231">
        <v>2820.15</v>
      </c>
      <c r="EX125" s="231">
        <v>2536.63</v>
      </c>
      <c r="EY125" s="228">
        <v>283.52</v>
      </c>
      <c r="EZ125" s="229">
        <v>0.1118</v>
      </c>
      <c r="FA125" s="229">
        <v>0.37340000000000001</v>
      </c>
      <c r="FB125" s="227" t="s">
        <v>555</v>
      </c>
      <c r="FC125">
        <f t="shared" si="1"/>
        <v>515</v>
      </c>
    </row>
    <row r="126" spans="1:159" ht="17.25" thickBot="1" x14ac:dyDescent="0.3">
      <c r="A126" s="226">
        <v>46135</v>
      </c>
      <c r="B126" s="227" t="s">
        <v>162</v>
      </c>
      <c r="C126" s="227" t="s">
        <v>251</v>
      </c>
      <c r="D126" s="228">
        <v>200</v>
      </c>
      <c r="E126" s="228">
        <v>5</v>
      </c>
      <c r="F126" s="231">
        <v>3048.5</v>
      </c>
      <c r="G126" s="231">
        <v>3151.7</v>
      </c>
      <c r="H126" s="228">
        <v>-103.2</v>
      </c>
      <c r="I126" s="229">
        <v>-3.27E-2</v>
      </c>
      <c r="J126" s="231">
        <v>3047.7</v>
      </c>
      <c r="K126" s="231">
        <v>3149.7</v>
      </c>
      <c r="L126" s="228">
        <v>-102</v>
      </c>
      <c r="M126" s="229">
        <v>-3.2399999999999998E-2</v>
      </c>
      <c r="N126" s="231">
        <v>3048.5</v>
      </c>
      <c r="O126" s="231">
        <v>3151.7</v>
      </c>
      <c r="P126" s="228">
        <v>-103.2</v>
      </c>
      <c r="Q126" s="229">
        <v>-3.27E-2</v>
      </c>
      <c r="R126" s="231">
        <v>3065.9</v>
      </c>
      <c r="S126" s="231">
        <v>3169.8</v>
      </c>
      <c r="T126" s="228">
        <v>-103.9</v>
      </c>
      <c r="U126" s="229">
        <v>-3.2800000000000003E-2</v>
      </c>
      <c r="V126" s="231">
        <v>3085.9</v>
      </c>
      <c r="W126" s="231">
        <v>3190.5</v>
      </c>
      <c r="X126" s="228">
        <v>-104.6</v>
      </c>
      <c r="Y126" s="229">
        <v>-3.2800000000000003E-2</v>
      </c>
      <c r="Z126" s="228">
        <v>0.8</v>
      </c>
      <c r="AA126" s="228">
        <v>2</v>
      </c>
      <c r="AB126" s="228">
        <v>-1.2</v>
      </c>
      <c r="AC126" s="229">
        <v>2.9999999999999997E-4</v>
      </c>
      <c r="AD126" s="228">
        <v>0.8</v>
      </c>
      <c r="AE126" s="228">
        <v>2</v>
      </c>
      <c r="AF126" s="228">
        <v>-1.2</v>
      </c>
      <c r="AG126" s="229">
        <v>2.9999999999999997E-4</v>
      </c>
      <c r="AH126" s="228">
        <v>18.2</v>
      </c>
      <c r="AI126" s="228">
        <v>20.100000000000001</v>
      </c>
      <c r="AJ126" s="228">
        <v>-1.9</v>
      </c>
      <c r="AK126" s="229">
        <v>6.0000000000000001E-3</v>
      </c>
      <c r="AL126" s="228">
        <v>38.200000000000003</v>
      </c>
      <c r="AM126" s="228">
        <v>40.799999999999997</v>
      </c>
      <c r="AN126" s="228">
        <v>-2.6</v>
      </c>
      <c r="AO126" s="229">
        <v>1.2500000000000001E-2</v>
      </c>
      <c r="AP126" s="231">
        <v>3064.99</v>
      </c>
      <c r="AQ126" s="231">
        <v>3081.01</v>
      </c>
      <c r="AR126" s="228">
        <v>0</v>
      </c>
      <c r="AS126" s="230">
        <v>3313</v>
      </c>
      <c r="AT126" s="230">
        <v>1250</v>
      </c>
      <c r="AU126" s="230">
        <v>2063</v>
      </c>
      <c r="AV126" s="229">
        <v>1.65</v>
      </c>
      <c r="AW126" s="230">
        <v>1672</v>
      </c>
      <c r="AX126" s="228">
        <v>728</v>
      </c>
      <c r="AY126" s="228">
        <v>944</v>
      </c>
      <c r="AZ126" s="229">
        <v>1.2974000000000001</v>
      </c>
      <c r="BA126" s="230">
        <v>1519</v>
      </c>
      <c r="BB126" s="228">
        <v>264</v>
      </c>
      <c r="BC126" s="230">
        <v>1255</v>
      </c>
      <c r="BD126" s="229">
        <v>4.7497999999999996</v>
      </c>
      <c r="BE126" s="228">
        <v>122</v>
      </c>
      <c r="BF126" s="228">
        <v>258</v>
      </c>
      <c r="BG126" s="228">
        <v>-136</v>
      </c>
      <c r="BH126" s="229">
        <v>-0.52669999999999995</v>
      </c>
      <c r="BI126" s="230">
        <v>3330</v>
      </c>
      <c r="BJ126" s="230">
        <v>2378</v>
      </c>
      <c r="BK126" s="228">
        <v>952</v>
      </c>
      <c r="BL126" s="229">
        <v>0.40050000000000002</v>
      </c>
      <c r="BM126" s="230">
        <v>1939</v>
      </c>
      <c r="BN126" s="230">
        <v>1299</v>
      </c>
      <c r="BO126" s="228">
        <v>640</v>
      </c>
      <c r="BP126" s="229">
        <v>0.49249999999999999</v>
      </c>
      <c r="BQ126" s="230">
        <v>8581</v>
      </c>
      <c r="BR126" s="230">
        <v>4927</v>
      </c>
      <c r="BS126" s="230">
        <v>3654</v>
      </c>
      <c r="BT126" s="229">
        <v>0.74180000000000001</v>
      </c>
      <c r="BU126" s="230">
        <v>4815855</v>
      </c>
      <c r="BV126" s="230">
        <v>3149702</v>
      </c>
      <c r="BW126" s="230">
        <v>1666153</v>
      </c>
      <c r="BX126" s="229">
        <v>0.52900000000000003</v>
      </c>
      <c r="BY126" s="230">
        <v>6234</v>
      </c>
      <c r="BZ126" s="230">
        <v>6103</v>
      </c>
      <c r="CA126" s="228">
        <v>131</v>
      </c>
      <c r="CB126" s="229">
        <v>2.1499999999999998E-2</v>
      </c>
      <c r="CC126" s="230">
        <v>2985</v>
      </c>
      <c r="CD126" s="230">
        <v>4283</v>
      </c>
      <c r="CE126" s="230">
        <v>-1298</v>
      </c>
      <c r="CF126" s="229">
        <v>-0.30299999999999999</v>
      </c>
      <c r="CG126" s="230">
        <v>2567</v>
      </c>
      <c r="CH126" s="230">
        <v>1244</v>
      </c>
      <c r="CI126" s="230">
        <v>1323</v>
      </c>
      <c r="CJ126" s="229">
        <v>1.0639000000000001</v>
      </c>
      <c r="CK126" s="228">
        <v>682</v>
      </c>
      <c r="CL126" s="228">
        <v>577</v>
      </c>
      <c r="CM126" s="228">
        <v>106</v>
      </c>
      <c r="CN126" s="229">
        <v>0.183</v>
      </c>
      <c r="CO126" s="230">
        <v>1763</v>
      </c>
      <c r="CP126" s="230">
        <v>1654</v>
      </c>
      <c r="CQ126" s="228">
        <v>109</v>
      </c>
      <c r="CR126" s="229">
        <v>6.59E-2</v>
      </c>
      <c r="CS126" s="230">
        <v>1134</v>
      </c>
      <c r="CT126" s="230">
        <v>1115</v>
      </c>
      <c r="CU126" s="228">
        <v>20</v>
      </c>
      <c r="CV126" s="229">
        <v>1.77E-2</v>
      </c>
      <c r="CW126" s="230">
        <v>9131</v>
      </c>
      <c r="CX126" s="230">
        <v>8871</v>
      </c>
      <c r="CY126" s="228">
        <v>260</v>
      </c>
      <c r="CZ126" s="229">
        <v>2.93E-2</v>
      </c>
      <c r="DA126" s="228">
        <v>35.99</v>
      </c>
      <c r="DB126" s="228">
        <v>34.520000000000003</v>
      </c>
      <c r="DC126" s="228">
        <v>1.47</v>
      </c>
      <c r="DD126" s="228">
        <v>1.47</v>
      </c>
      <c r="DE126" s="228">
        <v>35.83</v>
      </c>
      <c r="DF126" s="228">
        <v>35.64</v>
      </c>
      <c r="DG126" s="228">
        <v>0.16</v>
      </c>
      <c r="DH126" s="228">
        <v>0.19</v>
      </c>
      <c r="DI126" s="228">
        <v>36.29</v>
      </c>
      <c r="DJ126" s="228">
        <v>34.94</v>
      </c>
      <c r="DK126" s="228">
        <v>1.35</v>
      </c>
      <c r="DL126" s="228">
        <v>1.35</v>
      </c>
      <c r="DM126" s="228">
        <v>35.42</v>
      </c>
      <c r="DN126" s="228">
        <v>33.75</v>
      </c>
      <c r="DO126" s="228">
        <v>1.67</v>
      </c>
      <c r="DP126" s="228">
        <v>1.67</v>
      </c>
      <c r="DQ126" s="228">
        <v>0.64</v>
      </c>
      <c r="DR126" s="228">
        <v>0.67</v>
      </c>
      <c r="DS126" s="228">
        <v>-0.03</v>
      </c>
      <c r="DT126" s="229">
        <v>-4.48E-2</v>
      </c>
      <c r="DU126" s="231">
        <v>3300</v>
      </c>
      <c r="DV126" s="231">
        <v>2800</v>
      </c>
      <c r="DW126" s="228">
        <v>0.57999999999999996</v>
      </c>
      <c r="DX126" s="228">
        <v>0.55000000000000004</v>
      </c>
      <c r="DY126" s="228">
        <v>0.03</v>
      </c>
      <c r="DZ126" s="229">
        <v>5.45E-2</v>
      </c>
      <c r="EA126" s="229">
        <v>0.5212</v>
      </c>
      <c r="EB126" s="230">
        <v>5972200</v>
      </c>
      <c r="EC126" s="229">
        <v>5.7000000000000002E-3</v>
      </c>
      <c r="ED126" s="229">
        <v>0.5212</v>
      </c>
      <c r="EE126" s="228">
        <v>16.02</v>
      </c>
      <c r="EF126" s="229">
        <v>5.1999999999999998E-3</v>
      </c>
      <c r="EG126" s="230">
        <v>2946282</v>
      </c>
      <c r="EH126" s="230">
        <v>2120167</v>
      </c>
      <c r="EI126" s="229">
        <v>0.3896</v>
      </c>
      <c r="EJ126" s="229">
        <v>0.61180000000000001</v>
      </c>
      <c r="EK126" s="231">
        <v>3522.25</v>
      </c>
      <c r="EL126" s="231">
        <v>1964.82</v>
      </c>
      <c r="EM126" s="231">
        <v>3339.95</v>
      </c>
      <c r="EN126" s="228">
        <v>131.02000000000001</v>
      </c>
      <c r="EO126" s="231">
        <v>8827.0300000000007</v>
      </c>
      <c r="EP126" s="231">
        <v>5265.5</v>
      </c>
      <c r="EQ126" s="231">
        <v>3561.53</v>
      </c>
      <c r="ER126" s="229">
        <v>0.6764</v>
      </c>
      <c r="ES126" s="231">
        <v>1889.22</v>
      </c>
      <c r="ET126" s="231">
        <v>1151.18</v>
      </c>
      <c r="EU126" s="231">
        <v>6257.45</v>
      </c>
      <c r="EV126" s="231">
        <v>120808308</v>
      </c>
      <c r="EW126" s="231">
        <v>9297.86</v>
      </c>
      <c r="EX126" s="231">
        <v>9238.36</v>
      </c>
      <c r="EY126" s="228">
        <v>59.5</v>
      </c>
      <c r="EZ126" s="229">
        <v>6.4000000000000003E-3</v>
      </c>
      <c r="FA126" s="229">
        <v>0.24790000000000001</v>
      </c>
      <c r="FB126" s="227" t="s">
        <v>566</v>
      </c>
      <c r="FC126">
        <f t="shared" si="1"/>
        <v>3249</v>
      </c>
    </row>
    <row r="127" spans="1:159" ht="17.25" thickBot="1" x14ac:dyDescent="0.3">
      <c r="A127" s="226">
        <v>46135</v>
      </c>
      <c r="B127" s="227" t="s">
        <v>175</v>
      </c>
      <c r="C127" s="227" t="s">
        <v>253</v>
      </c>
      <c r="D127" s="228">
        <v>3000</v>
      </c>
      <c r="E127" s="228">
        <v>5</v>
      </c>
      <c r="F127" s="228">
        <v>292.39999999999998</v>
      </c>
      <c r="G127" s="228">
        <v>294.8</v>
      </c>
      <c r="H127" s="228">
        <v>-2.4</v>
      </c>
      <c r="I127" s="229">
        <v>-8.0999999999999996E-3</v>
      </c>
      <c r="J127" s="228">
        <v>292.85000000000002</v>
      </c>
      <c r="K127" s="228">
        <v>295.05</v>
      </c>
      <c r="L127" s="228">
        <v>-2.2000000000000002</v>
      </c>
      <c r="M127" s="229">
        <v>-7.4999999999999997E-3</v>
      </c>
      <c r="N127" s="228">
        <v>292.39999999999998</v>
      </c>
      <c r="O127" s="228">
        <v>294.8</v>
      </c>
      <c r="P127" s="228">
        <v>-2.4</v>
      </c>
      <c r="Q127" s="229">
        <v>-8.0999999999999996E-3</v>
      </c>
      <c r="R127" s="228">
        <v>293.89999999999998</v>
      </c>
      <c r="S127" s="228">
        <v>296.45</v>
      </c>
      <c r="T127" s="228">
        <v>-2.5499999999999998</v>
      </c>
      <c r="U127" s="229">
        <v>-8.6E-3</v>
      </c>
      <c r="V127" s="228">
        <v>295.5</v>
      </c>
      <c r="W127" s="228">
        <v>297.60000000000002</v>
      </c>
      <c r="X127" s="228">
        <v>-2.1</v>
      </c>
      <c r="Y127" s="229">
        <v>-7.1000000000000004E-3</v>
      </c>
      <c r="Z127" s="228">
        <v>-0.45</v>
      </c>
      <c r="AA127" s="228">
        <v>-0.25</v>
      </c>
      <c r="AB127" s="228">
        <v>-0.2</v>
      </c>
      <c r="AC127" s="229">
        <v>-1.5E-3</v>
      </c>
      <c r="AD127" s="228">
        <v>-0.45</v>
      </c>
      <c r="AE127" s="228">
        <v>-0.25</v>
      </c>
      <c r="AF127" s="228">
        <v>-0.2</v>
      </c>
      <c r="AG127" s="229">
        <v>-1.5E-3</v>
      </c>
      <c r="AH127" s="228">
        <v>1.05</v>
      </c>
      <c r="AI127" s="228">
        <v>1.4</v>
      </c>
      <c r="AJ127" s="228">
        <v>-0.35</v>
      </c>
      <c r="AK127" s="229">
        <v>3.5999999999999999E-3</v>
      </c>
      <c r="AL127" s="228">
        <v>2.65</v>
      </c>
      <c r="AM127" s="228">
        <v>2.5499999999999998</v>
      </c>
      <c r="AN127" s="228">
        <v>0.1</v>
      </c>
      <c r="AO127" s="229">
        <v>8.9999999999999993E-3</v>
      </c>
      <c r="AP127" s="228">
        <v>293.69</v>
      </c>
      <c r="AQ127" s="228">
        <v>295.13</v>
      </c>
      <c r="AR127" s="228">
        <v>0</v>
      </c>
      <c r="AS127" s="228">
        <v>676</v>
      </c>
      <c r="AT127" s="230">
        <v>1230</v>
      </c>
      <c r="AU127" s="228">
        <v>-554</v>
      </c>
      <c r="AV127" s="229">
        <v>-0.45019999999999999</v>
      </c>
      <c r="AW127" s="228">
        <v>360</v>
      </c>
      <c r="AX127" s="228">
        <v>779</v>
      </c>
      <c r="AY127" s="228">
        <v>-419</v>
      </c>
      <c r="AZ127" s="229">
        <v>-0.53820000000000001</v>
      </c>
      <c r="BA127" s="228">
        <v>315</v>
      </c>
      <c r="BB127" s="228">
        <v>448</v>
      </c>
      <c r="BC127" s="228">
        <v>-132</v>
      </c>
      <c r="BD127" s="229">
        <v>-0.2959</v>
      </c>
      <c r="BE127" s="228">
        <v>1</v>
      </c>
      <c r="BF127" s="228">
        <v>4</v>
      </c>
      <c r="BG127" s="228">
        <v>-2</v>
      </c>
      <c r="BH127" s="229">
        <v>-0.58540000000000003</v>
      </c>
      <c r="BI127" s="228">
        <v>457</v>
      </c>
      <c r="BJ127" s="230">
        <v>2709</v>
      </c>
      <c r="BK127" s="230">
        <v>-2252</v>
      </c>
      <c r="BL127" s="229">
        <v>-0.83120000000000005</v>
      </c>
      <c r="BM127" s="228">
        <v>236</v>
      </c>
      <c r="BN127" s="230">
        <v>1522</v>
      </c>
      <c r="BO127" s="230">
        <v>-1286</v>
      </c>
      <c r="BP127" s="229">
        <v>-0.84489999999999998</v>
      </c>
      <c r="BQ127" s="230">
        <v>1370</v>
      </c>
      <c r="BR127" s="230">
        <v>5461</v>
      </c>
      <c r="BS127" s="230">
        <v>-4091</v>
      </c>
      <c r="BT127" s="229">
        <v>-0.74909999999999999</v>
      </c>
      <c r="BU127" s="230">
        <v>3247252</v>
      </c>
      <c r="BV127" s="230">
        <v>11348893</v>
      </c>
      <c r="BW127" s="230">
        <v>-8101641</v>
      </c>
      <c r="BX127" s="229">
        <v>-0.71389999999999998</v>
      </c>
      <c r="BY127" s="230">
        <v>1673</v>
      </c>
      <c r="BZ127" s="230">
        <v>1710</v>
      </c>
      <c r="CA127" s="228">
        <v>-36</v>
      </c>
      <c r="CB127" s="229">
        <v>-2.1100000000000001E-2</v>
      </c>
      <c r="CC127" s="228">
        <v>948</v>
      </c>
      <c r="CD127" s="230">
        <v>1194</v>
      </c>
      <c r="CE127" s="228">
        <v>-246</v>
      </c>
      <c r="CF127" s="229">
        <v>-0.20610000000000001</v>
      </c>
      <c r="CG127" s="228">
        <v>721</v>
      </c>
      <c r="CH127" s="228">
        <v>512</v>
      </c>
      <c r="CI127" s="228">
        <v>209</v>
      </c>
      <c r="CJ127" s="229">
        <v>0.40860000000000002</v>
      </c>
      <c r="CK127" s="228">
        <v>5</v>
      </c>
      <c r="CL127" s="228">
        <v>4</v>
      </c>
      <c r="CM127" s="228">
        <v>1</v>
      </c>
      <c r="CN127" s="229">
        <v>0.15559999999999999</v>
      </c>
      <c r="CO127" s="228">
        <v>518</v>
      </c>
      <c r="CP127" s="228">
        <v>529</v>
      </c>
      <c r="CQ127" s="228">
        <v>-11</v>
      </c>
      <c r="CR127" s="229">
        <v>-2.1100000000000001E-2</v>
      </c>
      <c r="CS127" s="228">
        <v>451</v>
      </c>
      <c r="CT127" s="228">
        <v>470</v>
      </c>
      <c r="CU127" s="228">
        <v>-19</v>
      </c>
      <c r="CV127" s="229">
        <v>-3.9899999999999998E-2</v>
      </c>
      <c r="CW127" s="230">
        <v>2643</v>
      </c>
      <c r="CX127" s="230">
        <v>2709</v>
      </c>
      <c r="CY127" s="228">
        <v>-66</v>
      </c>
      <c r="CZ127" s="229">
        <v>-2.4400000000000002E-2</v>
      </c>
      <c r="DA127" s="228">
        <v>42.09</v>
      </c>
      <c r="DB127" s="228">
        <v>38.39</v>
      </c>
      <c r="DC127" s="228">
        <v>3.7</v>
      </c>
      <c r="DD127" s="228">
        <v>3.7</v>
      </c>
      <c r="DE127" s="228">
        <v>43.09</v>
      </c>
      <c r="DF127" s="228">
        <v>43.18</v>
      </c>
      <c r="DG127" s="228">
        <v>-1</v>
      </c>
      <c r="DH127" s="228">
        <v>-0.09</v>
      </c>
      <c r="DI127" s="228">
        <v>42.11</v>
      </c>
      <c r="DJ127" s="228">
        <v>36.869999999999997</v>
      </c>
      <c r="DK127" s="228">
        <v>5.24</v>
      </c>
      <c r="DL127" s="228">
        <v>5.24</v>
      </c>
      <c r="DM127" s="228">
        <v>42.06</v>
      </c>
      <c r="DN127" s="228">
        <v>41.09</v>
      </c>
      <c r="DO127" s="228">
        <v>0.97</v>
      </c>
      <c r="DP127" s="228">
        <v>0.97</v>
      </c>
      <c r="DQ127" s="228">
        <v>0.87</v>
      </c>
      <c r="DR127" s="228">
        <v>0.89</v>
      </c>
      <c r="DS127" s="228">
        <v>-0.02</v>
      </c>
      <c r="DT127" s="229">
        <v>-2.2499999999999999E-2</v>
      </c>
      <c r="DU127" s="228">
        <v>300</v>
      </c>
      <c r="DV127" s="228">
        <v>250</v>
      </c>
      <c r="DW127" s="228">
        <v>0.52</v>
      </c>
      <c r="DX127" s="228">
        <v>0.56000000000000005</v>
      </c>
      <c r="DY127" s="228">
        <v>-0.04</v>
      </c>
      <c r="DZ127" s="229">
        <v>-7.1400000000000005E-2</v>
      </c>
      <c r="EA127" s="229">
        <v>0.43369999999999997</v>
      </c>
      <c r="EB127" s="230">
        <v>17646000</v>
      </c>
      <c r="EC127" s="229">
        <v>5.1000000000000004E-3</v>
      </c>
      <c r="ED127" s="229">
        <v>0.43369999999999997</v>
      </c>
      <c r="EE127" s="228">
        <v>1.44</v>
      </c>
      <c r="EF127" s="229">
        <v>4.8999999999999998E-3</v>
      </c>
      <c r="EG127" s="230">
        <v>1494870</v>
      </c>
      <c r="EH127" s="230">
        <v>3229014</v>
      </c>
      <c r="EI127" s="229">
        <v>-0.53710000000000002</v>
      </c>
      <c r="EJ127" s="229">
        <v>0.46029999999999999</v>
      </c>
      <c r="EK127" s="228">
        <v>479.21</v>
      </c>
      <c r="EL127" s="228">
        <v>229.22</v>
      </c>
      <c r="EM127" s="228">
        <v>681.04</v>
      </c>
      <c r="EN127" s="228">
        <v>54.55</v>
      </c>
      <c r="EO127" s="231">
        <v>1389.48</v>
      </c>
      <c r="EP127" s="231">
        <v>5516.41</v>
      </c>
      <c r="EQ127" s="231">
        <v>-4126.93</v>
      </c>
      <c r="ER127" s="229">
        <v>-0.74809999999999999</v>
      </c>
      <c r="ES127" s="228">
        <v>515.11</v>
      </c>
      <c r="ET127" s="228">
        <v>413.7</v>
      </c>
      <c r="EU127" s="231">
        <v>1677.18</v>
      </c>
      <c r="EV127" s="231">
        <v>82205057</v>
      </c>
      <c r="EW127" s="231">
        <v>2605.9899999999998</v>
      </c>
      <c r="EX127" s="231">
        <v>2682.81</v>
      </c>
      <c r="EY127" s="228">
        <v>-76.819999999999993</v>
      </c>
      <c r="EZ127" s="229">
        <v>-2.86E-2</v>
      </c>
      <c r="FA127" s="229">
        <v>1.0994999999999999</v>
      </c>
      <c r="FB127" s="227" t="s">
        <v>567</v>
      </c>
      <c r="FC127">
        <f t="shared" si="1"/>
        <v>725</v>
      </c>
    </row>
    <row r="128" spans="1:159" ht="17.25" thickBot="1" x14ac:dyDescent="0.3">
      <c r="A128" s="226">
        <v>46135</v>
      </c>
      <c r="B128" s="227" t="s">
        <v>170</v>
      </c>
      <c r="C128" s="227" t="s">
        <v>670</v>
      </c>
      <c r="D128" s="228">
        <v>225</v>
      </c>
      <c r="E128" s="228">
        <v>5</v>
      </c>
      <c r="F128" s="231">
        <v>2291.8000000000002</v>
      </c>
      <c r="G128" s="231">
        <v>2228.6999999999998</v>
      </c>
      <c r="H128" s="228">
        <v>63.1</v>
      </c>
      <c r="I128" s="229">
        <v>2.8299999999999999E-2</v>
      </c>
      <c r="J128" s="231">
        <v>2292.9</v>
      </c>
      <c r="K128" s="231">
        <v>2235</v>
      </c>
      <c r="L128" s="228">
        <v>57.9</v>
      </c>
      <c r="M128" s="229">
        <v>2.5899999999999999E-2</v>
      </c>
      <c r="N128" s="231">
        <v>2291.8000000000002</v>
      </c>
      <c r="O128" s="231">
        <v>2228.6999999999998</v>
      </c>
      <c r="P128" s="228">
        <v>63.1</v>
      </c>
      <c r="Q128" s="229">
        <v>2.8299999999999999E-2</v>
      </c>
      <c r="R128" s="231">
        <v>2280.5</v>
      </c>
      <c r="S128" s="231">
        <v>2228.5</v>
      </c>
      <c r="T128" s="228">
        <v>52</v>
      </c>
      <c r="U128" s="229">
        <v>2.3300000000000001E-2</v>
      </c>
      <c r="V128" s="231">
        <v>2280.9</v>
      </c>
      <c r="W128" s="231">
        <v>2235</v>
      </c>
      <c r="X128" s="228">
        <v>45.9</v>
      </c>
      <c r="Y128" s="229">
        <v>2.0500000000000001E-2</v>
      </c>
      <c r="Z128" s="228">
        <v>-1.1000000000000001</v>
      </c>
      <c r="AA128" s="228">
        <v>-6.3</v>
      </c>
      <c r="AB128" s="228">
        <v>5.2</v>
      </c>
      <c r="AC128" s="229">
        <v>-5.0000000000000001E-4</v>
      </c>
      <c r="AD128" s="228">
        <v>-1.1000000000000001</v>
      </c>
      <c r="AE128" s="228">
        <v>-6.3</v>
      </c>
      <c r="AF128" s="228">
        <v>5.2</v>
      </c>
      <c r="AG128" s="229">
        <v>-5.0000000000000001E-4</v>
      </c>
      <c r="AH128" s="228">
        <v>-12.4</v>
      </c>
      <c r="AI128" s="228">
        <v>-6.5</v>
      </c>
      <c r="AJ128" s="228">
        <v>-5.9</v>
      </c>
      <c r="AK128" s="229">
        <v>-5.4000000000000003E-3</v>
      </c>
      <c r="AL128" s="228">
        <v>-12</v>
      </c>
      <c r="AM128" s="228">
        <v>0</v>
      </c>
      <c r="AN128" s="228">
        <v>-12</v>
      </c>
      <c r="AO128" s="229">
        <v>-5.1999999999999998E-3</v>
      </c>
      <c r="AP128" s="231">
        <v>2282.5500000000002</v>
      </c>
      <c r="AQ128" s="231">
        <v>2270.04</v>
      </c>
      <c r="AR128" s="228">
        <v>0</v>
      </c>
      <c r="AS128" s="228">
        <v>912</v>
      </c>
      <c r="AT128" s="228">
        <v>171</v>
      </c>
      <c r="AU128" s="228">
        <v>741</v>
      </c>
      <c r="AV128" s="229">
        <v>4.3289</v>
      </c>
      <c r="AW128" s="228">
        <v>453</v>
      </c>
      <c r="AX128" s="228">
        <v>108</v>
      </c>
      <c r="AY128" s="228">
        <v>345</v>
      </c>
      <c r="AZ128" s="229">
        <v>3.1875</v>
      </c>
      <c r="BA128" s="228">
        <v>456</v>
      </c>
      <c r="BB128" s="228">
        <v>63</v>
      </c>
      <c r="BC128" s="228">
        <v>393</v>
      </c>
      <c r="BD128" s="229">
        <v>6.2729999999999997</v>
      </c>
      <c r="BE128" s="228">
        <v>4</v>
      </c>
      <c r="BF128" s="228">
        <v>0</v>
      </c>
      <c r="BG128" s="228">
        <v>3</v>
      </c>
      <c r="BH128" s="229">
        <v>7.875</v>
      </c>
      <c r="BI128" s="230">
        <v>1307</v>
      </c>
      <c r="BJ128" s="228">
        <v>427</v>
      </c>
      <c r="BK128" s="228">
        <v>880</v>
      </c>
      <c r="BL128" s="229">
        <v>2.0611000000000002</v>
      </c>
      <c r="BM128" s="228">
        <v>508</v>
      </c>
      <c r="BN128" s="228">
        <v>185</v>
      </c>
      <c r="BO128" s="228">
        <v>324</v>
      </c>
      <c r="BP128" s="229">
        <v>1.756</v>
      </c>
      <c r="BQ128" s="230">
        <v>2728</v>
      </c>
      <c r="BR128" s="228">
        <v>783</v>
      </c>
      <c r="BS128" s="230">
        <v>1945</v>
      </c>
      <c r="BT128" s="229">
        <v>2.4853000000000001</v>
      </c>
      <c r="BU128" s="230">
        <v>1106817</v>
      </c>
      <c r="BV128" s="230">
        <v>429532</v>
      </c>
      <c r="BW128" s="230">
        <v>677285</v>
      </c>
      <c r="BX128" s="229">
        <v>1.5768</v>
      </c>
      <c r="BY128" s="228">
        <v>752</v>
      </c>
      <c r="BZ128" s="228">
        <v>747</v>
      </c>
      <c r="CA128" s="228">
        <v>5</v>
      </c>
      <c r="CB128" s="229">
        <v>6.7000000000000002E-3</v>
      </c>
      <c r="CC128" s="228">
        <v>365</v>
      </c>
      <c r="CD128" s="228">
        <v>650</v>
      </c>
      <c r="CE128" s="228">
        <v>-284</v>
      </c>
      <c r="CF128" s="229">
        <v>-0.43769999999999998</v>
      </c>
      <c r="CG128" s="228">
        <v>383</v>
      </c>
      <c r="CH128" s="228">
        <v>95</v>
      </c>
      <c r="CI128" s="228">
        <v>287</v>
      </c>
      <c r="CJ128" s="229">
        <v>3.0162</v>
      </c>
      <c r="CK128" s="228">
        <v>4</v>
      </c>
      <c r="CL128" s="228">
        <v>2</v>
      </c>
      <c r="CM128" s="228">
        <v>2</v>
      </c>
      <c r="CN128" s="229">
        <v>1.2</v>
      </c>
      <c r="CO128" s="228">
        <v>197</v>
      </c>
      <c r="CP128" s="228">
        <v>170</v>
      </c>
      <c r="CQ128" s="228">
        <v>26</v>
      </c>
      <c r="CR128" s="229">
        <v>0.1555</v>
      </c>
      <c r="CS128" s="228">
        <v>195</v>
      </c>
      <c r="CT128" s="228">
        <v>135</v>
      </c>
      <c r="CU128" s="228">
        <v>60</v>
      </c>
      <c r="CV128" s="229">
        <v>0.44490000000000002</v>
      </c>
      <c r="CW128" s="230">
        <v>1143</v>
      </c>
      <c r="CX128" s="230">
        <v>1052</v>
      </c>
      <c r="CY128" s="228">
        <v>91</v>
      </c>
      <c r="CZ128" s="229">
        <v>8.6900000000000005E-2</v>
      </c>
      <c r="DA128" s="228">
        <v>34.85</v>
      </c>
      <c r="DB128" s="228">
        <v>26.39</v>
      </c>
      <c r="DC128" s="228">
        <v>8.4600000000000009</v>
      </c>
      <c r="DD128" s="228">
        <v>8.4600000000000009</v>
      </c>
      <c r="DE128" s="228">
        <v>33.9</v>
      </c>
      <c r="DF128" s="228">
        <v>33.81</v>
      </c>
      <c r="DG128" s="228">
        <v>0.95</v>
      </c>
      <c r="DH128" s="228">
        <v>0.09</v>
      </c>
      <c r="DI128" s="228">
        <v>34.880000000000003</v>
      </c>
      <c r="DJ128" s="228">
        <v>23.95</v>
      </c>
      <c r="DK128" s="228">
        <v>10.93</v>
      </c>
      <c r="DL128" s="228">
        <v>10.93</v>
      </c>
      <c r="DM128" s="228">
        <v>34.64</v>
      </c>
      <c r="DN128" s="228">
        <v>32.03</v>
      </c>
      <c r="DO128" s="228">
        <v>2.61</v>
      </c>
      <c r="DP128" s="228">
        <v>2.61</v>
      </c>
      <c r="DQ128" s="228">
        <v>0.99</v>
      </c>
      <c r="DR128" s="228">
        <v>0.79</v>
      </c>
      <c r="DS128" s="228">
        <v>0.2</v>
      </c>
      <c r="DT128" s="229">
        <v>0.25319999999999998</v>
      </c>
      <c r="DU128" s="231">
        <v>2360</v>
      </c>
      <c r="DV128" s="231">
        <v>2220</v>
      </c>
      <c r="DW128" s="228">
        <v>0.39</v>
      </c>
      <c r="DX128" s="228">
        <v>0.43</v>
      </c>
      <c r="DY128" s="228">
        <v>-0.04</v>
      </c>
      <c r="DZ128" s="229">
        <v>-9.2999999999999999E-2</v>
      </c>
      <c r="EA128" s="229">
        <v>0.51400000000000001</v>
      </c>
      <c r="EB128" s="230">
        <v>423450</v>
      </c>
      <c r="EC128" s="229">
        <v>-4.8999999999999998E-3</v>
      </c>
      <c r="ED128" s="229">
        <v>0.51400000000000001</v>
      </c>
      <c r="EE128" s="228">
        <v>-12.51</v>
      </c>
      <c r="EF128" s="229">
        <v>-5.4999999999999997E-3</v>
      </c>
      <c r="EG128" s="230">
        <v>479444</v>
      </c>
      <c r="EH128" s="230">
        <v>220489</v>
      </c>
      <c r="EI128" s="229">
        <v>1.1745000000000001</v>
      </c>
      <c r="EJ128" s="229">
        <v>0.43319999999999997</v>
      </c>
      <c r="EK128" s="231">
        <v>1338.86</v>
      </c>
      <c r="EL128" s="228">
        <v>474.78</v>
      </c>
      <c r="EM128" s="228">
        <v>906.09</v>
      </c>
      <c r="EN128" s="228">
        <v>24.28</v>
      </c>
      <c r="EO128" s="231">
        <v>2719.72</v>
      </c>
      <c r="EP128" s="228">
        <v>760.63</v>
      </c>
      <c r="EQ128" s="231">
        <v>1959.08</v>
      </c>
      <c r="ER128" s="229">
        <v>2.5756000000000001</v>
      </c>
      <c r="ES128" s="228">
        <v>194.59</v>
      </c>
      <c r="ET128" s="228">
        <v>179.21</v>
      </c>
      <c r="EU128" s="228">
        <v>749.97</v>
      </c>
      <c r="EV128" s="231">
        <v>16926669</v>
      </c>
      <c r="EW128" s="231">
        <v>1123.77</v>
      </c>
      <c r="EX128" s="231">
        <v>1013.26</v>
      </c>
      <c r="EY128" s="228">
        <v>110.51</v>
      </c>
      <c r="EZ128" s="229">
        <v>0.1091</v>
      </c>
      <c r="FA128" s="229">
        <v>0.29470000000000002</v>
      </c>
      <c r="FB128" s="227" t="s">
        <v>555</v>
      </c>
      <c r="FC128">
        <f t="shared" si="1"/>
        <v>387</v>
      </c>
    </row>
    <row r="129" spans="1:159" ht="17.25" thickBot="1" x14ac:dyDescent="0.3">
      <c r="A129" s="226">
        <v>46135</v>
      </c>
      <c r="B129" s="227" t="s">
        <v>168</v>
      </c>
      <c r="C129" s="227" t="s">
        <v>254</v>
      </c>
      <c r="D129" s="228">
        <v>1200</v>
      </c>
      <c r="E129" s="228">
        <v>5</v>
      </c>
      <c r="F129" s="228">
        <v>777.75</v>
      </c>
      <c r="G129" s="228">
        <v>773.8</v>
      </c>
      <c r="H129" s="228">
        <v>3.95</v>
      </c>
      <c r="I129" s="229">
        <v>5.1000000000000004E-3</v>
      </c>
      <c r="J129" s="228">
        <v>778.9</v>
      </c>
      <c r="K129" s="228">
        <v>772.5</v>
      </c>
      <c r="L129" s="228">
        <v>6.4</v>
      </c>
      <c r="M129" s="229">
        <v>8.3000000000000001E-3</v>
      </c>
      <c r="N129" s="228">
        <v>777.75</v>
      </c>
      <c r="O129" s="228">
        <v>773.8</v>
      </c>
      <c r="P129" s="228">
        <v>3.95</v>
      </c>
      <c r="Q129" s="229">
        <v>5.1000000000000004E-3</v>
      </c>
      <c r="R129" s="228">
        <v>782.15</v>
      </c>
      <c r="S129" s="228">
        <v>777.8</v>
      </c>
      <c r="T129" s="228">
        <v>4.3499999999999996</v>
      </c>
      <c r="U129" s="229">
        <v>5.5999999999999999E-3</v>
      </c>
      <c r="V129" s="228">
        <v>785.65</v>
      </c>
      <c r="W129" s="228">
        <v>780.65</v>
      </c>
      <c r="X129" s="228">
        <v>5</v>
      </c>
      <c r="Y129" s="229">
        <v>6.4000000000000003E-3</v>
      </c>
      <c r="Z129" s="228">
        <v>-1.1499999999999999</v>
      </c>
      <c r="AA129" s="228">
        <v>1.3</v>
      </c>
      <c r="AB129" s="228">
        <v>-2.4500000000000002</v>
      </c>
      <c r="AC129" s="229">
        <v>-1.5E-3</v>
      </c>
      <c r="AD129" s="228">
        <v>-1.1499999999999999</v>
      </c>
      <c r="AE129" s="228">
        <v>1.3</v>
      </c>
      <c r="AF129" s="228">
        <v>-2.4500000000000002</v>
      </c>
      <c r="AG129" s="229">
        <v>-1.5E-3</v>
      </c>
      <c r="AH129" s="228">
        <v>3.25</v>
      </c>
      <c r="AI129" s="228">
        <v>5.3</v>
      </c>
      <c r="AJ129" s="228">
        <v>-2.0499999999999998</v>
      </c>
      <c r="AK129" s="229">
        <v>4.1999999999999997E-3</v>
      </c>
      <c r="AL129" s="228">
        <v>6.75</v>
      </c>
      <c r="AM129" s="228">
        <v>8.15</v>
      </c>
      <c r="AN129" s="228">
        <v>-1.4</v>
      </c>
      <c r="AO129" s="229">
        <v>8.6999999999999994E-3</v>
      </c>
      <c r="AP129" s="228">
        <v>772.6</v>
      </c>
      <c r="AQ129" s="228">
        <v>776.79</v>
      </c>
      <c r="AR129" s="228">
        <v>0</v>
      </c>
      <c r="AS129" s="230">
        <v>1313</v>
      </c>
      <c r="AT129" s="228">
        <v>318</v>
      </c>
      <c r="AU129" s="228">
        <v>996</v>
      </c>
      <c r="AV129" s="229">
        <v>3.1355</v>
      </c>
      <c r="AW129" s="228">
        <v>728</v>
      </c>
      <c r="AX129" s="228">
        <v>250</v>
      </c>
      <c r="AY129" s="228">
        <v>477</v>
      </c>
      <c r="AZ129" s="229">
        <v>1.9097</v>
      </c>
      <c r="BA129" s="228">
        <v>584</v>
      </c>
      <c r="BB129" s="228">
        <v>64</v>
      </c>
      <c r="BC129" s="228">
        <v>519</v>
      </c>
      <c r="BD129" s="229">
        <v>8.0667000000000009</v>
      </c>
      <c r="BE129" s="228">
        <v>2</v>
      </c>
      <c r="BF129" s="228">
        <v>3</v>
      </c>
      <c r="BG129" s="228">
        <v>-1</v>
      </c>
      <c r="BH129" s="229">
        <v>-0.45450000000000002</v>
      </c>
      <c r="BI129" s="228">
        <v>650</v>
      </c>
      <c r="BJ129" s="230">
        <v>1145</v>
      </c>
      <c r="BK129" s="228">
        <v>-495</v>
      </c>
      <c r="BL129" s="229">
        <v>-0.43209999999999998</v>
      </c>
      <c r="BM129" s="228">
        <v>195</v>
      </c>
      <c r="BN129" s="228">
        <v>438</v>
      </c>
      <c r="BO129" s="228">
        <v>-243</v>
      </c>
      <c r="BP129" s="229">
        <v>-0.55410000000000004</v>
      </c>
      <c r="BQ129" s="230">
        <v>2159</v>
      </c>
      <c r="BR129" s="230">
        <v>1901</v>
      </c>
      <c r="BS129" s="228">
        <v>258</v>
      </c>
      <c r="BT129" s="229">
        <v>0.13569999999999999</v>
      </c>
      <c r="BU129" s="230">
        <v>2249604</v>
      </c>
      <c r="BV129" s="230">
        <v>1617821</v>
      </c>
      <c r="BW129" s="230">
        <v>631783</v>
      </c>
      <c r="BX129" s="229">
        <v>0.39050000000000001</v>
      </c>
      <c r="BY129" s="230">
        <v>1815</v>
      </c>
      <c r="BZ129" s="230">
        <v>1892</v>
      </c>
      <c r="CA129" s="228">
        <v>-77</v>
      </c>
      <c r="CB129" s="229">
        <v>-4.07E-2</v>
      </c>
      <c r="CC129" s="230">
        <v>1111</v>
      </c>
      <c r="CD129" s="230">
        <v>1727</v>
      </c>
      <c r="CE129" s="228">
        <v>-617</v>
      </c>
      <c r="CF129" s="229">
        <v>-0.35709999999999997</v>
      </c>
      <c r="CG129" s="228">
        <v>608</v>
      </c>
      <c r="CH129" s="228">
        <v>69</v>
      </c>
      <c r="CI129" s="228">
        <v>539</v>
      </c>
      <c r="CJ129" s="229">
        <v>7.7739000000000003</v>
      </c>
      <c r="CK129" s="228">
        <v>96</v>
      </c>
      <c r="CL129" s="228">
        <v>95</v>
      </c>
      <c r="CM129" s="228">
        <v>1</v>
      </c>
      <c r="CN129" s="229">
        <v>8.8000000000000005E-3</v>
      </c>
      <c r="CO129" s="228">
        <v>347</v>
      </c>
      <c r="CP129" s="228">
        <v>325</v>
      </c>
      <c r="CQ129" s="228">
        <v>22</v>
      </c>
      <c r="CR129" s="229">
        <v>6.6600000000000006E-2</v>
      </c>
      <c r="CS129" s="228">
        <v>352</v>
      </c>
      <c r="CT129" s="228">
        <v>345</v>
      </c>
      <c r="CU129" s="228">
        <v>7</v>
      </c>
      <c r="CV129" s="229">
        <v>2.1399999999999999E-2</v>
      </c>
      <c r="CW129" s="230">
        <v>2514</v>
      </c>
      <c r="CX129" s="230">
        <v>2562</v>
      </c>
      <c r="CY129" s="228">
        <v>-48</v>
      </c>
      <c r="CZ129" s="229">
        <v>-1.8700000000000001E-2</v>
      </c>
      <c r="DA129" s="228">
        <v>28.89</v>
      </c>
      <c r="DB129" s="228">
        <v>23.78</v>
      </c>
      <c r="DC129" s="228">
        <v>5.1100000000000003</v>
      </c>
      <c r="DD129" s="228">
        <v>5.1100000000000003</v>
      </c>
      <c r="DE129" s="228">
        <v>24.64</v>
      </c>
      <c r="DF129" s="228">
        <v>24.68</v>
      </c>
      <c r="DG129" s="228">
        <v>4.25</v>
      </c>
      <c r="DH129" s="228">
        <v>-0.04</v>
      </c>
      <c r="DI129" s="228">
        <v>28.88</v>
      </c>
      <c r="DJ129" s="228">
        <v>22.21</v>
      </c>
      <c r="DK129" s="228">
        <v>6.67</v>
      </c>
      <c r="DL129" s="228">
        <v>6.67</v>
      </c>
      <c r="DM129" s="228">
        <v>28.98</v>
      </c>
      <c r="DN129" s="228">
        <v>27.88</v>
      </c>
      <c r="DO129" s="228">
        <v>1.1000000000000001</v>
      </c>
      <c r="DP129" s="228">
        <v>1.1000000000000001</v>
      </c>
      <c r="DQ129" s="228">
        <v>1.02</v>
      </c>
      <c r="DR129" s="228">
        <v>1.06</v>
      </c>
      <c r="DS129" s="228">
        <v>-0.04</v>
      </c>
      <c r="DT129" s="229">
        <v>-3.7699999999999997E-2</v>
      </c>
      <c r="DU129" s="228">
        <v>800</v>
      </c>
      <c r="DV129" s="228">
        <v>700</v>
      </c>
      <c r="DW129" s="228">
        <v>0.3</v>
      </c>
      <c r="DX129" s="228">
        <v>0.38</v>
      </c>
      <c r="DY129" s="228">
        <v>-0.08</v>
      </c>
      <c r="DZ129" s="229">
        <v>-0.21049999999999999</v>
      </c>
      <c r="EA129" s="229">
        <v>0.3881</v>
      </c>
      <c r="EB129" s="230">
        <v>2115600</v>
      </c>
      <c r="EC129" s="229">
        <v>5.7000000000000002E-3</v>
      </c>
      <c r="ED129" s="229">
        <v>0.3881</v>
      </c>
      <c r="EE129" s="228">
        <v>4.1900000000000004</v>
      </c>
      <c r="EF129" s="229">
        <v>5.4000000000000003E-3</v>
      </c>
      <c r="EG129" s="230">
        <v>1335352</v>
      </c>
      <c r="EH129" s="230">
        <v>791294</v>
      </c>
      <c r="EI129" s="229">
        <v>0.68759999999999999</v>
      </c>
      <c r="EJ129" s="229">
        <v>0.59360000000000002</v>
      </c>
      <c r="EK129" s="228">
        <v>661.64</v>
      </c>
      <c r="EL129" s="228">
        <v>192.13</v>
      </c>
      <c r="EM129" s="231">
        <v>1307.53</v>
      </c>
      <c r="EN129" s="228">
        <v>26.22</v>
      </c>
      <c r="EO129" s="231">
        <v>2161.3000000000002</v>
      </c>
      <c r="EP129" s="231">
        <v>1888.13</v>
      </c>
      <c r="EQ129" s="228">
        <v>273.17</v>
      </c>
      <c r="ER129" s="229">
        <v>0.1447</v>
      </c>
      <c r="ES129" s="228">
        <v>351.71</v>
      </c>
      <c r="ET129" s="228">
        <v>330.02</v>
      </c>
      <c r="EU129" s="231">
        <v>1819.41</v>
      </c>
      <c r="EV129" s="231">
        <v>77572761</v>
      </c>
      <c r="EW129" s="231">
        <v>2501.14</v>
      </c>
      <c r="EX129" s="231">
        <v>2534.31</v>
      </c>
      <c r="EY129" s="228">
        <v>-33.17</v>
      </c>
      <c r="EZ129" s="229">
        <v>-1.3100000000000001E-2</v>
      </c>
      <c r="FA129" s="229">
        <v>0.41670000000000001</v>
      </c>
      <c r="FB129" s="227" t="s">
        <v>693</v>
      </c>
      <c r="FC129">
        <f t="shared" si="1"/>
        <v>704</v>
      </c>
    </row>
    <row r="130" spans="1:159" ht="17.25" thickBot="1" x14ac:dyDescent="0.3">
      <c r="A130" s="226">
        <v>46135</v>
      </c>
      <c r="B130" s="227" t="s">
        <v>162</v>
      </c>
      <c r="C130" s="227" t="s">
        <v>255</v>
      </c>
      <c r="D130" s="228">
        <v>50</v>
      </c>
      <c r="E130" s="228">
        <v>5</v>
      </c>
      <c r="F130" s="231">
        <v>13139</v>
      </c>
      <c r="G130" s="231">
        <v>13322</v>
      </c>
      <c r="H130" s="228">
        <v>-183</v>
      </c>
      <c r="I130" s="229">
        <v>-1.37E-2</v>
      </c>
      <c r="J130" s="231">
        <v>13160</v>
      </c>
      <c r="K130" s="231">
        <v>13337</v>
      </c>
      <c r="L130" s="228">
        <v>-177</v>
      </c>
      <c r="M130" s="229">
        <v>-1.3299999999999999E-2</v>
      </c>
      <c r="N130" s="231">
        <v>13139</v>
      </c>
      <c r="O130" s="231">
        <v>13322</v>
      </c>
      <c r="P130" s="228">
        <v>-183</v>
      </c>
      <c r="Q130" s="229">
        <v>-1.37E-2</v>
      </c>
      <c r="R130" s="231">
        <v>13212</v>
      </c>
      <c r="S130" s="231">
        <v>13392</v>
      </c>
      <c r="T130" s="228">
        <v>-180</v>
      </c>
      <c r="U130" s="229">
        <v>-1.34E-2</v>
      </c>
      <c r="V130" s="231">
        <v>13291</v>
      </c>
      <c r="W130" s="231">
        <v>13489</v>
      </c>
      <c r="X130" s="228">
        <v>-198</v>
      </c>
      <c r="Y130" s="229">
        <v>-1.47E-2</v>
      </c>
      <c r="Z130" s="228">
        <v>-21</v>
      </c>
      <c r="AA130" s="228">
        <v>-15</v>
      </c>
      <c r="AB130" s="228">
        <v>-6</v>
      </c>
      <c r="AC130" s="229">
        <v>-1.6000000000000001E-3</v>
      </c>
      <c r="AD130" s="228">
        <v>-21</v>
      </c>
      <c r="AE130" s="228">
        <v>-15</v>
      </c>
      <c r="AF130" s="228">
        <v>-6</v>
      </c>
      <c r="AG130" s="229">
        <v>-1.6000000000000001E-3</v>
      </c>
      <c r="AH130" s="228">
        <v>52</v>
      </c>
      <c r="AI130" s="228">
        <v>55</v>
      </c>
      <c r="AJ130" s="228">
        <v>-3</v>
      </c>
      <c r="AK130" s="229">
        <v>4.0000000000000001E-3</v>
      </c>
      <c r="AL130" s="228">
        <v>131</v>
      </c>
      <c r="AM130" s="228">
        <v>152</v>
      </c>
      <c r="AN130" s="228">
        <v>-21</v>
      </c>
      <c r="AO130" s="229">
        <v>0.01</v>
      </c>
      <c r="AP130" s="231">
        <v>13175.2</v>
      </c>
      <c r="AQ130" s="231">
        <v>13244.94</v>
      </c>
      <c r="AR130" s="228">
        <v>0</v>
      </c>
      <c r="AS130" s="230">
        <v>2821</v>
      </c>
      <c r="AT130" s="230">
        <v>1478</v>
      </c>
      <c r="AU130" s="230">
        <v>1343</v>
      </c>
      <c r="AV130" s="229">
        <v>0.90910000000000002</v>
      </c>
      <c r="AW130" s="230">
        <v>1488</v>
      </c>
      <c r="AX130" s="228">
        <v>768</v>
      </c>
      <c r="AY130" s="228">
        <v>719</v>
      </c>
      <c r="AZ130" s="229">
        <v>0.93630000000000002</v>
      </c>
      <c r="BA130" s="230">
        <v>1146</v>
      </c>
      <c r="BB130" s="228">
        <v>464</v>
      </c>
      <c r="BC130" s="228">
        <v>681</v>
      </c>
      <c r="BD130" s="229">
        <v>1.4681</v>
      </c>
      <c r="BE130" s="228">
        <v>188</v>
      </c>
      <c r="BF130" s="228">
        <v>245</v>
      </c>
      <c r="BG130" s="228">
        <v>-57</v>
      </c>
      <c r="BH130" s="229">
        <v>-0.23319999999999999</v>
      </c>
      <c r="BI130" s="230">
        <v>4261</v>
      </c>
      <c r="BJ130" s="230">
        <v>3353</v>
      </c>
      <c r="BK130" s="228">
        <v>908</v>
      </c>
      <c r="BL130" s="229">
        <v>0.27089999999999997</v>
      </c>
      <c r="BM130" s="230">
        <v>1874</v>
      </c>
      <c r="BN130" s="230">
        <v>1934</v>
      </c>
      <c r="BO130" s="228">
        <v>-60</v>
      </c>
      <c r="BP130" s="229">
        <v>-3.09E-2</v>
      </c>
      <c r="BQ130" s="230">
        <v>8957</v>
      </c>
      <c r="BR130" s="230">
        <v>6765</v>
      </c>
      <c r="BS130" s="230">
        <v>2192</v>
      </c>
      <c r="BT130" s="229">
        <v>0.32400000000000001</v>
      </c>
      <c r="BU130" s="230">
        <v>561610</v>
      </c>
      <c r="BV130" s="230">
        <v>445706</v>
      </c>
      <c r="BW130" s="230">
        <v>115904</v>
      </c>
      <c r="BX130" s="229">
        <v>0.26</v>
      </c>
      <c r="BY130" s="230">
        <v>4874</v>
      </c>
      <c r="BZ130" s="230">
        <v>4941</v>
      </c>
      <c r="CA130" s="228">
        <v>-66</v>
      </c>
      <c r="CB130" s="229">
        <v>-1.34E-2</v>
      </c>
      <c r="CC130" s="230">
        <v>2440</v>
      </c>
      <c r="CD130" s="230">
        <v>3556</v>
      </c>
      <c r="CE130" s="230">
        <v>-1116</v>
      </c>
      <c r="CF130" s="229">
        <v>-0.31390000000000001</v>
      </c>
      <c r="CG130" s="230">
        <v>1845</v>
      </c>
      <c r="CH130" s="228">
        <v>975</v>
      </c>
      <c r="CI130" s="228">
        <v>870</v>
      </c>
      <c r="CJ130" s="229">
        <v>0.8921</v>
      </c>
      <c r="CK130" s="228">
        <v>590</v>
      </c>
      <c r="CL130" s="228">
        <v>410</v>
      </c>
      <c r="CM130" s="228">
        <v>180</v>
      </c>
      <c r="CN130" s="229">
        <v>0.43930000000000002</v>
      </c>
      <c r="CO130" s="230">
        <v>2968</v>
      </c>
      <c r="CP130" s="230">
        <v>2822</v>
      </c>
      <c r="CQ130" s="228">
        <v>146</v>
      </c>
      <c r="CR130" s="229">
        <v>5.16E-2</v>
      </c>
      <c r="CS130" s="230">
        <v>1492</v>
      </c>
      <c r="CT130" s="230">
        <v>1512</v>
      </c>
      <c r="CU130" s="228">
        <v>-20</v>
      </c>
      <c r="CV130" s="229">
        <v>-1.32E-2</v>
      </c>
      <c r="CW130" s="230">
        <v>9334</v>
      </c>
      <c r="CX130" s="230">
        <v>9275</v>
      </c>
      <c r="CY130" s="228">
        <v>59</v>
      </c>
      <c r="CZ130" s="229">
        <v>6.4000000000000003E-3</v>
      </c>
      <c r="DA130" s="228">
        <v>31.08</v>
      </c>
      <c r="DB130" s="228">
        <v>32.119999999999997</v>
      </c>
      <c r="DC130" s="228">
        <v>-1.04</v>
      </c>
      <c r="DD130" s="228">
        <v>-1.04</v>
      </c>
      <c r="DE130" s="228">
        <v>28.78</v>
      </c>
      <c r="DF130" s="228">
        <v>28.8</v>
      </c>
      <c r="DG130" s="228">
        <v>2.2999999999999998</v>
      </c>
      <c r="DH130" s="228">
        <v>-0.02</v>
      </c>
      <c r="DI130" s="228">
        <v>30.95</v>
      </c>
      <c r="DJ130" s="228">
        <v>31.8</v>
      </c>
      <c r="DK130" s="228">
        <v>-0.85</v>
      </c>
      <c r="DL130" s="228">
        <v>-0.85</v>
      </c>
      <c r="DM130" s="228">
        <v>31.36</v>
      </c>
      <c r="DN130" s="228">
        <v>32.68</v>
      </c>
      <c r="DO130" s="228">
        <v>-1.32</v>
      </c>
      <c r="DP130" s="228">
        <v>-1.32</v>
      </c>
      <c r="DQ130" s="228">
        <v>0.5</v>
      </c>
      <c r="DR130" s="228">
        <v>0.54</v>
      </c>
      <c r="DS130" s="228">
        <v>-0.04</v>
      </c>
      <c r="DT130" s="229">
        <v>-7.4099999999999999E-2</v>
      </c>
      <c r="DU130" s="231">
        <v>14000</v>
      </c>
      <c r="DV130" s="231">
        <v>13000</v>
      </c>
      <c r="DW130" s="228">
        <v>0.44</v>
      </c>
      <c r="DX130" s="228">
        <v>0.57999999999999996</v>
      </c>
      <c r="DY130" s="228">
        <v>-0.14000000000000001</v>
      </c>
      <c r="DZ130" s="229">
        <v>-0.2414</v>
      </c>
      <c r="EA130" s="229">
        <v>0.4995</v>
      </c>
      <c r="EB130" s="230">
        <v>1053950</v>
      </c>
      <c r="EC130" s="229">
        <v>5.5999999999999999E-3</v>
      </c>
      <c r="ED130" s="229">
        <v>0.4995</v>
      </c>
      <c r="EE130" s="228">
        <v>69.739999999999995</v>
      </c>
      <c r="EF130" s="229">
        <v>5.3E-3</v>
      </c>
      <c r="EG130" s="230">
        <v>325661</v>
      </c>
      <c r="EH130" s="230">
        <v>260734</v>
      </c>
      <c r="EI130" s="229">
        <v>0.249</v>
      </c>
      <c r="EJ130" s="229">
        <v>0.57989999999999997</v>
      </c>
      <c r="EK130" s="231">
        <v>4474.3100000000004</v>
      </c>
      <c r="EL130" s="231">
        <v>1863.86</v>
      </c>
      <c r="EM130" s="231">
        <v>2837.37</v>
      </c>
      <c r="EN130" s="228">
        <v>113.78</v>
      </c>
      <c r="EO130" s="231">
        <v>9175.5499999999993</v>
      </c>
      <c r="EP130" s="231">
        <v>6995.48</v>
      </c>
      <c r="EQ130" s="231">
        <v>2180.0700000000002</v>
      </c>
      <c r="ER130" s="229">
        <v>0.31159999999999999</v>
      </c>
      <c r="ES130" s="231">
        <v>3118.35</v>
      </c>
      <c r="ET130" s="231">
        <v>1453.38</v>
      </c>
      <c r="EU130" s="231">
        <v>4891.4399999999996</v>
      </c>
      <c r="EV130" s="231">
        <v>19673414</v>
      </c>
      <c r="EW130" s="231">
        <v>9463.17</v>
      </c>
      <c r="EX130" s="231">
        <v>9463.74</v>
      </c>
      <c r="EY130" s="228">
        <v>-0.56999999999999995</v>
      </c>
      <c r="EZ130" s="229">
        <v>-1E-4</v>
      </c>
      <c r="FA130" s="229">
        <v>0.36109999999999998</v>
      </c>
      <c r="FB130" s="227" t="s">
        <v>567</v>
      </c>
      <c r="FC130">
        <f t="shared" si="1"/>
        <v>2434</v>
      </c>
    </row>
    <row r="131" spans="1:159" ht="17.25" thickBot="1" x14ac:dyDescent="0.3">
      <c r="A131" s="226">
        <v>46135</v>
      </c>
      <c r="B131" s="227" t="s">
        <v>170</v>
      </c>
      <c r="C131" s="227" t="s">
        <v>602</v>
      </c>
      <c r="D131" s="228">
        <v>525</v>
      </c>
      <c r="E131" s="228">
        <v>5</v>
      </c>
      <c r="F131" s="231">
        <v>1008.4</v>
      </c>
      <c r="G131" s="231">
        <v>1002.8</v>
      </c>
      <c r="H131" s="228">
        <v>5.6</v>
      </c>
      <c r="I131" s="229">
        <v>5.5999999999999999E-3</v>
      </c>
      <c r="J131" s="231">
        <v>1006.75</v>
      </c>
      <c r="K131" s="231">
        <v>1005.35</v>
      </c>
      <c r="L131" s="228">
        <v>1.4</v>
      </c>
      <c r="M131" s="229">
        <v>1.4E-3</v>
      </c>
      <c r="N131" s="231">
        <v>1008.4</v>
      </c>
      <c r="O131" s="231">
        <v>1002.8</v>
      </c>
      <c r="P131" s="228">
        <v>5.6</v>
      </c>
      <c r="Q131" s="229">
        <v>5.5999999999999999E-3</v>
      </c>
      <c r="R131" s="231">
        <v>1013.25</v>
      </c>
      <c r="S131" s="231">
        <v>1009.05</v>
      </c>
      <c r="T131" s="228">
        <v>4.2</v>
      </c>
      <c r="U131" s="229">
        <v>4.1999999999999997E-3</v>
      </c>
      <c r="V131" s="231">
        <v>1019.85</v>
      </c>
      <c r="W131" s="231">
        <v>1015.9</v>
      </c>
      <c r="X131" s="228">
        <v>3.95</v>
      </c>
      <c r="Y131" s="229">
        <v>3.8999999999999998E-3</v>
      </c>
      <c r="Z131" s="228">
        <v>1.65</v>
      </c>
      <c r="AA131" s="228">
        <v>-2.5499999999999998</v>
      </c>
      <c r="AB131" s="228">
        <v>4.2</v>
      </c>
      <c r="AC131" s="229">
        <v>1.6000000000000001E-3</v>
      </c>
      <c r="AD131" s="228">
        <v>1.65</v>
      </c>
      <c r="AE131" s="228">
        <v>-2.5499999999999998</v>
      </c>
      <c r="AF131" s="228">
        <v>4.2</v>
      </c>
      <c r="AG131" s="229">
        <v>1.6000000000000001E-3</v>
      </c>
      <c r="AH131" s="228">
        <v>6.5</v>
      </c>
      <c r="AI131" s="228">
        <v>3.7</v>
      </c>
      <c r="AJ131" s="228">
        <v>2.8</v>
      </c>
      <c r="AK131" s="229">
        <v>6.4999999999999997E-3</v>
      </c>
      <c r="AL131" s="228">
        <v>13.1</v>
      </c>
      <c r="AM131" s="228">
        <v>10.55</v>
      </c>
      <c r="AN131" s="228">
        <v>2.5499999999999998</v>
      </c>
      <c r="AO131" s="229">
        <v>1.2999999999999999E-2</v>
      </c>
      <c r="AP131" s="231">
        <v>1003.86</v>
      </c>
      <c r="AQ131" s="231">
        <v>1008.75</v>
      </c>
      <c r="AR131" s="228">
        <v>0</v>
      </c>
      <c r="AS131" s="230">
        <v>1035</v>
      </c>
      <c r="AT131" s="228">
        <v>295</v>
      </c>
      <c r="AU131" s="228">
        <v>740</v>
      </c>
      <c r="AV131" s="229">
        <v>2.5124</v>
      </c>
      <c r="AW131" s="228">
        <v>562</v>
      </c>
      <c r="AX131" s="228">
        <v>198</v>
      </c>
      <c r="AY131" s="228">
        <v>364</v>
      </c>
      <c r="AZ131" s="229">
        <v>1.8385</v>
      </c>
      <c r="BA131" s="228">
        <v>429</v>
      </c>
      <c r="BB131" s="228">
        <v>84</v>
      </c>
      <c r="BC131" s="228">
        <v>345</v>
      </c>
      <c r="BD131" s="229">
        <v>4.1150000000000002</v>
      </c>
      <c r="BE131" s="228">
        <v>44</v>
      </c>
      <c r="BF131" s="228">
        <v>13</v>
      </c>
      <c r="BG131" s="228">
        <v>31</v>
      </c>
      <c r="BH131" s="229">
        <v>2.4462999999999999</v>
      </c>
      <c r="BI131" s="228">
        <v>630</v>
      </c>
      <c r="BJ131" s="228">
        <v>542</v>
      </c>
      <c r="BK131" s="228">
        <v>89</v>
      </c>
      <c r="BL131" s="229">
        <v>0.1636</v>
      </c>
      <c r="BM131" s="228">
        <v>384</v>
      </c>
      <c r="BN131" s="228">
        <v>504</v>
      </c>
      <c r="BO131" s="228">
        <v>-120</v>
      </c>
      <c r="BP131" s="229">
        <v>-0.2374</v>
      </c>
      <c r="BQ131" s="230">
        <v>2050</v>
      </c>
      <c r="BR131" s="230">
        <v>1340</v>
      </c>
      <c r="BS131" s="228">
        <v>709</v>
      </c>
      <c r="BT131" s="229">
        <v>0.5292</v>
      </c>
      <c r="BU131" s="230">
        <v>1415132</v>
      </c>
      <c r="BV131" s="230">
        <v>1460875</v>
      </c>
      <c r="BW131" s="230">
        <v>-45743</v>
      </c>
      <c r="BX131" s="229">
        <v>-3.1300000000000001E-2</v>
      </c>
      <c r="BY131" s="230">
        <v>1395</v>
      </c>
      <c r="BZ131" s="230">
        <v>1404</v>
      </c>
      <c r="CA131" s="228">
        <v>-9</v>
      </c>
      <c r="CB131" s="229">
        <v>-6.1000000000000004E-3</v>
      </c>
      <c r="CC131" s="228">
        <v>782</v>
      </c>
      <c r="CD131" s="230">
        <v>1207</v>
      </c>
      <c r="CE131" s="228">
        <v>-425</v>
      </c>
      <c r="CF131" s="229">
        <v>-0.35199999999999998</v>
      </c>
      <c r="CG131" s="228">
        <v>527</v>
      </c>
      <c r="CH131" s="228">
        <v>153</v>
      </c>
      <c r="CI131" s="228">
        <v>374</v>
      </c>
      <c r="CJ131" s="229">
        <v>2.4407000000000001</v>
      </c>
      <c r="CK131" s="228">
        <v>86</v>
      </c>
      <c r="CL131" s="228">
        <v>44</v>
      </c>
      <c r="CM131" s="228">
        <v>42</v>
      </c>
      <c r="CN131" s="229">
        <v>0.96489999999999998</v>
      </c>
      <c r="CO131" s="228">
        <v>409</v>
      </c>
      <c r="CP131" s="228">
        <v>408</v>
      </c>
      <c r="CQ131" s="228">
        <v>1</v>
      </c>
      <c r="CR131" s="229">
        <v>2.0999999999999999E-3</v>
      </c>
      <c r="CS131" s="228">
        <v>255</v>
      </c>
      <c r="CT131" s="228">
        <v>254</v>
      </c>
      <c r="CU131" s="228">
        <v>0</v>
      </c>
      <c r="CV131" s="229">
        <v>1.5E-3</v>
      </c>
      <c r="CW131" s="230">
        <v>2059</v>
      </c>
      <c r="CX131" s="230">
        <v>2066</v>
      </c>
      <c r="CY131" s="228">
        <v>-7</v>
      </c>
      <c r="CZ131" s="229">
        <v>-3.5999999999999999E-3</v>
      </c>
      <c r="DA131" s="228">
        <v>29.98</v>
      </c>
      <c r="DB131" s="228">
        <v>26.85</v>
      </c>
      <c r="DC131" s="228">
        <v>3.13</v>
      </c>
      <c r="DD131" s="228">
        <v>3.13</v>
      </c>
      <c r="DE131" s="228">
        <v>36.020000000000003</v>
      </c>
      <c r="DF131" s="228">
        <v>36.11</v>
      </c>
      <c r="DG131" s="228">
        <v>-6.04</v>
      </c>
      <c r="DH131" s="228">
        <v>-0.09</v>
      </c>
      <c r="DI131" s="228">
        <v>29.96</v>
      </c>
      <c r="DJ131" s="228">
        <v>26.82</v>
      </c>
      <c r="DK131" s="228">
        <v>3.14</v>
      </c>
      <c r="DL131" s="228">
        <v>3.14</v>
      </c>
      <c r="DM131" s="228">
        <v>30.11</v>
      </c>
      <c r="DN131" s="228">
        <v>26.89</v>
      </c>
      <c r="DO131" s="228">
        <v>3.22</v>
      </c>
      <c r="DP131" s="228">
        <v>3.22</v>
      </c>
      <c r="DQ131" s="228">
        <v>0.62</v>
      </c>
      <c r="DR131" s="228">
        <v>0.62</v>
      </c>
      <c r="DS131" s="228">
        <v>0</v>
      </c>
      <c r="DT131" s="229">
        <v>0</v>
      </c>
      <c r="DU131" s="231">
        <v>1020</v>
      </c>
      <c r="DV131" s="231">
        <v>1000</v>
      </c>
      <c r="DW131" s="228">
        <v>0.61</v>
      </c>
      <c r="DX131" s="228">
        <v>0.93</v>
      </c>
      <c r="DY131" s="228">
        <v>-0.32</v>
      </c>
      <c r="DZ131" s="229">
        <v>-0.34410000000000002</v>
      </c>
      <c r="EA131" s="229">
        <v>0.43940000000000001</v>
      </c>
      <c r="EB131" s="230">
        <v>1953000</v>
      </c>
      <c r="EC131" s="229">
        <v>4.7999999999999996E-3</v>
      </c>
      <c r="ED131" s="229">
        <v>0.43940000000000001</v>
      </c>
      <c r="EE131" s="228">
        <v>4.8899999999999997</v>
      </c>
      <c r="EF131" s="229">
        <v>4.8999999999999998E-3</v>
      </c>
      <c r="EG131" s="230">
        <v>611557</v>
      </c>
      <c r="EH131" s="230">
        <v>639270</v>
      </c>
      <c r="EI131" s="229">
        <v>-4.3400000000000001E-2</v>
      </c>
      <c r="EJ131" s="229">
        <v>0.43219999999999997</v>
      </c>
      <c r="EK131" s="228">
        <v>645.67999999999995</v>
      </c>
      <c r="EL131" s="228">
        <v>382.52</v>
      </c>
      <c r="EM131" s="231">
        <v>1032.9000000000001</v>
      </c>
      <c r="EN131" s="228">
        <v>45.2</v>
      </c>
      <c r="EO131" s="231">
        <v>2061.1</v>
      </c>
      <c r="EP131" s="231">
        <v>1356.84</v>
      </c>
      <c r="EQ131" s="228">
        <v>704.25</v>
      </c>
      <c r="ER131" s="229">
        <v>0.51900000000000002</v>
      </c>
      <c r="ES131" s="228">
        <v>415.44</v>
      </c>
      <c r="ET131" s="228">
        <v>246.63</v>
      </c>
      <c r="EU131" s="231">
        <v>1398.51</v>
      </c>
      <c r="EV131" s="231">
        <v>111298748</v>
      </c>
      <c r="EW131" s="231">
        <v>2060.5700000000002</v>
      </c>
      <c r="EX131" s="231">
        <v>2057.44</v>
      </c>
      <c r="EY131" s="228">
        <v>3.13</v>
      </c>
      <c r="EZ131" s="229">
        <v>1.5E-3</v>
      </c>
      <c r="FA131" s="229">
        <v>0.1835</v>
      </c>
      <c r="FB131" s="227" t="s">
        <v>693</v>
      </c>
      <c r="FC131">
        <f t="shared" ref="FC131:FC147" si="2">BY131-CC131</f>
        <v>613</v>
      </c>
    </row>
    <row r="132" spans="1:159" ht="17.25" thickBot="1" x14ac:dyDescent="0.3">
      <c r="A132" s="226">
        <v>46135</v>
      </c>
      <c r="B132" s="227" t="s">
        <v>215</v>
      </c>
      <c r="C132" s="227" t="s">
        <v>671</v>
      </c>
      <c r="D132" s="228">
        <v>200</v>
      </c>
      <c r="E132" s="228">
        <v>5</v>
      </c>
      <c r="F132" s="231">
        <v>2693.4</v>
      </c>
      <c r="G132" s="231">
        <v>2706.8</v>
      </c>
      <c r="H132" s="228">
        <v>-13.4</v>
      </c>
      <c r="I132" s="229">
        <v>-5.0000000000000001E-3</v>
      </c>
      <c r="J132" s="231">
        <v>2693.8</v>
      </c>
      <c r="K132" s="231">
        <v>2703.9</v>
      </c>
      <c r="L132" s="228">
        <v>-10.1</v>
      </c>
      <c r="M132" s="229">
        <v>-3.7000000000000002E-3</v>
      </c>
      <c r="N132" s="231">
        <v>2693.4</v>
      </c>
      <c r="O132" s="231">
        <v>2706.8</v>
      </c>
      <c r="P132" s="228">
        <v>-13.4</v>
      </c>
      <c r="Q132" s="229">
        <v>-5.0000000000000001E-3</v>
      </c>
      <c r="R132" s="231">
        <v>2703.8</v>
      </c>
      <c r="S132" s="231">
        <v>2720.5</v>
      </c>
      <c r="T132" s="228">
        <v>-16.7</v>
      </c>
      <c r="U132" s="229">
        <v>-6.1000000000000004E-3</v>
      </c>
      <c r="V132" s="231">
        <v>2713.2</v>
      </c>
      <c r="W132" s="231">
        <v>2734.6</v>
      </c>
      <c r="X132" s="228">
        <v>-21.4</v>
      </c>
      <c r="Y132" s="229">
        <v>-7.7999999999999996E-3</v>
      </c>
      <c r="Z132" s="228">
        <v>-0.4</v>
      </c>
      <c r="AA132" s="228">
        <v>2.9</v>
      </c>
      <c r="AB132" s="228">
        <v>-3.3</v>
      </c>
      <c r="AC132" s="229">
        <v>-1E-4</v>
      </c>
      <c r="AD132" s="228">
        <v>-0.4</v>
      </c>
      <c r="AE132" s="228">
        <v>2.9</v>
      </c>
      <c r="AF132" s="228">
        <v>-3.3</v>
      </c>
      <c r="AG132" s="229">
        <v>-1E-4</v>
      </c>
      <c r="AH132" s="228">
        <v>10</v>
      </c>
      <c r="AI132" s="228">
        <v>16.600000000000001</v>
      </c>
      <c r="AJ132" s="228">
        <v>-6.6</v>
      </c>
      <c r="AK132" s="229">
        <v>3.7000000000000002E-3</v>
      </c>
      <c r="AL132" s="228">
        <v>19.399999999999999</v>
      </c>
      <c r="AM132" s="228">
        <v>30.7</v>
      </c>
      <c r="AN132" s="228">
        <v>-11.3</v>
      </c>
      <c r="AO132" s="229">
        <v>7.1999999999999998E-3</v>
      </c>
      <c r="AP132" s="231">
        <v>2696.9</v>
      </c>
      <c r="AQ132" s="231">
        <v>2706.47</v>
      </c>
      <c r="AR132" s="228">
        <v>0</v>
      </c>
      <c r="AS132" s="228">
        <v>871</v>
      </c>
      <c r="AT132" s="228">
        <v>378</v>
      </c>
      <c r="AU132" s="228">
        <v>493</v>
      </c>
      <c r="AV132" s="229">
        <v>1.3057000000000001</v>
      </c>
      <c r="AW132" s="228">
        <v>473</v>
      </c>
      <c r="AX132" s="228">
        <v>258</v>
      </c>
      <c r="AY132" s="228">
        <v>215</v>
      </c>
      <c r="AZ132" s="229">
        <v>0.83050000000000002</v>
      </c>
      <c r="BA132" s="228">
        <v>392</v>
      </c>
      <c r="BB132" s="228">
        <v>113</v>
      </c>
      <c r="BC132" s="228">
        <v>280</v>
      </c>
      <c r="BD132" s="229">
        <v>2.4796999999999998</v>
      </c>
      <c r="BE132" s="228">
        <v>5</v>
      </c>
      <c r="BF132" s="228">
        <v>6</v>
      </c>
      <c r="BG132" s="228">
        <v>-1</v>
      </c>
      <c r="BH132" s="229">
        <v>-0.17499999999999999</v>
      </c>
      <c r="BI132" s="230">
        <v>2145</v>
      </c>
      <c r="BJ132" s="230">
        <v>2028</v>
      </c>
      <c r="BK132" s="228">
        <v>118</v>
      </c>
      <c r="BL132" s="229">
        <v>5.8000000000000003E-2</v>
      </c>
      <c r="BM132" s="228">
        <v>905</v>
      </c>
      <c r="BN132" s="228">
        <v>881</v>
      </c>
      <c r="BO132" s="228">
        <v>24</v>
      </c>
      <c r="BP132" s="229">
        <v>2.75E-2</v>
      </c>
      <c r="BQ132" s="230">
        <v>3921</v>
      </c>
      <c r="BR132" s="230">
        <v>3286</v>
      </c>
      <c r="BS132" s="228">
        <v>635</v>
      </c>
      <c r="BT132" s="229">
        <v>0.19320000000000001</v>
      </c>
      <c r="BU132" s="230">
        <v>2378587</v>
      </c>
      <c r="BV132" s="230">
        <v>2028778</v>
      </c>
      <c r="BW132" s="230">
        <v>349809</v>
      </c>
      <c r="BX132" s="229">
        <v>0.1724</v>
      </c>
      <c r="BY132" s="230">
        <v>1322</v>
      </c>
      <c r="BZ132" s="230">
        <v>1357</v>
      </c>
      <c r="CA132" s="228">
        <v>-36</v>
      </c>
      <c r="CB132" s="229">
        <v>-2.6200000000000001E-2</v>
      </c>
      <c r="CC132" s="228">
        <v>917</v>
      </c>
      <c r="CD132" s="230">
        <v>1152</v>
      </c>
      <c r="CE132" s="228">
        <v>-236</v>
      </c>
      <c r="CF132" s="229">
        <v>-0.20449999999999999</v>
      </c>
      <c r="CG132" s="228">
        <v>389</v>
      </c>
      <c r="CH132" s="228">
        <v>190</v>
      </c>
      <c r="CI132" s="228">
        <v>199</v>
      </c>
      <c r="CJ132" s="229">
        <v>1.0470999999999999</v>
      </c>
      <c r="CK132" s="228">
        <v>16</v>
      </c>
      <c r="CL132" s="228">
        <v>15</v>
      </c>
      <c r="CM132" s="228">
        <v>1</v>
      </c>
      <c r="CN132" s="229">
        <v>8.1600000000000006E-2</v>
      </c>
      <c r="CO132" s="230">
        <v>1030</v>
      </c>
      <c r="CP132" s="230">
        <v>1043</v>
      </c>
      <c r="CQ132" s="228">
        <v>-14</v>
      </c>
      <c r="CR132" s="229">
        <v>-1.3100000000000001E-2</v>
      </c>
      <c r="CS132" s="228">
        <v>873</v>
      </c>
      <c r="CT132" s="228">
        <v>852</v>
      </c>
      <c r="CU132" s="228">
        <v>21</v>
      </c>
      <c r="CV132" s="229">
        <v>2.52E-2</v>
      </c>
      <c r="CW132" s="230">
        <v>3224</v>
      </c>
      <c r="CX132" s="230">
        <v>3252</v>
      </c>
      <c r="CY132" s="228">
        <v>-28</v>
      </c>
      <c r="CZ132" s="229">
        <v>-8.5000000000000006E-3</v>
      </c>
      <c r="DA132" s="228">
        <v>44.35</v>
      </c>
      <c r="DB132" s="228">
        <v>41</v>
      </c>
      <c r="DC132" s="228">
        <v>3.35</v>
      </c>
      <c r="DD132" s="228">
        <v>3.35</v>
      </c>
      <c r="DE132" s="228">
        <v>55.7</v>
      </c>
      <c r="DF132" s="228">
        <v>55.84</v>
      </c>
      <c r="DG132" s="228">
        <v>-11.35</v>
      </c>
      <c r="DH132" s="228">
        <v>-0.14000000000000001</v>
      </c>
      <c r="DI132" s="228">
        <v>44.37</v>
      </c>
      <c r="DJ132" s="228">
        <v>39.46</v>
      </c>
      <c r="DK132" s="228">
        <v>4.91</v>
      </c>
      <c r="DL132" s="228">
        <v>4.91</v>
      </c>
      <c r="DM132" s="228">
        <v>44.26</v>
      </c>
      <c r="DN132" s="228">
        <v>44.54</v>
      </c>
      <c r="DO132" s="228">
        <v>-0.28000000000000003</v>
      </c>
      <c r="DP132" s="228">
        <v>-0.28000000000000003</v>
      </c>
      <c r="DQ132" s="228">
        <v>0.85</v>
      </c>
      <c r="DR132" s="228">
        <v>0.82</v>
      </c>
      <c r="DS132" s="228">
        <v>0.03</v>
      </c>
      <c r="DT132" s="229">
        <v>3.6600000000000001E-2</v>
      </c>
      <c r="DU132" s="231">
        <v>2700</v>
      </c>
      <c r="DV132" s="231">
        <v>2200</v>
      </c>
      <c r="DW132" s="228">
        <v>0.42</v>
      </c>
      <c r="DX132" s="228">
        <v>0.43</v>
      </c>
      <c r="DY132" s="228">
        <v>-0.01</v>
      </c>
      <c r="DZ132" s="229">
        <v>-2.3300000000000001E-2</v>
      </c>
      <c r="EA132" s="229">
        <v>0.30649999999999999</v>
      </c>
      <c r="EB132" s="230">
        <v>761400</v>
      </c>
      <c r="EC132" s="229">
        <v>3.8999999999999998E-3</v>
      </c>
      <c r="ED132" s="229">
        <v>0.30649999999999999</v>
      </c>
      <c r="EE132" s="228">
        <v>9.57</v>
      </c>
      <c r="EF132" s="229">
        <v>3.5000000000000001E-3</v>
      </c>
      <c r="EG132" s="230">
        <v>625570</v>
      </c>
      <c r="EH132" s="230">
        <v>553546</v>
      </c>
      <c r="EI132" s="229">
        <v>0.13009999999999999</v>
      </c>
      <c r="EJ132" s="229">
        <v>0.26300000000000001</v>
      </c>
      <c r="EK132" s="231">
        <v>2225.7399999999998</v>
      </c>
      <c r="EL132" s="228">
        <v>869.55</v>
      </c>
      <c r="EM132" s="228">
        <v>873.14</v>
      </c>
      <c r="EN132" s="228">
        <v>73.63</v>
      </c>
      <c r="EO132" s="231">
        <v>3968.42</v>
      </c>
      <c r="EP132" s="231">
        <v>3306.25</v>
      </c>
      <c r="EQ132" s="228">
        <v>662.17</v>
      </c>
      <c r="ER132" s="229">
        <v>0.20030000000000001</v>
      </c>
      <c r="ES132" s="228">
        <v>996.97</v>
      </c>
      <c r="ET132" s="228">
        <v>778.86</v>
      </c>
      <c r="EU132" s="231">
        <v>1323.38</v>
      </c>
      <c r="EV132" s="231">
        <v>11364224</v>
      </c>
      <c r="EW132" s="231">
        <v>3099.22</v>
      </c>
      <c r="EX132" s="231">
        <v>3123.8</v>
      </c>
      <c r="EY132" s="228">
        <v>-24.58</v>
      </c>
      <c r="EZ132" s="229">
        <v>-7.9000000000000008E-3</v>
      </c>
      <c r="FA132" s="229">
        <v>1.0533999999999999</v>
      </c>
      <c r="FB132" s="227" t="s">
        <v>567</v>
      </c>
      <c r="FC132">
        <f t="shared" si="2"/>
        <v>405</v>
      </c>
    </row>
    <row r="133" spans="1:159" ht="17.25" thickBot="1" x14ac:dyDescent="0.3">
      <c r="A133" s="226">
        <v>46135</v>
      </c>
      <c r="B133" s="227" t="s">
        <v>175</v>
      </c>
      <c r="C133" s="227" t="s">
        <v>517</v>
      </c>
      <c r="D133" s="228">
        <v>625</v>
      </c>
      <c r="E133" s="228">
        <v>5</v>
      </c>
      <c r="F133" s="231">
        <v>2793.9</v>
      </c>
      <c r="G133" s="231">
        <v>2788.8</v>
      </c>
      <c r="H133" s="228">
        <v>5.0999999999999996</v>
      </c>
      <c r="I133" s="229">
        <v>1.8E-3</v>
      </c>
      <c r="J133" s="231">
        <v>2791.4</v>
      </c>
      <c r="K133" s="231">
        <v>2783.2</v>
      </c>
      <c r="L133" s="228">
        <v>8.1999999999999993</v>
      </c>
      <c r="M133" s="229">
        <v>2.8999999999999998E-3</v>
      </c>
      <c r="N133" s="231">
        <v>2793.9</v>
      </c>
      <c r="O133" s="231">
        <v>2788.8</v>
      </c>
      <c r="P133" s="228">
        <v>5.0999999999999996</v>
      </c>
      <c r="Q133" s="229">
        <v>1.8E-3</v>
      </c>
      <c r="R133" s="231">
        <v>2809.5</v>
      </c>
      <c r="S133" s="231">
        <v>2802.8</v>
      </c>
      <c r="T133" s="228">
        <v>6.7</v>
      </c>
      <c r="U133" s="229">
        <v>2.3999999999999998E-3</v>
      </c>
      <c r="V133" s="231">
        <v>2818.3</v>
      </c>
      <c r="W133" s="231">
        <v>2819.3</v>
      </c>
      <c r="X133" s="228">
        <v>-1</v>
      </c>
      <c r="Y133" s="229">
        <v>-4.0000000000000002E-4</v>
      </c>
      <c r="Z133" s="228">
        <v>2.5</v>
      </c>
      <c r="AA133" s="228">
        <v>5.6</v>
      </c>
      <c r="AB133" s="228">
        <v>-3.1</v>
      </c>
      <c r="AC133" s="229">
        <v>8.9999999999999998E-4</v>
      </c>
      <c r="AD133" s="228">
        <v>2.5</v>
      </c>
      <c r="AE133" s="228">
        <v>5.6</v>
      </c>
      <c r="AF133" s="228">
        <v>-3.1</v>
      </c>
      <c r="AG133" s="229">
        <v>8.9999999999999998E-4</v>
      </c>
      <c r="AH133" s="228">
        <v>18.100000000000001</v>
      </c>
      <c r="AI133" s="228">
        <v>19.600000000000001</v>
      </c>
      <c r="AJ133" s="228">
        <v>-1.5</v>
      </c>
      <c r="AK133" s="229">
        <v>6.4999999999999997E-3</v>
      </c>
      <c r="AL133" s="228">
        <v>26.9</v>
      </c>
      <c r="AM133" s="228">
        <v>36.1</v>
      </c>
      <c r="AN133" s="228">
        <v>-9.1999999999999993</v>
      </c>
      <c r="AO133" s="229">
        <v>9.5999999999999992E-3</v>
      </c>
      <c r="AP133" s="231">
        <v>2818.18</v>
      </c>
      <c r="AQ133" s="231">
        <v>2833.39</v>
      </c>
      <c r="AR133" s="228">
        <v>0</v>
      </c>
      <c r="AS133" s="230">
        <v>2654</v>
      </c>
      <c r="AT133" s="230">
        <v>1252</v>
      </c>
      <c r="AU133" s="230">
        <v>1402</v>
      </c>
      <c r="AV133" s="229">
        <v>1.1204000000000001</v>
      </c>
      <c r="AW133" s="230">
        <v>1389</v>
      </c>
      <c r="AX133" s="228">
        <v>917</v>
      </c>
      <c r="AY133" s="228">
        <v>472</v>
      </c>
      <c r="AZ133" s="229">
        <v>0.51429999999999998</v>
      </c>
      <c r="BA133" s="230">
        <v>1183</v>
      </c>
      <c r="BB133" s="228">
        <v>316</v>
      </c>
      <c r="BC133" s="228">
        <v>867</v>
      </c>
      <c r="BD133" s="229">
        <v>2.7456</v>
      </c>
      <c r="BE133" s="228">
        <v>83</v>
      </c>
      <c r="BF133" s="228">
        <v>19</v>
      </c>
      <c r="BG133" s="228">
        <v>64</v>
      </c>
      <c r="BH133" s="229">
        <v>3.3889</v>
      </c>
      <c r="BI133" s="230">
        <v>5225</v>
      </c>
      <c r="BJ133" s="230">
        <v>4100</v>
      </c>
      <c r="BK133" s="230">
        <v>1125</v>
      </c>
      <c r="BL133" s="229">
        <v>0.27429999999999999</v>
      </c>
      <c r="BM133" s="230">
        <v>2633</v>
      </c>
      <c r="BN133" s="230">
        <v>2952</v>
      </c>
      <c r="BO133" s="228">
        <v>-319</v>
      </c>
      <c r="BP133" s="229">
        <v>-0.108</v>
      </c>
      <c r="BQ133" s="230">
        <v>10512</v>
      </c>
      <c r="BR133" s="230">
        <v>8303</v>
      </c>
      <c r="BS133" s="230">
        <v>2208</v>
      </c>
      <c r="BT133" s="229">
        <v>0.26600000000000001</v>
      </c>
      <c r="BU133" s="230">
        <v>2366367</v>
      </c>
      <c r="BV133" s="230">
        <v>3374645</v>
      </c>
      <c r="BW133" s="230">
        <v>-1008278</v>
      </c>
      <c r="BX133" s="229">
        <v>-0.29880000000000001</v>
      </c>
      <c r="BY133" s="230">
        <v>3826</v>
      </c>
      <c r="BZ133" s="230">
        <v>3806</v>
      </c>
      <c r="CA133" s="228">
        <v>20</v>
      </c>
      <c r="CB133" s="229">
        <v>5.1999999999999998E-3</v>
      </c>
      <c r="CC133" s="230">
        <v>2416</v>
      </c>
      <c r="CD133" s="230">
        <v>3369</v>
      </c>
      <c r="CE133" s="228">
        <v>-953</v>
      </c>
      <c r="CF133" s="229">
        <v>-0.28299999999999997</v>
      </c>
      <c r="CG133" s="230">
        <v>1331</v>
      </c>
      <c r="CH133" s="228">
        <v>384</v>
      </c>
      <c r="CI133" s="228">
        <v>946</v>
      </c>
      <c r="CJ133" s="229">
        <v>2.4621</v>
      </c>
      <c r="CK133" s="228">
        <v>80</v>
      </c>
      <c r="CL133" s="228">
        <v>53</v>
      </c>
      <c r="CM133" s="228">
        <v>27</v>
      </c>
      <c r="CN133" s="229">
        <v>0.50990000000000002</v>
      </c>
      <c r="CO133" s="230">
        <v>2765</v>
      </c>
      <c r="CP133" s="230">
        <v>2798</v>
      </c>
      <c r="CQ133" s="228">
        <v>-33</v>
      </c>
      <c r="CR133" s="229">
        <v>-1.17E-2</v>
      </c>
      <c r="CS133" s="230">
        <v>2082</v>
      </c>
      <c r="CT133" s="230">
        <v>2198</v>
      </c>
      <c r="CU133" s="228">
        <v>-116</v>
      </c>
      <c r="CV133" s="229">
        <v>-5.28E-2</v>
      </c>
      <c r="CW133" s="230">
        <v>8673</v>
      </c>
      <c r="CX133" s="230">
        <v>8802</v>
      </c>
      <c r="CY133" s="228">
        <v>-129</v>
      </c>
      <c r="CZ133" s="229">
        <v>-1.47E-2</v>
      </c>
      <c r="DA133" s="228">
        <v>43.79</v>
      </c>
      <c r="DB133" s="228">
        <v>39.74</v>
      </c>
      <c r="DC133" s="228">
        <v>4.05</v>
      </c>
      <c r="DD133" s="228">
        <v>4.05</v>
      </c>
      <c r="DE133" s="228">
        <v>49.57</v>
      </c>
      <c r="DF133" s="228">
        <v>49.7</v>
      </c>
      <c r="DG133" s="228">
        <v>-5.78</v>
      </c>
      <c r="DH133" s="228">
        <v>-0.13</v>
      </c>
      <c r="DI133" s="228">
        <v>43.64</v>
      </c>
      <c r="DJ133" s="228">
        <v>40.17</v>
      </c>
      <c r="DK133" s="228">
        <v>3.47</v>
      </c>
      <c r="DL133" s="228">
        <v>3.47</v>
      </c>
      <c r="DM133" s="228">
        <v>44.02</v>
      </c>
      <c r="DN133" s="228">
        <v>39.15</v>
      </c>
      <c r="DO133" s="228">
        <v>4.87</v>
      </c>
      <c r="DP133" s="228">
        <v>4.87</v>
      </c>
      <c r="DQ133" s="228">
        <v>0.75</v>
      </c>
      <c r="DR133" s="228">
        <v>0.79</v>
      </c>
      <c r="DS133" s="228">
        <v>-0.04</v>
      </c>
      <c r="DT133" s="229">
        <v>-5.0599999999999999E-2</v>
      </c>
      <c r="DU133" s="231">
        <v>2900</v>
      </c>
      <c r="DV133" s="231">
        <v>2500</v>
      </c>
      <c r="DW133" s="228">
        <v>0.5</v>
      </c>
      <c r="DX133" s="228">
        <v>0.72</v>
      </c>
      <c r="DY133" s="228">
        <v>-0.22</v>
      </c>
      <c r="DZ133" s="229">
        <v>-0.30559999999999998</v>
      </c>
      <c r="EA133" s="229">
        <v>0.36859999999999998</v>
      </c>
      <c r="EB133" s="230">
        <v>1564375</v>
      </c>
      <c r="EC133" s="229">
        <v>5.5999999999999999E-3</v>
      </c>
      <c r="ED133" s="229">
        <v>0.36859999999999998</v>
      </c>
      <c r="EE133" s="228">
        <v>15.21</v>
      </c>
      <c r="EF133" s="229">
        <v>5.4000000000000003E-3</v>
      </c>
      <c r="EG133" s="230">
        <v>978645</v>
      </c>
      <c r="EH133" s="230">
        <v>1781754</v>
      </c>
      <c r="EI133" s="229">
        <v>-0.45069999999999999</v>
      </c>
      <c r="EJ133" s="229">
        <v>0.41360000000000002</v>
      </c>
      <c r="EK133" s="231">
        <v>5500.16</v>
      </c>
      <c r="EL133" s="231">
        <v>2580.83</v>
      </c>
      <c r="EM133" s="231">
        <v>2684.47</v>
      </c>
      <c r="EN133" s="228">
        <v>55.16</v>
      </c>
      <c r="EO133" s="231">
        <v>10765.47</v>
      </c>
      <c r="EP133" s="231">
        <v>8456.6</v>
      </c>
      <c r="EQ133" s="231">
        <v>2308.86</v>
      </c>
      <c r="ER133" s="229">
        <v>0.27300000000000002</v>
      </c>
      <c r="ES133" s="231">
        <v>2813.08</v>
      </c>
      <c r="ET133" s="231">
        <v>1894.92</v>
      </c>
      <c r="EU133" s="231">
        <v>3834.02</v>
      </c>
      <c r="EV133" s="231">
        <v>38177113</v>
      </c>
      <c r="EW133" s="231">
        <v>8542.02</v>
      </c>
      <c r="EX133" s="231">
        <v>8637.32</v>
      </c>
      <c r="EY133" s="228">
        <v>-95.3</v>
      </c>
      <c r="EZ133" s="229">
        <v>-1.0999999999999999E-2</v>
      </c>
      <c r="FA133" s="229">
        <v>0.81310000000000004</v>
      </c>
      <c r="FB133" s="227" t="s">
        <v>555</v>
      </c>
      <c r="FC133">
        <f t="shared" si="2"/>
        <v>1410</v>
      </c>
    </row>
    <row r="134" spans="1:159" ht="17.25" thickBot="1" x14ac:dyDescent="0.3">
      <c r="A134" s="226">
        <v>46135</v>
      </c>
      <c r="B134" s="227" t="s">
        <v>175</v>
      </c>
      <c r="C134" s="227" t="s">
        <v>257</v>
      </c>
      <c r="D134" s="228">
        <v>400</v>
      </c>
      <c r="E134" s="228">
        <v>5</v>
      </c>
      <c r="F134" s="231">
        <v>1595</v>
      </c>
      <c r="G134" s="231">
        <v>1632.8</v>
      </c>
      <c r="H134" s="228">
        <v>-37.799999999999997</v>
      </c>
      <c r="I134" s="229">
        <v>-2.3199999999999998E-2</v>
      </c>
      <c r="J134" s="231">
        <v>1595.4</v>
      </c>
      <c r="K134" s="231">
        <v>1627.4</v>
      </c>
      <c r="L134" s="228">
        <v>-32</v>
      </c>
      <c r="M134" s="229">
        <v>-1.9699999999999999E-2</v>
      </c>
      <c r="N134" s="231">
        <v>1595</v>
      </c>
      <c r="O134" s="231">
        <v>1632.8</v>
      </c>
      <c r="P134" s="228">
        <v>-37.799999999999997</v>
      </c>
      <c r="Q134" s="229">
        <v>-2.3199999999999998E-2</v>
      </c>
      <c r="R134" s="231">
        <v>1604.5</v>
      </c>
      <c r="S134" s="231">
        <v>1640.2</v>
      </c>
      <c r="T134" s="228">
        <v>-35.700000000000003</v>
      </c>
      <c r="U134" s="229">
        <v>-2.18E-2</v>
      </c>
      <c r="V134" s="231">
        <v>1611.7</v>
      </c>
      <c r="W134" s="231">
        <v>1642.7</v>
      </c>
      <c r="X134" s="228">
        <v>-31</v>
      </c>
      <c r="Y134" s="229">
        <v>-1.89E-2</v>
      </c>
      <c r="Z134" s="228">
        <v>-0.4</v>
      </c>
      <c r="AA134" s="228">
        <v>5.4</v>
      </c>
      <c r="AB134" s="228">
        <v>-5.8</v>
      </c>
      <c r="AC134" s="229">
        <v>-2.9999999999999997E-4</v>
      </c>
      <c r="AD134" s="228">
        <v>-0.4</v>
      </c>
      <c r="AE134" s="228">
        <v>5.4</v>
      </c>
      <c r="AF134" s="228">
        <v>-5.8</v>
      </c>
      <c r="AG134" s="229">
        <v>-2.9999999999999997E-4</v>
      </c>
      <c r="AH134" s="228">
        <v>9.1</v>
      </c>
      <c r="AI134" s="228">
        <v>12.8</v>
      </c>
      <c r="AJ134" s="228">
        <v>-3.7</v>
      </c>
      <c r="AK134" s="229">
        <v>5.7000000000000002E-3</v>
      </c>
      <c r="AL134" s="228">
        <v>16.3</v>
      </c>
      <c r="AM134" s="228">
        <v>15.3</v>
      </c>
      <c r="AN134" s="228">
        <v>1</v>
      </c>
      <c r="AO134" s="229">
        <v>1.0200000000000001E-2</v>
      </c>
      <c r="AP134" s="231">
        <v>1605.06</v>
      </c>
      <c r="AQ134" s="231">
        <v>1613.9</v>
      </c>
      <c r="AR134" s="228">
        <v>0</v>
      </c>
      <c r="AS134" s="228">
        <v>809</v>
      </c>
      <c r="AT134" s="228">
        <v>197</v>
      </c>
      <c r="AU134" s="228">
        <v>613</v>
      </c>
      <c r="AV134" s="229">
        <v>3.1168</v>
      </c>
      <c r="AW134" s="228">
        <v>428</v>
      </c>
      <c r="AX134" s="228">
        <v>138</v>
      </c>
      <c r="AY134" s="228">
        <v>290</v>
      </c>
      <c r="AZ134" s="229">
        <v>2.1069</v>
      </c>
      <c r="BA134" s="228">
        <v>381</v>
      </c>
      <c r="BB134" s="228">
        <v>59</v>
      </c>
      <c r="BC134" s="228">
        <v>323</v>
      </c>
      <c r="BD134" s="229">
        <v>5.5004999999999997</v>
      </c>
      <c r="BE134" s="228">
        <v>0</v>
      </c>
      <c r="BF134" s="228">
        <v>0</v>
      </c>
      <c r="BG134" s="228">
        <v>0</v>
      </c>
      <c r="BH134" s="229">
        <v>0</v>
      </c>
      <c r="BI134" s="228">
        <v>198</v>
      </c>
      <c r="BJ134" s="228">
        <v>182</v>
      </c>
      <c r="BK134" s="228">
        <v>16</v>
      </c>
      <c r="BL134" s="229">
        <v>8.8499999999999995E-2</v>
      </c>
      <c r="BM134" s="228">
        <v>79</v>
      </c>
      <c r="BN134" s="228">
        <v>84</v>
      </c>
      <c r="BO134" s="228">
        <v>-5</v>
      </c>
      <c r="BP134" s="229">
        <v>-5.8200000000000002E-2</v>
      </c>
      <c r="BQ134" s="230">
        <v>1087</v>
      </c>
      <c r="BR134" s="228">
        <v>463</v>
      </c>
      <c r="BS134" s="228">
        <v>624</v>
      </c>
      <c r="BT134" s="229">
        <v>1.3484</v>
      </c>
      <c r="BU134" s="230">
        <v>654980</v>
      </c>
      <c r="BV134" s="230">
        <v>810472</v>
      </c>
      <c r="BW134" s="230">
        <v>-155492</v>
      </c>
      <c r="BX134" s="229">
        <v>-0.19189999999999999</v>
      </c>
      <c r="BY134" s="230">
        <v>1455</v>
      </c>
      <c r="BZ134" s="230">
        <v>1470</v>
      </c>
      <c r="CA134" s="228">
        <v>-15</v>
      </c>
      <c r="CB134" s="229">
        <v>-0.01</v>
      </c>
      <c r="CC134" s="230">
        <v>1059</v>
      </c>
      <c r="CD134" s="230">
        <v>1396</v>
      </c>
      <c r="CE134" s="228">
        <v>-337</v>
      </c>
      <c r="CF134" s="229">
        <v>-0.2412</v>
      </c>
      <c r="CG134" s="228">
        <v>395</v>
      </c>
      <c r="CH134" s="228">
        <v>73</v>
      </c>
      <c r="CI134" s="228">
        <v>322</v>
      </c>
      <c r="CJ134" s="229">
        <v>4.41</v>
      </c>
      <c r="CK134" s="228">
        <v>1</v>
      </c>
      <c r="CL134" s="228">
        <v>1</v>
      </c>
      <c r="CM134" s="228">
        <v>0</v>
      </c>
      <c r="CN134" s="229">
        <v>0.2</v>
      </c>
      <c r="CO134" s="228">
        <v>151</v>
      </c>
      <c r="CP134" s="228">
        <v>159</v>
      </c>
      <c r="CQ134" s="228">
        <v>-9</v>
      </c>
      <c r="CR134" s="229">
        <v>-5.4800000000000001E-2</v>
      </c>
      <c r="CS134" s="228">
        <v>110</v>
      </c>
      <c r="CT134" s="228">
        <v>105</v>
      </c>
      <c r="CU134" s="228">
        <v>5</v>
      </c>
      <c r="CV134" s="229">
        <v>4.6199999999999998E-2</v>
      </c>
      <c r="CW134" s="230">
        <v>1715</v>
      </c>
      <c r="CX134" s="230">
        <v>1734</v>
      </c>
      <c r="CY134" s="228">
        <v>-19</v>
      </c>
      <c r="CZ134" s="229">
        <v>-1.0699999999999999E-2</v>
      </c>
      <c r="DA134" s="228">
        <v>33.200000000000003</v>
      </c>
      <c r="DB134" s="228">
        <v>32.93</v>
      </c>
      <c r="DC134" s="228">
        <v>0.27</v>
      </c>
      <c r="DD134" s="228">
        <v>0.27</v>
      </c>
      <c r="DE134" s="228">
        <v>31.95</v>
      </c>
      <c r="DF134" s="228">
        <v>31.92</v>
      </c>
      <c r="DG134" s="228">
        <v>1.25</v>
      </c>
      <c r="DH134" s="228">
        <v>0.03</v>
      </c>
      <c r="DI134" s="228">
        <v>32.82</v>
      </c>
      <c r="DJ134" s="228">
        <v>32.64</v>
      </c>
      <c r="DK134" s="228">
        <v>0.18</v>
      </c>
      <c r="DL134" s="228">
        <v>0.18</v>
      </c>
      <c r="DM134" s="228">
        <v>33.630000000000003</v>
      </c>
      <c r="DN134" s="228">
        <v>33.56</v>
      </c>
      <c r="DO134" s="228">
        <v>7.0000000000000007E-2</v>
      </c>
      <c r="DP134" s="228">
        <v>7.0000000000000007E-2</v>
      </c>
      <c r="DQ134" s="228">
        <v>0.73</v>
      </c>
      <c r="DR134" s="228">
        <v>0.66</v>
      </c>
      <c r="DS134" s="228">
        <v>7.0000000000000007E-2</v>
      </c>
      <c r="DT134" s="229">
        <v>0.1061</v>
      </c>
      <c r="DU134" s="231">
        <v>1700</v>
      </c>
      <c r="DV134" s="231">
        <v>1460</v>
      </c>
      <c r="DW134" s="228">
        <v>0.4</v>
      </c>
      <c r="DX134" s="228">
        <v>0.46</v>
      </c>
      <c r="DY134" s="228">
        <v>-0.06</v>
      </c>
      <c r="DZ134" s="229">
        <v>-0.13039999999999999</v>
      </c>
      <c r="EA134" s="229">
        <v>0.27189999999999998</v>
      </c>
      <c r="EB134" s="230">
        <v>461600</v>
      </c>
      <c r="EC134" s="229">
        <v>6.0000000000000001E-3</v>
      </c>
      <c r="ED134" s="229">
        <v>0.27189999999999998</v>
      </c>
      <c r="EE134" s="228">
        <v>8.84</v>
      </c>
      <c r="EF134" s="229">
        <v>5.4999999999999997E-3</v>
      </c>
      <c r="EG134" s="230">
        <v>424914</v>
      </c>
      <c r="EH134" s="230">
        <v>506237</v>
      </c>
      <c r="EI134" s="229">
        <v>-0.16059999999999999</v>
      </c>
      <c r="EJ134" s="229">
        <v>0.64870000000000005</v>
      </c>
      <c r="EK134" s="228">
        <v>212.71</v>
      </c>
      <c r="EL134" s="228">
        <v>79.459999999999994</v>
      </c>
      <c r="EM134" s="228">
        <v>816.71</v>
      </c>
      <c r="EN134" s="228">
        <v>24.64</v>
      </c>
      <c r="EO134" s="231">
        <v>1108.8800000000001</v>
      </c>
      <c r="EP134" s="228">
        <v>483.39</v>
      </c>
      <c r="EQ134" s="228">
        <v>625.49</v>
      </c>
      <c r="ER134" s="229">
        <v>1.294</v>
      </c>
      <c r="ES134" s="228">
        <v>160.24</v>
      </c>
      <c r="ET134" s="228">
        <v>106.48</v>
      </c>
      <c r="EU134" s="231">
        <v>1457.26</v>
      </c>
      <c r="EV134" s="231">
        <v>35051266</v>
      </c>
      <c r="EW134" s="231">
        <v>1723.98</v>
      </c>
      <c r="EX134" s="231">
        <v>1777.28</v>
      </c>
      <c r="EY134" s="228">
        <v>-53.3</v>
      </c>
      <c r="EZ134" s="229">
        <v>-0.03</v>
      </c>
      <c r="FA134" s="229">
        <v>0.30680000000000002</v>
      </c>
      <c r="FB134" s="227" t="s">
        <v>567</v>
      </c>
      <c r="FC134">
        <f t="shared" si="2"/>
        <v>396</v>
      </c>
    </row>
    <row r="135" spans="1:159" ht="17.25" thickBot="1" x14ac:dyDescent="0.3">
      <c r="A135" s="226">
        <v>46135</v>
      </c>
      <c r="B135" s="227" t="s">
        <v>181</v>
      </c>
      <c r="C135" s="227" t="s">
        <v>562</v>
      </c>
      <c r="D135" s="228">
        <v>120</v>
      </c>
      <c r="E135" s="228">
        <v>5</v>
      </c>
      <c r="F135" s="231">
        <v>13847.35</v>
      </c>
      <c r="G135" s="231">
        <v>13939.8</v>
      </c>
      <c r="H135" s="228">
        <v>-92.45</v>
      </c>
      <c r="I135" s="229">
        <v>-6.6E-3</v>
      </c>
      <c r="J135" s="231">
        <v>13848.55</v>
      </c>
      <c r="K135" s="231">
        <v>13939.8</v>
      </c>
      <c r="L135" s="228">
        <v>-91.25</v>
      </c>
      <c r="M135" s="229">
        <v>-6.4999999999999997E-3</v>
      </c>
      <c r="N135" s="231">
        <v>13847.35</v>
      </c>
      <c r="O135" s="231">
        <v>13939.8</v>
      </c>
      <c r="P135" s="228">
        <v>-92.45</v>
      </c>
      <c r="Q135" s="229">
        <v>-6.6E-3</v>
      </c>
      <c r="R135" s="231">
        <v>13864.35</v>
      </c>
      <c r="S135" s="231">
        <v>13979.9</v>
      </c>
      <c r="T135" s="228">
        <v>-115.55</v>
      </c>
      <c r="U135" s="229">
        <v>-8.3000000000000001E-3</v>
      </c>
      <c r="V135" s="231">
        <v>13923.65</v>
      </c>
      <c r="W135" s="231">
        <v>14037.4</v>
      </c>
      <c r="X135" s="228">
        <v>-113.75</v>
      </c>
      <c r="Y135" s="229">
        <v>-8.0999999999999996E-3</v>
      </c>
      <c r="Z135" s="228">
        <v>-1.2</v>
      </c>
      <c r="AA135" s="228">
        <v>0</v>
      </c>
      <c r="AB135" s="228">
        <v>-1.2</v>
      </c>
      <c r="AC135" s="229">
        <v>-1E-4</v>
      </c>
      <c r="AD135" s="228">
        <v>-1.2</v>
      </c>
      <c r="AE135" s="228">
        <v>0</v>
      </c>
      <c r="AF135" s="228">
        <v>-1.2</v>
      </c>
      <c r="AG135" s="229">
        <v>-1E-4</v>
      </c>
      <c r="AH135" s="228">
        <v>15.8</v>
      </c>
      <c r="AI135" s="228">
        <v>40.1</v>
      </c>
      <c r="AJ135" s="228">
        <v>-24.3</v>
      </c>
      <c r="AK135" s="229">
        <v>1.1000000000000001E-3</v>
      </c>
      <c r="AL135" s="228">
        <v>75.099999999999994</v>
      </c>
      <c r="AM135" s="228">
        <v>97.6</v>
      </c>
      <c r="AN135" s="228">
        <v>-22.5</v>
      </c>
      <c r="AO135" s="229">
        <v>5.4000000000000003E-3</v>
      </c>
      <c r="AP135" s="231">
        <v>13846.26</v>
      </c>
      <c r="AQ135" s="231">
        <v>13871.92</v>
      </c>
      <c r="AR135" s="228">
        <v>0</v>
      </c>
      <c r="AS135" s="230">
        <v>1570</v>
      </c>
      <c r="AT135" s="228">
        <v>786</v>
      </c>
      <c r="AU135" s="228">
        <v>784</v>
      </c>
      <c r="AV135" s="229">
        <v>0.99660000000000004</v>
      </c>
      <c r="AW135" s="228">
        <v>957</v>
      </c>
      <c r="AX135" s="228">
        <v>546</v>
      </c>
      <c r="AY135" s="228">
        <v>412</v>
      </c>
      <c r="AZ135" s="229">
        <v>0.75480000000000003</v>
      </c>
      <c r="BA135" s="228">
        <v>600</v>
      </c>
      <c r="BB135" s="228">
        <v>232</v>
      </c>
      <c r="BC135" s="228">
        <v>368</v>
      </c>
      <c r="BD135" s="229">
        <v>1.5867</v>
      </c>
      <c r="BE135" s="228">
        <v>13</v>
      </c>
      <c r="BF135" s="228">
        <v>9</v>
      </c>
      <c r="BG135" s="228">
        <v>4</v>
      </c>
      <c r="BH135" s="229">
        <v>0.44440000000000002</v>
      </c>
      <c r="BI135" s="230">
        <v>29976</v>
      </c>
      <c r="BJ135" s="230">
        <v>26497</v>
      </c>
      <c r="BK135" s="230">
        <v>3479</v>
      </c>
      <c r="BL135" s="229">
        <v>0.1313</v>
      </c>
      <c r="BM135" s="230">
        <v>30578</v>
      </c>
      <c r="BN135" s="230">
        <v>29646</v>
      </c>
      <c r="BO135" s="228">
        <v>933</v>
      </c>
      <c r="BP135" s="229">
        <v>3.15E-2</v>
      </c>
      <c r="BQ135" s="230">
        <v>62124</v>
      </c>
      <c r="BR135" s="230">
        <v>56929</v>
      </c>
      <c r="BS135" s="230">
        <v>5195</v>
      </c>
      <c r="BT135" s="229">
        <v>9.1300000000000006E-2</v>
      </c>
      <c r="BU135" s="228">
        <v>0</v>
      </c>
      <c r="BV135" s="228">
        <v>0</v>
      </c>
      <c r="BW135" s="228">
        <v>0</v>
      </c>
      <c r="BX135" s="229">
        <v>0</v>
      </c>
      <c r="BY135" s="230">
        <v>3463</v>
      </c>
      <c r="BZ135" s="230">
        <v>3587</v>
      </c>
      <c r="CA135" s="228">
        <v>-124</v>
      </c>
      <c r="CB135" s="229">
        <v>-3.4599999999999999E-2</v>
      </c>
      <c r="CC135" s="230">
        <v>2626</v>
      </c>
      <c r="CD135" s="230">
        <v>3094</v>
      </c>
      <c r="CE135" s="228">
        <v>-468</v>
      </c>
      <c r="CF135" s="229">
        <v>-0.1512</v>
      </c>
      <c r="CG135" s="228">
        <v>813</v>
      </c>
      <c r="CH135" s="228">
        <v>475</v>
      </c>
      <c r="CI135" s="228">
        <v>338</v>
      </c>
      <c r="CJ135" s="229">
        <v>0.7117</v>
      </c>
      <c r="CK135" s="228">
        <v>24</v>
      </c>
      <c r="CL135" s="228">
        <v>18</v>
      </c>
      <c r="CM135" s="228">
        <v>6</v>
      </c>
      <c r="CN135" s="229">
        <v>0.3241</v>
      </c>
      <c r="CO135" s="230">
        <v>11348</v>
      </c>
      <c r="CP135" s="230">
        <v>10705</v>
      </c>
      <c r="CQ135" s="228">
        <v>642</v>
      </c>
      <c r="CR135" s="229">
        <v>0.06</v>
      </c>
      <c r="CS135" s="230">
        <v>12482</v>
      </c>
      <c r="CT135" s="230">
        <v>12049</v>
      </c>
      <c r="CU135" s="228">
        <v>433</v>
      </c>
      <c r="CV135" s="229">
        <v>3.5900000000000001E-2</v>
      </c>
      <c r="CW135" s="230">
        <v>27292</v>
      </c>
      <c r="CX135" s="230">
        <v>26341</v>
      </c>
      <c r="CY135" s="228">
        <v>951</v>
      </c>
      <c r="CZ135" s="229">
        <v>3.61E-2</v>
      </c>
      <c r="DA135" s="228">
        <v>26.5</v>
      </c>
      <c r="DB135" s="228">
        <v>25.25</v>
      </c>
      <c r="DC135" s="228">
        <v>1.25</v>
      </c>
      <c r="DD135" s="228">
        <v>1.25</v>
      </c>
      <c r="DE135" s="228">
        <v>25.09</v>
      </c>
      <c r="DF135" s="228">
        <v>25.14</v>
      </c>
      <c r="DG135" s="228">
        <v>1.41</v>
      </c>
      <c r="DH135" s="228">
        <v>-0.05</v>
      </c>
      <c r="DI135" s="228">
        <v>22.37</v>
      </c>
      <c r="DJ135" s="228">
        <v>23.07</v>
      </c>
      <c r="DK135" s="228">
        <v>-0.7</v>
      </c>
      <c r="DL135" s="228">
        <v>-0.7</v>
      </c>
      <c r="DM135" s="228">
        <v>28.25</v>
      </c>
      <c r="DN135" s="228">
        <v>27.19</v>
      </c>
      <c r="DO135" s="228">
        <v>1.06</v>
      </c>
      <c r="DP135" s="228">
        <v>1.06</v>
      </c>
      <c r="DQ135" s="228">
        <v>1.1000000000000001</v>
      </c>
      <c r="DR135" s="228">
        <v>1.1299999999999999</v>
      </c>
      <c r="DS135" s="228">
        <v>-0.03</v>
      </c>
      <c r="DT135" s="229">
        <v>-2.6499999999999999E-2</v>
      </c>
      <c r="DU135" s="231">
        <v>14500</v>
      </c>
      <c r="DV135" s="231">
        <v>13000</v>
      </c>
      <c r="DW135" s="228">
        <v>1.02</v>
      </c>
      <c r="DX135" s="228">
        <v>1.1200000000000001</v>
      </c>
      <c r="DY135" s="228">
        <v>-0.1</v>
      </c>
      <c r="DZ135" s="229">
        <v>-8.9300000000000004E-2</v>
      </c>
      <c r="EA135" s="229">
        <v>0.24160000000000001</v>
      </c>
      <c r="EB135" s="230">
        <v>355920</v>
      </c>
      <c r="EC135" s="229">
        <v>1.1999999999999999E-3</v>
      </c>
      <c r="ED135" s="229">
        <v>0.24160000000000001</v>
      </c>
      <c r="EE135" s="228">
        <v>25.66</v>
      </c>
      <c r="EF135" s="229">
        <v>1.9E-3</v>
      </c>
      <c r="EG135" s="228">
        <v>0</v>
      </c>
      <c r="EH135" s="228">
        <v>0</v>
      </c>
      <c r="EI135" s="229">
        <v>0</v>
      </c>
      <c r="EJ135" s="229">
        <v>0</v>
      </c>
      <c r="EK135" s="231">
        <v>30901.71</v>
      </c>
      <c r="EL135" s="231">
        <v>29754.14</v>
      </c>
      <c r="EM135" s="231">
        <v>1571.36</v>
      </c>
      <c r="EN135" s="228">
        <v>0</v>
      </c>
      <c r="EO135" s="231">
        <v>62227.21</v>
      </c>
      <c r="EP135" s="231">
        <v>57150.09</v>
      </c>
      <c r="EQ135" s="231">
        <v>5077.13</v>
      </c>
      <c r="ER135" s="229">
        <v>8.8800000000000004E-2</v>
      </c>
      <c r="ES135" s="231">
        <v>11503.68</v>
      </c>
      <c r="ET135" s="231">
        <v>11726.85</v>
      </c>
      <c r="EU135" s="231">
        <v>3463.74</v>
      </c>
      <c r="EV135" s="228">
        <v>0</v>
      </c>
      <c r="EW135" s="231">
        <v>26694.27</v>
      </c>
      <c r="EX135" s="231">
        <v>25764.54</v>
      </c>
      <c r="EY135" s="228">
        <v>929.73</v>
      </c>
      <c r="EZ135" s="229">
        <v>3.61E-2</v>
      </c>
      <c r="FA135" s="229">
        <v>0</v>
      </c>
      <c r="FB135" s="227" t="s">
        <v>567</v>
      </c>
      <c r="FC135">
        <f t="shared" si="2"/>
        <v>837</v>
      </c>
    </row>
    <row r="136" spans="1:159" ht="17.25" thickBot="1" x14ac:dyDescent="0.3">
      <c r="A136" s="226">
        <v>46135</v>
      </c>
      <c r="B136" s="227" t="s">
        <v>162</v>
      </c>
      <c r="C136" s="227" t="s">
        <v>558</v>
      </c>
      <c r="D136" s="228">
        <v>6150</v>
      </c>
      <c r="E136" s="228">
        <v>5</v>
      </c>
      <c r="F136" s="228">
        <v>126.96</v>
      </c>
      <c r="G136" s="228">
        <v>131.55000000000001</v>
      </c>
      <c r="H136" s="228">
        <v>-4.59</v>
      </c>
      <c r="I136" s="229">
        <v>-3.49E-2</v>
      </c>
      <c r="J136" s="228">
        <v>127.22</v>
      </c>
      <c r="K136" s="228">
        <v>131.76</v>
      </c>
      <c r="L136" s="228">
        <v>-4.54</v>
      </c>
      <c r="M136" s="229">
        <v>-3.4500000000000003E-2</v>
      </c>
      <c r="N136" s="228">
        <v>126.96</v>
      </c>
      <c r="O136" s="228">
        <v>131.55000000000001</v>
      </c>
      <c r="P136" s="228">
        <v>-4.59</v>
      </c>
      <c r="Q136" s="229">
        <v>-3.49E-2</v>
      </c>
      <c r="R136" s="228">
        <v>127.73</v>
      </c>
      <c r="S136" s="228">
        <v>132.32</v>
      </c>
      <c r="T136" s="228">
        <v>-4.59</v>
      </c>
      <c r="U136" s="229">
        <v>-3.4700000000000002E-2</v>
      </c>
      <c r="V136" s="228">
        <v>128.35</v>
      </c>
      <c r="W136" s="228">
        <v>132.80000000000001</v>
      </c>
      <c r="X136" s="228">
        <v>-4.45</v>
      </c>
      <c r="Y136" s="229">
        <v>-3.3500000000000002E-2</v>
      </c>
      <c r="Z136" s="228">
        <v>-0.26</v>
      </c>
      <c r="AA136" s="228">
        <v>-0.21</v>
      </c>
      <c r="AB136" s="228">
        <v>-0.05</v>
      </c>
      <c r="AC136" s="229">
        <v>-2E-3</v>
      </c>
      <c r="AD136" s="228">
        <v>-0.26</v>
      </c>
      <c r="AE136" s="228">
        <v>-0.21</v>
      </c>
      <c r="AF136" s="228">
        <v>-0.05</v>
      </c>
      <c r="AG136" s="229">
        <v>-2E-3</v>
      </c>
      <c r="AH136" s="228">
        <v>0.51</v>
      </c>
      <c r="AI136" s="228">
        <v>0.56000000000000005</v>
      </c>
      <c r="AJ136" s="228">
        <v>-0.05</v>
      </c>
      <c r="AK136" s="229">
        <v>4.0000000000000001E-3</v>
      </c>
      <c r="AL136" s="228">
        <v>1.1299999999999999</v>
      </c>
      <c r="AM136" s="228">
        <v>1.04</v>
      </c>
      <c r="AN136" s="228">
        <v>0.09</v>
      </c>
      <c r="AO136" s="229">
        <v>8.8999999999999999E-3</v>
      </c>
      <c r="AP136" s="228">
        <v>127.67</v>
      </c>
      <c r="AQ136" s="228">
        <v>128.46</v>
      </c>
      <c r="AR136" s="228">
        <v>0</v>
      </c>
      <c r="AS136" s="230">
        <v>1246</v>
      </c>
      <c r="AT136" s="228">
        <v>621</v>
      </c>
      <c r="AU136" s="228">
        <v>625</v>
      </c>
      <c r="AV136" s="229">
        <v>1.006</v>
      </c>
      <c r="AW136" s="228">
        <v>679</v>
      </c>
      <c r="AX136" s="228">
        <v>452</v>
      </c>
      <c r="AY136" s="228">
        <v>227</v>
      </c>
      <c r="AZ136" s="229">
        <v>0.50239999999999996</v>
      </c>
      <c r="BA136" s="228">
        <v>560</v>
      </c>
      <c r="BB136" s="228">
        <v>155</v>
      </c>
      <c r="BC136" s="228">
        <v>405</v>
      </c>
      <c r="BD136" s="229">
        <v>2.6120000000000001</v>
      </c>
      <c r="BE136" s="228">
        <v>6</v>
      </c>
      <c r="BF136" s="228">
        <v>14</v>
      </c>
      <c r="BG136" s="228">
        <v>-8</v>
      </c>
      <c r="BH136" s="229">
        <v>-0.55679999999999996</v>
      </c>
      <c r="BI136" s="228">
        <v>834</v>
      </c>
      <c r="BJ136" s="230">
        <v>2180</v>
      </c>
      <c r="BK136" s="230">
        <v>-1346</v>
      </c>
      <c r="BL136" s="229">
        <v>-0.61750000000000005</v>
      </c>
      <c r="BM136" s="228">
        <v>570</v>
      </c>
      <c r="BN136" s="228">
        <v>904</v>
      </c>
      <c r="BO136" s="228">
        <v>-335</v>
      </c>
      <c r="BP136" s="229">
        <v>-0.37019999999999997</v>
      </c>
      <c r="BQ136" s="230">
        <v>2649</v>
      </c>
      <c r="BR136" s="230">
        <v>3706</v>
      </c>
      <c r="BS136" s="230">
        <v>-1056</v>
      </c>
      <c r="BT136" s="229">
        <v>-0.28510000000000002</v>
      </c>
      <c r="BU136" s="230">
        <v>24399989</v>
      </c>
      <c r="BV136" s="230">
        <v>46053648</v>
      </c>
      <c r="BW136" s="230">
        <v>-21653659</v>
      </c>
      <c r="BX136" s="229">
        <v>-0.47020000000000001</v>
      </c>
      <c r="BY136" s="230">
        <v>1719</v>
      </c>
      <c r="BZ136" s="230">
        <v>1658</v>
      </c>
      <c r="CA136" s="228">
        <v>61</v>
      </c>
      <c r="CB136" s="229">
        <v>3.6799999999999999E-2</v>
      </c>
      <c r="CC136" s="230">
        <v>1040</v>
      </c>
      <c r="CD136" s="230">
        <v>1387</v>
      </c>
      <c r="CE136" s="228">
        <v>-346</v>
      </c>
      <c r="CF136" s="229">
        <v>-0.24970000000000001</v>
      </c>
      <c r="CG136" s="228">
        <v>569</v>
      </c>
      <c r="CH136" s="228">
        <v>161</v>
      </c>
      <c r="CI136" s="228">
        <v>408</v>
      </c>
      <c r="CJ136" s="229">
        <v>2.5297999999999998</v>
      </c>
      <c r="CK136" s="228">
        <v>110</v>
      </c>
      <c r="CL136" s="228">
        <v>111</v>
      </c>
      <c r="CM136" s="228">
        <v>0</v>
      </c>
      <c r="CN136" s="229">
        <v>-1.4E-3</v>
      </c>
      <c r="CO136" s="228">
        <v>627</v>
      </c>
      <c r="CP136" s="228">
        <v>641</v>
      </c>
      <c r="CQ136" s="228">
        <v>-14</v>
      </c>
      <c r="CR136" s="229">
        <v>-2.2100000000000002E-2</v>
      </c>
      <c r="CS136" s="228">
        <v>573</v>
      </c>
      <c r="CT136" s="228">
        <v>595</v>
      </c>
      <c r="CU136" s="228">
        <v>-22</v>
      </c>
      <c r="CV136" s="229">
        <v>-3.6999999999999998E-2</v>
      </c>
      <c r="CW136" s="230">
        <v>2919</v>
      </c>
      <c r="CX136" s="230">
        <v>2894</v>
      </c>
      <c r="CY136" s="228">
        <v>25</v>
      </c>
      <c r="CZ136" s="229">
        <v>8.6E-3</v>
      </c>
      <c r="DA136" s="228">
        <v>39.72</v>
      </c>
      <c r="DB136" s="228">
        <v>38.47</v>
      </c>
      <c r="DC136" s="228">
        <v>1.25</v>
      </c>
      <c r="DD136" s="228">
        <v>1.25</v>
      </c>
      <c r="DE136" s="228">
        <v>43.75</v>
      </c>
      <c r="DF136" s="228">
        <v>43.6</v>
      </c>
      <c r="DG136" s="228">
        <v>-4.03</v>
      </c>
      <c r="DH136" s="228">
        <v>0.15</v>
      </c>
      <c r="DI136" s="228">
        <v>39.53</v>
      </c>
      <c r="DJ136" s="228">
        <v>37.049999999999997</v>
      </c>
      <c r="DK136" s="228">
        <v>2.48</v>
      </c>
      <c r="DL136" s="228">
        <v>2.48</v>
      </c>
      <c r="DM136" s="228">
        <v>40.47</v>
      </c>
      <c r="DN136" s="228">
        <v>41.89</v>
      </c>
      <c r="DO136" s="228">
        <v>-1.42</v>
      </c>
      <c r="DP136" s="228">
        <v>-1.42</v>
      </c>
      <c r="DQ136" s="228">
        <v>0.91</v>
      </c>
      <c r="DR136" s="228">
        <v>0.93</v>
      </c>
      <c r="DS136" s="228">
        <v>-0.02</v>
      </c>
      <c r="DT136" s="229">
        <v>-2.1499999999999998E-2</v>
      </c>
      <c r="DU136" s="228">
        <v>120</v>
      </c>
      <c r="DV136" s="228">
        <v>120</v>
      </c>
      <c r="DW136" s="228">
        <v>0.68</v>
      </c>
      <c r="DX136" s="228">
        <v>0.41</v>
      </c>
      <c r="DY136" s="228">
        <v>0.27</v>
      </c>
      <c r="DZ136" s="229">
        <v>0.65849999999999997</v>
      </c>
      <c r="EA136" s="229">
        <v>0.39489999999999997</v>
      </c>
      <c r="EB136" s="230">
        <v>21402000</v>
      </c>
      <c r="EC136" s="229">
        <v>6.1000000000000004E-3</v>
      </c>
      <c r="ED136" s="229">
        <v>0.39489999999999997</v>
      </c>
      <c r="EE136" s="228">
        <v>0.79</v>
      </c>
      <c r="EF136" s="229">
        <v>6.1999999999999998E-3</v>
      </c>
      <c r="EG136" s="230">
        <v>10724380</v>
      </c>
      <c r="EH136" s="230">
        <v>17667326</v>
      </c>
      <c r="EI136" s="229">
        <v>-0.39300000000000002</v>
      </c>
      <c r="EJ136" s="229">
        <v>0.4395</v>
      </c>
      <c r="EK136" s="228">
        <v>883.45</v>
      </c>
      <c r="EL136" s="228">
        <v>558.72</v>
      </c>
      <c r="EM136" s="231">
        <v>1256.26</v>
      </c>
      <c r="EN136" s="228">
        <v>48.18</v>
      </c>
      <c r="EO136" s="231">
        <v>2698.43</v>
      </c>
      <c r="EP136" s="231">
        <v>3832.45</v>
      </c>
      <c r="EQ136" s="231">
        <v>-1134.02</v>
      </c>
      <c r="ER136" s="229">
        <v>-0.2959</v>
      </c>
      <c r="ES136" s="228">
        <v>625.03</v>
      </c>
      <c r="ET136" s="228">
        <v>528.88</v>
      </c>
      <c r="EU136" s="231">
        <v>1724.07</v>
      </c>
      <c r="EV136" s="231">
        <v>588447385</v>
      </c>
      <c r="EW136" s="231">
        <v>2877.98</v>
      </c>
      <c r="EX136" s="231">
        <v>2909.38</v>
      </c>
      <c r="EY136" s="228">
        <v>-31.4</v>
      </c>
      <c r="EZ136" s="229">
        <v>-1.0800000000000001E-2</v>
      </c>
      <c r="FA136" s="229">
        <v>0.39069999999999999</v>
      </c>
      <c r="FB136" s="227" t="s">
        <v>566</v>
      </c>
      <c r="FC136">
        <f t="shared" si="2"/>
        <v>679</v>
      </c>
    </row>
    <row r="137" spans="1:159" ht="17.25" thickBot="1" x14ac:dyDescent="0.3">
      <c r="A137" s="226">
        <v>46135</v>
      </c>
      <c r="B137" s="227" t="s">
        <v>175</v>
      </c>
      <c r="C137" s="227" t="s">
        <v>698</v>
      </c>
      <c r="D137" s="228">
        <v>775</v>
      </c>
      <c r="E137" s="228">
        <v>5</v>
      </c>
      <c r="F137" s="228">
        <v>791.05</v>
      </c>
      <c r="G137" s="228">
        <v>813.55</v>
      </c>
      <c r="H137" s="228">
        <v>-22.5</v>
      </c>
      <c r="I137" s="229">
        <v>-2.7699999999999999E-2</v>
      </c>
      <c r="J137" s="228">
        <v>790.85</v>
      </c>
      <c r="K137" s="228">
        <v>811.2</v>
      </c>
      <c r="L137" s="228">
        <v>-20.350000000000001</v>
      </c>
      <c r="M137" s="229">
        <v>-2.5100000000000001E-2</v>
      </c>
      <c r="N137" s="228">
        <v>791.05</v>
      </c>
      <c r="O137" s="228">
        <v>813.55</v>
      </c>
      <c r="P137" s="228">
        <v>-22.5</v>
      </c>
      <c r="Q137" s="229">
        <v>-2.7699999999999999E-2</v>
      </c>
      <c r="R137" s="228">
        <v>794.6</v>
      </c>
      <c r="S137" s="228">
        <v>815.6</v>
      </c>
      <c r="T137" s="228">
        <v>-21</v>
      </c>
      <c r="U137" s="229">
        <v>-2.5700000000000001E-2</v>
      </c>
      <c r="V137" s="228">
        <v>798.5</v>
      </c>
      <c r="W137" s="228">
        <v>820.65</v>
      </c>
      <c r="X137" s="228">
        <v>-22.15</v>
      </c>
      <c r="Y137" s="229">
        <v>-2.7E-2</v>
      </c>
      <c r="Z137" s="228">
        <v>0.2</v>
      </c>
      <c r="AA137" s="228">
        <v>2.35</v>
      </c>
      <c r="AB137" s="228">
        <v>-2.15</v>
      </c>
      <c r="AC137" s="229">
        <v>2.9999999999999997E-4</v>
      </c>
      <c r="AD137" s="228">
        <v>0.2</v>
      </c>
      <c r="AE137" s="228">
        <v>2.35</v>
      </c>
      <c r="AF137" s="228">
        <v>-2.15</v>
      </c>
      <c r="AG137" s="229">
        <v>2.9999999999999997E-4</v>
      </c>
      <c r="AH137" s="228">
        <v>3.75</v>
      </c>
      <c r="AI137" s="228">
        <v>4.4000000000000004</v>
      </c>
      <c r="AJ137" s="228">
        <v>-0.65</v>
      </c>
      <c r="AK137" s="229">
        <v>4.7000000000000002E-3</v>
      </c>
      <c r="AL137" s="228">
        <v>7.65</v>
      </c>
      <c r="AM137" s="228">
        <v>9.4499999999999993</v>
      </c>
      <c r="AN137" s="228">
        <v>-1.8</v>
      </c>
      <c r="AO137" s="229">
        <v>9.7000000000000003E-3</v>
      </c>
      <c r="AP137" s="228">
        <v>794.1</v>
      </c>
      <c r="AQ137" s="228">
        <v>797.82</v>
      </c>
      <c r="AR137" s="228">
        <v>0</v>
      </c>
      <c r="AS137" s="228">
        <v>235</v>
      </c>
      <c r="AT137" s="228">
        <v>39</v>
      </c>
      <c r="AU137" s="228">
        <v>196</v>
      </c>
      <c r="AV137" s="229">
        <v>5.0141</v>
      </c>
      <c r="AW137" s="228">
        <v>140</v>
      </c>
      <c r="AX137" s="228">
        <v>30</v>
      </c>
      <c r="AY137" s="228">
        <v>110</v>
      </c>
      <c r="AZ137" s="229">
        <v>3.6234999999999999</v>
      </c>
      <c r="BA137" s="228">
        <v>94</v>
      </c>
      <c r="BB137" s="228">
        <v>9</v>
      </c>
      <c r="BC137" s="228">
        <v>85</v>
      </c>
      <c r="BD137" s="229">
        <v>9.7202999999999999</v>
      </c>
      <c r="BE137" s="228">
        <v>1</v>
      </c>
      <c r="BF137" s="228">
        <v>0</v>
      </c>
      <c r="BG137" s="228">
        <v>1</v>
      </c>
      <c r="BH137" s="229">
        <v>19</v>
      </c>
      <c r="BI137" s="228">
        <v>366</v>
      </c>
      <c r="BJ137" s="228">
        <v>114</v>
      </c>
      <c r="BK137" s="228">
        <v>252</v>
      </c>
      <c r="BL137" s="229">
        <v>2.2149000000000001</v>
      </c>
      <c r="BM137" s="228">
        <v>329</v>
      </c>
      <c r="BN137" s="228">
        <v>256</v>
      </c>
      <c r="BO137" s="228">
        <v>73</v>
      </c>
      <c r="BP137" s="229">
        <v>0.28720000000000001</v>
      </c>
      <c r="BQ137" s="228">
        <v>930</v>
      </c>
      <c r="BR137" s="228">
        <v>409</v>
      </c>
      <c r="BS137" s="228">
        <v>522</v>
      </c>
      <c r="BT137" s="229">
        <v>1.2764</v>
      </c>
      <c r="BU137" s="230">
        <v>1170042</v>
      </c>
      <c r="BV137" s="230">
        <v>1066788</v>
      </c>
      <c r="BW137" s="230">
        <v>103254</v>
      </c>
      <c r="BX137" s="229">
        <v>9.6799999999999997E-2</v>
      </c>
      <c r="BY137" s="228">
        <v>240</v>
      </c>
      <c r="BZ137" s="228">
        <v>217</v>
      </c>
      <c r="CA137" s="228">
        <v>23</v>
      </c>
      <c r="CB137" s="229">
        <v>0.10639999999999999</v>
      </c>
      <c r="CC137" s="228">
        <v>155</v>
      </c>
      <c r="CD137" s="228">
        <v>200</v>
      </c>
      <c r="CE137" s="228">
        <v>-45</v>
      </c>
      <c r="CF137" s="229">
        <v>-0.22559999999999999</v>
      </c>
      <c r="CG137" s="228">
        <v>83</v>
      </c>
      <c r="CH137" s="228">
        <v>16</v>
      </c>
      <c r="CI137" s="228">
        <v>67</v>
      </c>
      <c r="CJ137" s="229">
        <v>4.3136999999999999</v>
      </c>
      <c r="CK137" s="228">
        <v>2</v>
      </c>
      <c r="CL137" s="228">
        <v>1</v>
      </c>
      <c r="CM137" s="228">
        <v>1</v>
      </c>
      <c r="CN137" s="229">
        <v>0.8</v>
      </c>
      <c r="CO137" s="228">
        <v>124</v>
      </c>
      <c r="CP137" s="228">
        <v>125</v>
      </c>
      <c r="CQ137" s="228">
        <v>-1</v>
      </c>
      <c r="CR137" s="229">
        <v>-1.03E-2</v>
      </c>
      <c r="CS137" s="228">
        <v>115</v>
      </c>
      <c r="CT137" s="228">
        <v>117</v>
      </c>
      <c r="CU137" s="228">
        <v>-2</v>
      </c>
      <c r="CV137" s="229">
        <v>-2.1000000000000001E-2</v>
      </c>
      <c r="CW137" s="228">
        <v>478</v>
      </c>
      <c r="CX137" s="228">
        <v>459</v>
      </c>
      <c r="CY137" s="228">
        <v>19</v>
      </c>
      <c r="CZ137" s="229">
        <v>4.2099999999999999E-2</v>
      </c>
      <c r="DA137" s="228">
        <v>40.380000000000003</v>
      </c>
      <c r="DB137" s="228">
        <v>41.73</v>
      </c>
      <c r="DC137" s="228">
        <v>-1.35</v>
      </c>
      <c r="DD137" s="228">
        <v>-1.35</v>
      </c>
      <c r="DE137" s="228">
        <v>54.5</v>
      </c>
      <c r="DF137" s="228">
        <v>54.51</v>
      </c>
      <c r="DG137" s="228">
        <v>-14.12</v>
      </c>
      <c r="DH137" s="228">
        <v>-0.01</v>
      </c>
      <c r="DI137" s="228">
        <v>41.84</v>
      </c>
      <c r="DJ137" s="228">
        <v>40.72</v>
      </c>
      <c r="DK137" s="228">
        <v>1.1200000000000001</v>
      </c>
      <c r="DL137" s="228">
        <v>1.1200000000000001</v>
      </c>
      <c r="DM137" s="228">
        <v>39.99</v>
      </c>
      <c r="DN137" s="228">
        <v>42.18</v>
      </c>
      <c r="DO137" s="228">
        <v>-2.19</v>
      </c>
      <c r="DP137" s="228">
        <v>-2.19</v>
      </c>
      <c r="DQ137" s="228">
        <v>0.93</v>
      </c>
      <c r="DR137" s="228">
        <v>0.94</v>
      </c>
      <c r="DS137" s="228">
        <v>-0.01</v>
      </c>
      <c r="DT137" s="229">
        <v>-1.06E-2</v>
      </c>
      <c r="DU137" s="228">
        <v>820</v>
      </c>
      <c r="DV137" s="228">
        <v>680</v>
      </c>
      <c r="DW137" s="228">
        <v>0.9</v>
      </c>
      <c r="DX137" s="228">
        <v>2.25</v>
      </c>
      <c r="DY137" s="228">
        <v>-1.35</v>
      </c>
      <c r="DZ137" s="229">
        <v>-0.6</v>
      </c>
      <c r="EA137" s="229">
        <v>0.35349999999999998</v>
      </c>
      <c r="EB137" s="230">
        <v>209250</v>
      </c>
      <c r="EC137" s="229">
        <v>4.4999999999999997E-3</v>
      </c>
      <c r="ED137" s="229">
        <v>0.35349999999999998</v>
      </c>
      <c r="EE137" s="228">
        <v>3.72</v>
      </c>
      <c r="EF137" s="229">
        <v>4.7000000000000002E-3</v>
      </c>
      <c r="EG137" s="230">
        <v>424093</v>
      </c>
      <c r="EH137" s="230">
        <v>512511</v>
      </c>
      <c r="EI137" s="229">
        <v>-0.17249999999999999</v>
      </c>
      <c r="EJ137" s="229">
        <v>0.36249999999999999</v>
      </c>
      <c r="EK137" s="228">
        <v>383.85</v>
      </c>
      <c r="EL137" s="228">
        <v>304.58999999999997</v>
      </c>
      <c r="EM137" s="228">
        <v>236.6</v>
      </c>
      <c r="EN137" s="228">
        <v>23.11</v>
      </c>
      <c r="EO137" s="228">
        <v>925.04</v>
      </c>
      <c r="EP137" s="228">
        <v>405.97</v>
      </c>
      <c r="EQ137" s="228">
        <v>519.07000000000005</v>
      </c>
      <c r="ER137" s="229">
        <v>1.2786</v>
      </c>
      <c r="ES137" s="228">
        <v>125.62</v>
      </c>
      <c r="ET137" s="228">
        <v>106</v>
      </c>
      <c r="EU137" s="228">
        <v>240.04</v>
      </c>
      <c r="EV137" s="231">
        <v>29196111</v>
      </c>
      <c r="EW137" s="228">
        <v>471.65</v>
      </c>
      <c r="EX137" s="228">
        <v>458.12</v>
      </c>
      <c r="EY137" s="228">
        <v>13.53</v>
      </c>
      <c r="EZ137" s="229">
        <v>2.9499999999999998E-2</v>
      </c>
      <c r="FA137" s="229">
        <v>0.2069</v>
      </c>
      <c r="FB137" s="227" t="s">
        <v>566</v>
      </c>
      <c r="FC137">
        <f t="shared" si="2"/>
        <v>85</v>
      </c>
    </row>
    <row r="138" spans="1:159" ht="17.25" thickBot="1" x14ac:dyDescent="0.3">
      <c r="A138" s="226">
        <v>46135</v>
      </c>
      <c r="B138" s="227" t="s">
        <v>221</v>
      </c>
      <c r="C138" s="227" t="s">
        <v>487</v>
      </c>
      <c r="D138" s="228">
        <v>275</v>
      </c>
      <c r="E138" s="228">
        <v>5</v>
      </c>
      <c r="F138" s="231">
        <v>2275.6</v>
      </c>
      <c r="G138" s="231">
        <v>2340.9</v>
      </c>
      <c r="H138" s="228">
        <v>-65.3</v>
      </c>
      <c r="I138" s="229">
        <v>-2.7900000000000001E-2</v>
      </c>
      <c r="J138" s="231">
        <v>2277</v>
      </c>
      <c r="K138" s="231">
        <v>2331</v>
      </c>
      <c r="L138" s="228">
        <v>-54</v>
      </c>
      <c r="M138" s="229">
        <v>-2.3199999999999998E-2</v>
      </c>
      <c r="N138" s="231">
        <v>2275.6</v>
      </c>
      <c r="O138" s="231">
        <v>2340.9</v>
      </c>
      <c r="P138" s="228">
        <v>-65.3</v>
      </c>
      <c r="Q138" s="229">
        <v>-2.7900000000000001E-2</v>
      </c>
      <c r="R138" s="231">
        <v>2288.6999999999998</v>
      </c>
      <c r="S138" s="231">
        <v>2347.1</v>
      </c>
      <c r="T138" s="228">
        <v>-58.4</v>
      </c>
      <c r="U138" s="229">
        <v>-2.4899999999999999E-2</v>
      </c>
      <c r="V138" s="231">
        <v>2298</v>
      </c>
      <c r="W138" s="231">
        <v>2359.9</v>
      </c>
      <c r="X138" s="228">
        <v>-61.9</v>
      </c>
      <c r="Y138" s="229">
        <v>-2.6200000000000001E-2</v>
      </c>
      <c r="Z138" s="228">
        <v>-1.4</v>
      </c>
      <c r="AA138" s="228">
        <v>9.9</v>
      </c>
      <c r="AB138" s="228">
        <v>-11.3</v>
      </c>
      <c r="AC138" s="229">
        <v>-5.9999999999999995E-4</v>
      </c>
      <c r="AD138" s="228">
        <v>-1.4</v>
      </c>
      <c r="AE138" s="228">
        <v>9.9</v>
      </c>
      <c r="AF138" s="228">
        <v>-11.3</v>
      </c>
      <c r="AG138" s="229">
        <v>-5.9999999999999995E-4</v>
      </c>
      <c r="AH138" s="228">
        <v>11.7</v>
      </c>
      <c r="AI138" s="228">
        <v>16.100000000000001</v>
      </c>
      <c r="AJ138" s="228">
        <v>-4.4000000000000004</v>
      </c>
      <c r="AK138" s="229">
        <v>5.1000000000000004E-3</v>
      </c>
      <c r="AL138" s="228">
        <v>21</v>
      </c>
      <c r="AM138" s="228">
        <v>28.9</v>
      </c>
      <c r="AN138" s="228">
        <v>-7.9</v>
      </c>
      <c r="AO138" s="229">
        <v>9.1999999999999998E-3</v>
      </c>
      <c r="AP138" s="231">
        <v>2292.0300000000002</v>
      </c>
      <c r="AQ138" s="231">
        <v>2301.9899999999998</v>
      </c>
      <c r="AR138" s="228">
        <v>0</v>
      </c>
      <c r="AS138" s="228">
        <v>733</v>
      </c>
      <c r="AT138" s="228">
        <v>348</v>
      </c>
      <c r="AU138" s="228">
        <v>385</v>
      </c>
      <c r="AV138" s="229">
        <v>1.1051</v>
      </c>
      <c r="AW138" s="228">
        <v>350</v>
      </c>
      <c r="AX138" s="228">
        <v>254</v>
      </c>
      <c r="AY138" s="228">
        <v>96</v>
      </c>
      <c r="AZ138" s="229">
        <v>0.37730000000000002</v>
      </c>
      <c r="BA138" s="228">
        <v>382</v>
      </c>
      <c r="BB138" s="228">
        <v>93</v>
      </c>
      <c r="BC138" s="228">
        <v>289</v>
      </c>
      <c r="BD138" s="229">
        <v>3.0884</v>
      </c>
      <c r="BE138" s="228">
        <v>1</v>
      </c>
      <c r="BF138" s="228">
        <v>1</v>
      </c>
      <c r="BG138" s="228">
        <v>0</v>
      </c>
      <c r="BH138" s="229">
        <v>0.54549999999999998</v>
      </c>
      <c r="BI138" s="228">
        <v>302</v>
      </c>
      <c r="BJ138" s="228">
        <v>397</v>
      </c>
      <c r="BK138" s="228">
        <v>-94</v>
      </c>
      <c r="BL138" s="229">
        <v>-0.23799999999999999</v>
      </c>
      <c r="BM138" s="228">
        <v>184</v>
      </c>
      <c r="BN138" s="228">
        <v>346</v>
      </c>
      <c r="BO138" s="228">
        <v>-163</v>
      </c>
      <c r="BP138" s="229">
        <v>-0.46910000000000002</v>
      </c>
      <c r="BQ138" s="230">
        <v>1220</v>
      </c>
      <c r="BR138" s="230">
        <v>1092</v>
      </c>
      <c r="BS138" s="228">
        <v>128</v>
      </c>
      <c r="BT138" s="229">
        <v>0.1173</v>
      </c>
      <c r="BU138" s="230">
        <v>376551</v>
      </c>
      <c r="BV138" s="230">
        <v>1024069</v>
      </c>
      <c r="BW138" s="230">
        <v>-647518</v>
      </c>
      <c r="BX138" s="229">
        <v>-0.63229999999999997</v>
      </c>
      <c r="BY138" s="230">
        <v>1196</v>
      </c>
      <c r="BZ138" s="230">
        <v>1068</v>
      </c>
      <c r="CA138" s="228">
        <v>129</v>
      </c>
      <c r="CB138" s="229">
        <v>0.1205</v>
      </c>
      <c r="CC138" s="228">
        <v>798</v>
      </c>
      <c r="CD138" s="228">
        <v>949</v>
      </c>
      <c r="CE138" s="228">
        <v>-152</v>
      </c>
      <c r="CF138" s="229">
        <v>-0.15970000000000001</v>
      </c>
      <c r="CG138" s="228">
        <v>396</v>
      </c>
      <c r="CH138" s="228">
        <v>116</v>
      </c>
      <c r="CI138" s="228">
        <v>280</v>
      </c>
      <c r="CJ138" s="229">
        <v>2.4108000000000001</v>
      </c>
      <c r="CK138" s="228">
        <v>3</v>
      </c>
      <c r="CL138" s="228">
        <v>2</v>
      </c>
      <c r="CM138" s="228">
        <v>0</v>
      </c>
      <c r="CN138" s="229">
        <v>0.19439999999999999</v>
      </c>
      <c r="CO138" s="228">
        <v>338</v>
      </c>
      <c r="CP138" s="228">
        <v>296</v>
      </c>
      <c r="CQ138" s="228">
        <v>42</v>
      </c>
      <c r="CR138" s="229">
        <v>0.1434</v>
      </c>
      <c r="CS138" s="228">
        <v>231</v>
      </c>
      <c r="CT138" s="228">
        <v>215</v>
      </c>
      <c r="CU138" s="228">
        <v>16</v>
      </c>
      <c r="CV138" s="229">
        <v>7.4800000000000005E-2</v>
      </c>
      <c r="CW138" s="230">
        <v>1766</v>
      </c>
      <c r="CX138" s="230">
        <v>1579</v>
      </c>
      <c r="CY138" s="228">
        <v>187</v>
      </c>
      <c r="CZ138" s="229">
        <v>0.1186</v>
      </c>
      <c r="DA138" s="228">
        <v>39.770000000000003</v>
      </c>
      <c r="DB138" s="228">
        <v>39.450000000000003</v>
      </c>
      <c r="DC138" s="228">
        <v>0.32</v>
      </c>
      <c r="DD138" s="228">
        <v>0.32</v>
      </c>
      <c r="DE138" s="228">
        <v>36.65</v>
      </c>
      <c r="DF138" s="228">
        <v>36.6</v>
      </c>
      <c r="DG138" s="228">
        <v>3.12</v>
      </c>
      <c r="DH138" s="228">
        <v>0.05</v>
      </c>
      <c r="DI138" s="228">
        <v>39.21</v>
      </c>
      <c r="DJ138" s="228">
        <v>39.32</v>
      </c>
      <c r="DK138" s="228">
        <v>-0.11</v>
      </c>
      <c r="DL138" s="228">
        <v>-0.11</v>
      </c>
      <c r="DM138" s="228">
        <v>41</v>
      </c>
      <c r="DN138" s="228">
        <v>39.6</v>
      </c>
      <c r="DO138" s="228">
        <v>1.4</v>
      </c>
      <c r="DP138" s="228">
        <v>1.4</v>
      </c>
      <c r="DQ138" s="228">
        <v>0.68</v>
      </c>
      <c r="DR138" s="228">
        <v>0.73</v>
      </c>
      <c r="DS138" s="228">
        <v>-0.05</v>
      </c>
      <c r="DT138" s="229">
        <v>-6.8500000000000005E-2</v>
      </c>
      <c r="DU138" s="231">
        <v>2500</v>
      </c>
      <c r="DV138" s="231">
        <v>2400</v>
      </c>
      <c r="DW138" s="228">
        <v>0.61</v>
      </c>
      <c r="DX138" s="228">
        <v>0.87</v>
      </c>
      <c r="DY138" s="228">
        <v>-0.26</v>
      </c>
      <c r="DZ138" s="229">
        <v>-0.2989</v>
      </c>
      <c r="EA138" s="229">
        <v>0.3332</v>
      </c>
      <c r="EB138" s="230">
        <v>520025</v>
      </c>
      <c r="EC138" s="229">
        <v>5.7999999999999996E-3</v>
      </c>
      <c r="ED138" s="229">
        <v>0.3332</v>
      </c>
      <c r="EE138" s="228">
        <v>9.9600000000000009</v>
      </c>
      <c r="EF138" s="229">
        <v>4.3E-3</v>
      </c>
      <c r="EG138" s="230">
        <v>191984</v>
      </c>
      <c r="EH138" s="230">
        <v>590217</v>
      </c>
      <c r="EI138" s="229">
        <v>-0.67469999999999997</v>
      </c>
      <c r="EJ138" s="229">
        <v>0.50980000000000003</v>
      </c>
      <c r="EK138" s="228">
        <v>322.17</v>
      </c>
      <c r="EL138" s="228">
        <v>185.19</v>
      </c>
      <c r="EM138" s="228">
        <v>740.47</v>
      </c>
      <c r="EN138" s="228">
        <v>29.35</v>
      </c>
      <c r="EO138" s="231">
        <v>1247.8399999999999</v>
      </c>
      <c r="EP138" s="231">
        <v>1153.0999999999999</v>
      </c>
      <c r="EQ138" s="228">
        <v>94.74</v>
      </c>
      <c r="ER138" s="229">
        <v>8.2199999999999995E-2</v>
      </c>
      <c r="ES138" s="228">
        <v>355.66</v>
      </c>
      <c r="ET138" s="228">
        <v>229.77</v>
      </c>
      <c r="EU138" s="231">
        <v>1198.69</v>
      </c>
      <c r="EV138" s="231">
        <v>19838356</v>
      </c>
      <c r="EW138" s="231">
        <v>1784.12</v>
      </c>
      <c r="EX138" s="231">
        <v>1626.44</v>
      </c>
      <c r="EY138" s="228">
        <v>157.68</v>
      </c>
      <c r="EZ138" s="229">
        <v>9.69E-2</v>
      </c>
      <c r="FA138" s="229">
        <v>0.39119999999999999</v>
      </c>
      <c r="FB138" s="227" t="s">
        <v>566</v>
      </c>
      <c r="FC138">
        <f t="shared" si="2"/>
        <v>398</v>
      </c>
    </row>
    <row r="139" spans="1:159" ht="17.25" thickBot="1" x14ac:dyDescent="0.3">
      <c r="A139" s="226">
        <v>46135</v>
      </c>
      <c r="B139" s="227" t="s">
        <v>175</v>
      </c>
      <c r="C139" s="227" t="s">
        <v>262</v>
      </c>
      <c r="D139" s="228">
        <v>275</v>
      </c>
      <c r="E139" s="228">
        <v>5</v>
      </c>
      <c r="F139" s="231">
        <v>3571.8</v>
      </c>
      <c r="G139" s="231">
        <v>3597.4</v>
      </c>
      <c r="H139" s="228">
        <v>-25.6</v>
      </c>
      <c r="I139" s="229">
        <v>-7.1000000000000004E-3</v>
      </c>
      <c r="J139" s="231">
        <v>3561.4</v>
      </c>
      <c r="K139" s="231">
        <v>3586.9</v>
      </c>
      <c r="L139" s="228">
        <v>-25.5</v>
      </c>
      <c r="M139" s="229">
        <v>-7.1000000000000004E-3</v>
      </c>
      <c r="N139" s="231">
        <v>3571.8</v>
      </c>
      <c r="O139" s="231">
        <v>3597.4</v>
      </c>
      <c r="P139" s="228">
        <v>-25.6</v>
      </c>
      <c r="Q139" s="229">
        <v>-7.1000000000000004E-3</v>
      </c>
      <c r="R139" s="231">
        <v>3580.1</v>
      </c>
      <c r="S139" s="231">
        <v>3609</v>
      </c>
      <c r="T139" s="228">
        <v>-28.9</v>
      </c>
      <c r="U139" s="229">
        <v>-8.0000000000000002E-3</v>
      </c>
      <c r="V139" s="231">
        <v>3595.5</v>
      </c>
      <c r="W139" s="231">
        <v>3631</v>
      </c>
      <c r="X139" s="228">
        <v>-35.5</v>
      </c>
      <c r="Y139" s="229">
        <v>-9.7999999999999997E-3</v>
      </c>
      <c r="Z139" s="228">
        <v>10.4</v>
      </c>
      <c r="AA139" s="228">
        <v>10.5</v>
      </c>
      <c r="AB139" s="228">
        <v>-0.1</v>
      </c>
      <c r="AC139" s="229">
        <v>2.8999999999999998E-3</v>
      </c>
      <c r="AD139" s="228">
        <v>10.4</v>
      </c>
      <c r="AE139" s="228">
        <v>10.5</v>
      </c>
      <c r="AF139" s="228">
        <v>-0.1</v>
      </c>
      <c r="AG139" s="229">
        <v>2.8999999999999998E-3</v>
      </c>
      <c r="AH139" s="228">
        <v>18.7</v>
      </c>
      <c r="AI139" s="228">
        <v>22.1</v>
      </c>
      <c r="AJ139" s="228">
        <v>-3.4</v>
      </c>
      <c r="AK139" s="229">
        <v>5.3E-3</v>
      </c>
      <c r="AL139" s="228">
        <v>34.1</v>
      </c>
      <c r="AM139" s="228">
        <v>44.1</v>
      </c>
      <c r="AN139" s="228">
        <v>-10</v>
      </c>
      <c r="AO139" s="229">
        <v>9.5999999999999992E-3</v>
      </c>
      <c r="AP139" s="231">
        <v>3570.01</v>
      </c>
      <c r="AQ139" s="231">
        <v>3574.24</v>
      </c>
      <c r="AR139" s="228">
        <v>0</v>
      </c>
      <c r="AS139" s="228">
        <v>957</v>
      </c>
      <c r="AT139" s="228">
        <v>425</v>
      </c>
      <c r="AU139" s="228">
        <v>532</v>
      </c>
      <c r="AV139" s="229">
        <v>1.2521</v>
      </c>
      <c r="AW139" s="228">
        <v>533</v>
      </c>
      <c r="AX139" s="228">
        <v>326</v>
      </c>
      <c r="AY139" s="228">
        <v>207</v>
      </c>
      <c r="AZ139" s="229">
        <v>0.63300000000000001</v>
      </c>
      <c r="BA139" s="228">
        <v>419</v>
      </c>
      <c r="BB139" s="228">
        <v>93</v>
      </c>
      <c r="BC139" s="228">
        <v>326</v>
      </c>
      <c r="BD139" s="229">
        <v>3.5032000000000001</v>
      </c>
      <c r="BE139" s="228">
        <v>4</v>
      </c>
      <c r="BF139" s="228">
        <v>5</v>
      </c>
      <c r="BG139" s="228">
        <v>-1</v>
      </c>
      <c r="BH139" s="229">
        <v>-0.21149999999999999</v>
      </c>
      <c r="BI139" s="228">
        <v>853</v>
      </c>
      <c r="BJ139" s="230">
        <v>1925</v>
      </c>
      <c r="BK139" s="230">
        <v>-1072</v>
      </c>
      <c r="BL139" s="229">
        <v>-0.55700000000000005</v>
      </c>
      <c r="BM139" s="228">
        <v>518</v>
      </c>
      <c r="BN139" s="228">
        <v>691</v>
      </c>
      <c r="BO139" s="228">
        <v>-173</v>
      </c>
      <c r="BP139" s="229">
        <v>-0.24990000000000001</v>
      </c>
      <c r="BQ139" s="230">
        <v>2328</v>
      </c>
      <c r="BR139" s="230">
        <v>3041</v>
      </c>
      <c r="BS139" s="228">
        <v>-713</v>
      </c>
      <c r="BT139" s="229">
        <v>-0.2346</v>
      </c>
      <c r="BU139" s="230">
        <v>389124</v>
      </c>
      <c r="BV139" s="230">
        <v>836070</v>
      </c>
      <c r="BW139" s="230">
        <v>-446946</v>
      </c>
      <c r="BX139" s="229">
        <v>-0.53459999999999996</v>
      </c>
      <c r="BY139" s="230">
        <v>1357</v>
      </c>
      <c r="BZ139" s="230">
        <v>1431</v>
      </c>
      <c r="CA139" s="228">
        <v>-74</v>
      </c>
      <c r="CB139" s="229">
        <v>-5.16E-2</v>
      </c>
      <c r="CC139" s="228">
        <v>946</v>
      </c>
      <c r="CD139" s="230">
        <v>1300</v>
      </c>
      <c r="CE139" s="228">
        <v>-354</v>
      </c>
      <c r="CF139" s="229">
        <v>-0.27250000000000002</v>
      </c>
      <c r="CG139" s="228">
        <v>401</v>
      </c>
      <c r="CH139" s="228">
        <v>122</v>
      </c>
      <c r="CI139" s="228">
        <v>279</v>
      </c>
      <c r="CJ139" s="229">
        <v>2.2991000000000001</v>
      </c>
      <c r="CK139" s="228">
        <v>10</v>
      </c>
      <c r="CL139" s="228">
        <v>9</v>
      </c>
      <c r="CM139" s="228">
        <v>1</v>
      </c>
      <c r="CN139" s="229">
        <v>0.14610000000000001</v>
      </c>
      <c r="CO139" s="228">
        <v>851</v>
      </c>
      <c r="CP139" s="228">
        <v>933</v>
      </c>
      <c r="CQ139" s="228">
        <v>-82</v>
      </c>
      <c r="CR139" s="229">
        <v>-8.7599999999999997E-2</v>
      </c>
      <c r="CS139" s="228">
        <v>507</v>
      </c>
      <c r="CT139" s="228">
        <v>513</v>
      </c>
      <c r="CU139" s="228">
        <v>-6</v>
      </c>
      <c r="CV139" s="229">
        <v>-1.17E-2</v>
      </c>
      <c r="CW139" s="230">
        <v>2715</v>
      </c>
      <c r="CX139" s="230">
        <v>2876</v>
      </c>
      <c r="CY139" s="228">
        <v>-161</v>
      </c>
      <c r="CZ139" s="229">
        <v>-5.6099999999999997E-2</v>
      </c>
      <c r="DA139" s="228">
        <v>39.04</v>
      </c>
      <c r="DB139" s="228">
        <v>34.6</v>
      </c>
      <c r="DC139" s="228">
        <v>4.4400000000000004</v>
      </c>
      <c r="DD139" s="228">
        <v>4.4400000000000004</v>
      </c>
      <c r="DE139" s="228">
        <v>43.96</v>
      </c>
      <c r="DF139" s="228">
        <v>44.06</v>
      </c>
      <c r="DG139" s="228">
        <v>-4.92</v>
      </c>
      <c r="DH139" s="228">
        <v>-0.1</v>
      </c>
      <c r="DI139" s="228">
        <v>38.049999999999997</v>
      </c>
      <c r="DJ139" s="228">
        <v>33.65</v>
      </c>
      <c r="DK139" s="228">
        <v>4.4000000000000004</v>
      </c>
      <c r="DL139" s="228">
        <v>4.4000000000000004</v>
      </c>
      <c r="DM139" s="228">
        <v>40.270000000000003</v>
      </c>
      <c r="DN139" s="228">
        <v>37.229999999999997</v>
      </c>
      <c r="DO139" s="228">
        <v>3.04</v>
      </c>
      <c r="DP139" s="228">
        <v>3.04</v>
      </c>
      <c r="DQ139" s="228">
        <v>0.6</v>
      </c>
      <c r="DR139" s="228">
        <v>0.55000000000000004</v>
      </c>
      <c r="DS139" s="228">
        <v>0.05</v>
      </c>
      <c r="DT139" s="229">
        <v>9.0899999999999995E-2</v>
      </c>
      <c r="DU139" s="231">
        <v>3650</v>
      </c>
      <c r="DV139" s="231">
        <v>3500</v>
      </c>
      <c r="DW139" s="228">
        <v>0.61</v>
      </c>
      <c r="DX139" s="228">
        <v>0.36</v>
      </c>
      <c r="DY139" s="228">
        <v>0.25</v>
      </c>
      <c r="DZ139" s="229">
        <v>0.69440000000000002</v>
      </c>
      <c r="EA139" s="229">
        <v>0.30280000000000001</v>
      </c>
      <c r="EB139" s="230">
        <v>364650</v>
      </c>
      <c r="EC139" s="229">
        <v>2.3E-3</v>
      </c>
      <c r="ED139" s="229">
        <v>0.30280000000000001</v>
      </c>
      <c r="EE139" s="228">
        <v>4.2300000000000004</v>
      </c>
      <c r="EF139" s="229">
        <v>1.1999999999999999E-3</v>
      </c>
      <c r="EG139" s="230">
        <v>192918</v>
      </c>
      <c r="EH139" s="230">
        <v>447666</v>
      </c>
      <c r="EI139" s="229">
        <v>-0.56910000000000005</v>
      </c>
      <c r="EJ139" s="229">
        <v>0.49580000000000002</v>
      </c>
      <c r="EK139" s="228">
        <v>888.01</v>
      </c>
      <c r="EL139" s="228">
        <v>505.58</v>
      </c>
      <c r="EM139" s="228">
        <v>956.55</v>
      </c>
      <c r="EN139" s="228">
        <v>31.59</v>
      </c>
      <c r="EO139" s="231">
        <v>2350.14</v>
      </c>
      <c r="EP139" s="231">
        <v>3137.77</v>
      </c>
      <c r="EQ139" s="228">
        <v>-787.63</v>
      </c>
      <c r="ER139" s="229">
        <v>-0.251</v>
      </c>
      <c r="ES139" s="228">
        <v>860.26</v>
      </c>
      <c r="ET139" s="228">
        <v>476.15</v>
      </c>
      <c r="EU139" s="231">
        <v>1357.77</v>
      </c>
      <c r="EV139" s="231">
        <v>16050690</v>
      </c>
      <c r="EW139" s="231">
        <v>2694.18</v>
      </c>
      <c r="EX139" s="231">
        <v>2867.03</v>
      </c>
      <c r="EY139" s="228">
        <v>-172.85</v>
      </c>
      <c r="EZ139" s="229">
        <v>-6.0299999999999999E-2</v>
      </c>
      <c r="FA139" s="229">
        <v>0.47349999999999998</v>
      </c>
      <c r="FB139" s="227" t="s">
        <v>567</v>
      </c>
      <c r="FC139">
        <f t="shared" si="2"/>
        <v>411</v>
      </c>
    </row>
    <row r="140" spans="1:159" ht="17.25" thickBot="1" x14ac:dyDescent="0.3">
      <c r="A140" s="226">
        <v>46135</v>
      </c>
      <c r="B140" s="227" t="s">
        <v>175</v>
      </c>
      <c r="C140" s="227" t="s">
        <v>486</v>
      </c>
      <c r="D140" s="228">
        <v>625</v>
      </c>
      <c r="E140" s="228">
        <v>5</v>
      </c>
      <c r="F140" s="231">
        <v>1035.05</v>
      </c>
      <c r="G140" s="231">
        <v>1053.05</v>
      </c>
      <c r="H140" s="228">
        <v>-18</v>
      </c>
      <c r="I140" s="229">
        <v>-1.7100000000000001E-2</v>
      </c>
      <c r="J140" s="231">
        <v>1031.95</v>
      </c>
      <c r="K140" s="231">
        <v>1060.0999999999999</v>
      </c>
      <c r="L140" s="228">
        <v>-28.15</v>
      </c>
      <c r="M140" s="229">
        <v>-2.6599999999999999E-2</v>
      </c>
      <c r="N140" s="231">
        <v>1035.05</v>
      </c>
      <c r="O140" s="231">
        <v>1053.05</v>
      </c>
      <c r="P140" s="228">
        <v>-18</v>
      </c>
      <c r="Q140" s="229">
        <v>-1.7100000000000001E-2</v>
      </c>
      <c r="R140" s="231">
        <v>1014.15</v>
      </c>
      <c r="S140" s="231">
        <v>1043.0999999999999</v>
      </c>
      <c r="T140" s="228">
        <v>-28.95</v>
      </c>
      <c r="U140" s="229">
        <v>-2.7799999999999998E-2</v>
      </c>
      <c r="V140" s="231">
        <v>1003.8</v>
      </c>
      <c r="W140" s="231">
        <v>1027.1500000000001</v>
      </c>
      <c r="X140" s="228">
        <v>-23.35</v>
      </c>
      <c r="Y140" s="229">
        <v>-2.2700000000000001E-2</v>
      </c>
      <c r="Z140" s="228">
        <v>3.1</v>
      </c>
      <c r="AA140" s="228">
        <v>-7.05</v>
      </c>
      <c r="AB140" s="228">
        <v>10.15</v>
      </c>
      <c r="AC140" s="229">
        <v>3.0000000000000001E-3</v>
      </c>
      <c r="AD140" s="228">
        <v>3.1</v>
      </c>
      <c r="AE140" s="228">
        <v>-7.05</v>
      </c>
      <c r="AF140" s="228">
        <v>10.15</v>
      </c>
      <c r="AG140" s="229">
        <v>3.0000000000000001E-3</v>
      </c>
      <c r="AH140" s="228">
        <v>-17.8</v>
      </c>
      <c r="AI140" s="228">
        <v>-17</v>
      </c>
      <c r="AJ140" s="228">
        <v>-0.8</v>
      </c>
      <c r="AK140" s="229">
        <v>-1.72E-2</v>
      </c>
      <c r="AL140" s="228">
        <v>-28.15</v>
      </c>
      <c r="AM140" s="228">
        <v>-32.950000000000003</v>
      </c>
      <c r="AN140" s="228">
        <v>4.8</v>
      </c>
      <c r="AO140" s="229">
        <v>-2.7300000000000001E-2</v>
      </c>
      <c r="AP140" s="231">
        <v>1044.57</v>
      </c>
      <c r="AQ140" s="231">
        <v>1026.32</v>
      </c>
      <c r="AR140" s="228">
        <v>0</v>
      </c>
      <c r="AS140" s="228">
        <v>366</v>
      </c>
      <c r="AT140" s="228">
        <v>132</v>
      </c>
      <c r="AU140" s="228">
        <v>234</v>
      </c>
      <c r="AV140" s="229">
        <v>1.7645999999999999</v>
      </c>
      <c r="AW140" s="228">
        <v>189</v>
      </c>
      <c r="AX140" s="228">
        <v>78</v>
      </c>
      <c r="AY140" s="228">
        <v>110</v>
      </c>
      <c r="AZ140" s="229">
        <v>1.4162999999999999</v>
      </c>
      <c r="BA140" s="228">
        <v>176</v>
      </c>
      <c r="BB140" s="228">
        <v>54</v>
      </c>
      <c r="BC140" s="228">
        <v>122</v>
      </c>
      <c r="BD140" s="229">
        <v>2.2595999999999998</v>
      </c>
      <c r="BE140" s="228">
        <v>1</v>
      </c>
      <c r="BF140" s="228">
        <v>0</v>
      </c>
      <c r="BG140" s="228">
        <v>1</v>
      </c>
      <c r="BH140" s="229">
        <v>2.8332999999999999</v>
      </c>
      <c r="BI140" s="228">
        <v>117</v>
      </c>
      <c r="BJ140" s="228">
        <v>155</v>
      </c>
      <c r="BK140" s="228">
        <v>-38</v>
      </c>
      <c r="BL140" s="229">
        <v>-0.2467</v>
      </c>
      <c r="BM140" s="228">
        <v>162</v>
      </c>
      <c r="BN140" s="228">
        <v>131</v>
      </c>
      <c r="BO140" s="228">
        <v>31</v>
      </c>
      <c r="BP140" s="229">
        <v>0.23350000000000001</v>
      </c>
      <c r="BQ140" s="228">
        <v>645</v>
      </c>
      <c r="BR140" s="228">
        <v>419</v>
      </c>
      <c r="BS140" s="228">
        <v>226</v>
      </c>
      <c r="BT140" s="229">
        <v>0.54059999999999997</v>
      </c>
      <c r="BU140" s="230">
        <v>1139564</v>
      </c>
      <c r="BV140" s="230">
        <v>1644071</v>
      </c>
      <c r="BW140" s="230">
        <v>-504507</v>
      </c>
      <c r="BX140" s="229">
        <v>-0.30690000000000001</v>
      </c>
      <c r="BY140" s="228">
        <v>366</v>
      </c>
      <c r="BZ140" s="228">
        <v>387</v>
      </c>
      <c r="CA140" s="228">
        <v>-21</v>
      </c>
      <c r="CB140" s="229">
        <v>-5.4800000000000001E-2</v>
      </c>
      <c r="CC140" s="228">
        <v>216</v>
      </c>
      <c r="CD140" s="228">
        <v>311</v>
      </c>
      <c r="CE140" s="228">
        <v>-94</v>
      </c>
      <c r="CF140" s="229">
        <v>-0.30409999999999998</v>
      </c>
      <c r="CG140" s="228">
        <v>148</v>
      </c>
      <c r="CH140" s="228">
        <v>76</v>
      </c>
      <c r="CI140" s="228">
        <v>72</v>
      </c>
      <c r="CJ140" s="229">
        <v>0.95469999999999999</v>
      </c>
      <c r="CK140" s="228">
        <v>2</v>
      </c>
      <c r="CL140" s="228">
        <v>1</v>
      </c>
      <c r="CM140" s="228">
        <v>1</v>
      </c>
      <c r="CN140" s="229">
        <v>1.1667000000000001</v>
      </c>
      <c r="CO140" s="228">
        <v>120</v>
      </c>
      <c r="CP140" s="228">
        <v>125</v>
      </c>
      <c r="CQ140" s="228">
        <v>-4</v>
      </c>
      <c r="CR140" s="229">
        <v>-3.5299999999999998E-2</v>
      </c>
      <c r="CS140" s="228">
        <v>60</v>
      </c>
      <c r="CT140" s="228">
        <v>67</v>
      </c>
      <c r="CU140" s="228">
        <v>-7</v>
      </c>
      <c r="CV140" s="229">
        <v>-0.1037</v>
      </c>
      <c r="CW140" s="228">
        <v>546</v>
      </c>
      <c r="CX140" s="228">
        <v>578</v>
      </c>
      <c r="CY140" s="228">
        <v>-33</v>
      </c>
      <c r="CZ140" s="229">
        <v>-5.6300000000000003E-2</v>
      </c>
      <c r="DA140" s="228">
        <v>52.14</v>
      </c>
      <c r="DB140" s="228">
        <v>64.58</v>
      </c>
      <c r="DC140" s="228">
        <v>-12.44</v>
      </c>
      <c r="DD140" s="228">
        <v>-12.44</v>
      </c>
      <c r="DE140" s="228">
        <v>50.12</v>
      </c>
      <c r="DF140" s="228">
        <v>50.12</v>
      </c>
      <c r="DG140" s="228">
        <v>2.02</v>
      </c>
      <c r="DH140" s="228">
        <v>0</v>
      </c>
      <c r="DI140" s="228">
        <v>52.48</v>
      </c>
      <c r="DJ140" s="228">
        <v>65.2</v>
      </c>
      <c r="DK140" s="228">
        <v>-12.72</v>
      </c>
      <c r="DL140" s="228">
        <v>-12.72</v>
      </c>
      <c r="DM140" s="228">
        <v>51.74</v>
      </c>
      <c r="DN140" s="228">
        <v>63.86</v>
      </c>
      <c r="DO140" s="228">
        <v>-12.12</v>
      </c>
      <c r="DP140" s="228">
        <v>-12.12</v>
      </c>
      <c r="DQ140" s="228">
        <v>0.5</v>
      </c>
      <c r="DR140" s="228">
        <v>0.54</v>
      </c>
      <c r="DS140" s="228">
        <v>-0.04</v>
      </c>
      <c r="DT140" s="229">
        <v>-7.4099999999999999E-2</v>
      </c>
      <c r="DU140" s="231">
        <v>1080</v>
      </c>
      <c r="DV140" s="228">
        <v>960</v>
      </c>
      <c r="DW140" s="228">
        <v>1.39</v>
      </c>
      <c r="DX140" s="228">
        <v>0.85</v>
      </c>
      <c r="DY140" s="228">
        <v>0.54</v>
      </c>
      <c r="DZ140" s="229">
        <v>0.63529999999999998</v>
      </c>
      <c r="EA140" s="229">
        <v>0.4093</v>
      </c>
      <c r="EB140" s="230">
        <v>739375</v>
      </c>
      <c r="EC140" s="229">
        <v>-2.0199999999999999E-2</v>
      </c>
      <c r="ED140" s="229">
        <v>0.4093</v>
      </c>
      <c r="EE140" s="228">
        <v>-18.25</v>
      </c>
      <c r="EF140" s="229">
        <v>-1.7500000000000002E-2</v>
      </c>
      <c r="EG140" s="230">
        <v>598923</v>
      </c>
      <c r="EH140" s="230">
        <v>955293</v>
      </c>
      <c r="EI140" s="229">
        <v>-0.373</v>
      </c>
      <c r="EJ140" s="229">
        <v>0.52559999999999996</v>
      </c>
      <c r="EK140" s="228">
        <v>124.71</v>
      </c>
      <c r="EL140" s="228">
        <v>144.18</v>
      </c>
      <c r="EM140" s="228">
        <v>366.51</v>
      </c>
      <c r="EN140" s="228">
        <v>19.53</v>
      </c>
      <c r="EO140" s="228">
        <v>635.4</v>
      </c>
      <c r="EP140" s="228">
        <v>414.35</v>
      </c>
      <c r="EQ140" s="228">
        <v>221.05</v>
      </c>
      <c r="ER140" s="229">
        <v>0.53349999999999997</v>
      </c>
      <c r="ES140" s="228">
        <v>120.01</v>
      </c>
      <c r="ET140" s="228">
        <v>53.35</v>
      </c>
      <c r="EU140" s="228">
        <v>362.85</v>
      </c>
      <c r="EV140" s="231">
        <v>26709548</v>
      </c>
      <c r="EW140" s="228">
        <v>536.21</v>
      </c>
      <c r="EX140" s="228">
        <v>576.87</v>
      </c>
      <c r="EY140" s="228">
        <v>-40.659999999999997</v>
      </c>
      <c r="EZ140" s="229">
        <v>-7.0499999999999993E-2</v>
      </c>
      <c r="FA140" s="229">
        <v>0.19739999999999999</v>
      </c>
      <c r="FB140" s="227" t="s">
        <v>567</v>
      </c>
      <c r="FC140">
        <f t="shared" si="2"/>
        <v>150</v>
      </c>
    </row>
    <row r="141" spans="1:159" ht="17.25" thickBot="1" x14ac:dyDescent="0.3">
      <c r="A141" s="226">
        <v>46135</v>
      </c>
      <c r="B141" s="227" t="s">
        <v>227</v>
      </c>
      <c r="C141" s="227" t="s">
        <v>263</v>
      </c>
      <c r="D141" s="228">
        <v>3750</v>
      </c>
      <c r="E141" s="228">
        <v>5</v>
      </c>
      <c r="F141" s="228">
        <v>439.75</v>
      </c>
      <c r="G141" s="228">
        <v>436.95</v>
      </c>
      <c r="H141" s="228">
        <v>2.8</v>
      </c>
      <c r="I141" s="229">
        <v>6.4000000000000003E-3</v>
      </c>
      <c r="J141" s="228">
        <v>439.25</v>
      </c>
      <c r="K141" s="228">
        <v>435.95</v>
      </c>
      <c r="L141" s="228">
        <v>3.3</v>
      </c>
      <c r="M141" s="229">
        <v>7.6E-3</v>
      </c>
      <c r="N141" s="228">
        <v>439.75</v>
      </c>
      <c r="O141" s="228">
        <v>436.95</v>
      </c>
      <c r="P141" s="228">
        <v>2.8</v>
      </c>
      <c r="Q141" s="229">
        <v>6.4000000000000003E-3</v>
      </c>
      <c r="R141" s="228">
        <v>442.2</v>
      </c>
      <c r="S141" s="228">
        <v>439.2</v>
      </c>
      <c r="T141" s="228">
        <v>3</v>
      </c>
      <c r="U141" s="229">
        <v>6.7999999999999996E-3</v>
      </c>
      <c r="V141" s="228">
        <v>444.6</v>
      </c>
      <c r="W141" s="228">
        <v>441</v>
      </c>
      <c r="X141" s="228">
        <v>3.6</v>
      </c>
      <c r="Y141" s="229">
        <v>8.2000000000000007E-3</v>
      </c>
      <c r="Z141" s="228">
        <v>0.5</v>
      </c>
      <c r="AA141" s="228">
        <v>1</v>
      </c>
      <c r="AB141" s="228">
        <v>-0.5</v>
      </c>
      <c r="AC141" s="229">
        <v>1.1000000000000001E-3</v>
      </c>
      <c r="AD141" s="228">
        <v>0.5</v>
      </c>
      <c r="AE141" s="228">
        <v>1</v>
      </c>
      <c r="AF141" s="228">
        <v>-0.5</v>
      </c>
      <c r="AG141" s="229">
        <v>1.1000000000000001E-3</v>
      </c>
      <c r="AH141" s="228">
        <v>2.95</v>
      </c>
      <c r="AI141" s="228">
        <v>3.25</v>
      </c>
      <c r="AJ141" s="228">
        <v>-0.3</v>
      </c>
      <c r="AK141" s="229">
        <v>6.7000000000000002E-3</v>
      </c>
      <c r="AL141" s="228">
        <v>5.35</v>
      </c>
      <c r="AM141" s="228">
        <v>5.05</v>
      </c>
      <c r="AN141" s="228">
        <v>0.3</v>
      </c>
      <c r="AO141" s="229">
        <v>1.2200000000000001E-2</v>
      </c>
      <c r="AP141" s="228">
        <v>440.24</v>
      </c>
      <c r="AQ141" s="228">
        <v>442.58</v>
      </c>
      <c r="AR141" s="228">
        <v>0</v>
      </c>
      <c r="AS141" s="230">
        <v>1609</v>
      </c>
      <c r="AT141" s="230">
        <v>1209</v>
      </c>
      <c r="AU141" s="228">
        <v>400</v>
      </c>
      <c r="AV141" s="229">
        <v>0.33069999999999999</v>
      </c>
      <c r="AW141" s="228">
        <v>909</v>
      </c>
      <c r="AX141" s="228">
        <v>838</v>
      </c>
      <c r="AY141" s="228">
        <v>71</v>
      </c>
      <c r="AZ141" s="229">
        <v>8.5199999999999998E-2</v>
      </c>
      <c r="BA141" s="228">
        <v>689</v>
      </c>
      <c r="BB141" s="228">
        <v>353</v>
      </c>
      <c r="BC141" s="228">
        <v>336</v>
      </c>
      <c r="BD141" s="229">
        <v>0.95369999999999999</v>
      </c>
      <c r="BE141" s="228">
        <v>11</v>
      </c>
      <c r="BF141" s="228">
        <v>18</v>
      </c>
      <c r="BG141" s="228">
        <v>-8</v>
      </c>
      <c r="BH141" s="229">
        <v>-0.42859999999999998</v>
      </c>
      <c r="BI141" s="230">
        <v>2701</v>
      </c>
      <c r="BJ141" s="230">
        <v>3708</v>
      </c>
      <c r="BK141" s="230">
        <v>-1007</v>
      </c>
      <c r="BL141" s="229">
        <v>-0.27160000000000001</v>
      </c>
      <c r="BM141" s="230">
        <v>1464</v>
      </c>
      <c r="BN141" s="230">
        <v>1825</v>
      </c>
      <c r="BO141" s="228">
        <v>-361</v>
      </c>
      <c r="BP141" s="229">
        <v>-0.1978</v>
      </c>
      <c r="BQ141" s="230">
        <v>5775</v>
      </c>
      <c r="BR141" s="230">
        <v>6743</v>
      </c>
      <c r="BS141" s="228">
        <v>-968</v>
      </c>
      <c r="BT141" s="229">
        <v>-0.14360000000000001</v>
      </c>
      <c r="BU141" s="230">
        <v>9248140</v>
      </c>
      <c r="BV141" s="230">
        <v>12994194</v>
      </c>
      <c r="BW141" s="230">
        <v>-3746054</v>
      </c>
      <c r="BX141" s="229">
        <v>-0.2883</v>
      </c>
      <c r="BY141" s="230">
        <v>2474</v>
      </c>
      <c r="BZ141" s="230">
        <v>2438</v>
      </c>
      <c r="CA141" s="228">
        <v>36</v>
      </c>
      <c r="CB141" s="229">
        <v>1.49E-2</v>
      </c>
      <c r="CC141" s="230">
        <v>1651</v>
      </c>
      <c r="CD141" s="230">
        <v>2146</v>
      </c>
      <c r="CE141" s="228">
        <v>-495</v>
      </c>
      <c r="CF141" s="229">
        <v>-0.2306</v>
      </c>
      <c r="CG141" s="228">
        <v>798</v>
      </c>
      <c r="CH141" s="228">
        <v>270</v>
      </c>
      <c r="CI141" s="228">
        <v>529</v>
      </c>
      <c r="CJ141" s="229">
        <v>1.9597</v>
      </c>
      <c r="CK141" s="228">
        <v>25</v>
      </c>
      <c r="CL141" s="228">
        <v>22</v>
      </c>
      <c r="CM141" s="228">
        <v>2</v>
      </c>
      <c r="CN141" s="229">
        <v>0.1103</v>
      </c>
      <c r="CO141" s="230">
        <v>1741</v>
      </c>
      <c r="CP141" s="230">
        <v>1727</v>
      </c>
      <c r="CQ141" s="228">
        <v>13</v>
      </c>
      <c r="CR141" s="229">
        <v>7.6E-3</v>
      </c>
      <c r="CS141" s="230">
        <v>1420</v>
      </c>
      <c r="CT141" s="230">
        <v>1440</v>
      </c>
      <c r="CU141" s="228">
        <v>-20</v>
      </c>
      <c r="CV141" s="229">
        <v>-1.3899999999999999E-2</v>
      </c>
      <c r="CW141" s="230">
        <v>5635</v>
      </c>
      <c r="CX141" s="230">
        <v>5605</v>
      </c>
      <c r="CY141" s="228">
        <v>30</v>
      </c>
      <c r="CZ141" s="229">
        <v>5.3E-3</v>
      </c>
      <c r="DA141" s="228">
        <v>41.35</v>
      </c>
      <c r="DB141" s="228">
        <v>38.75</v>
      </c>
      <c r="DC141" s="228">
        <v>2.6</v>
      </c>
      <c r="DD141" s="228">
        <v>2.6</v>
      </c>
      <c r="DE141" s="228">
        <v>51.49</v>
      </c>
      <c r="DF141" s="228">
        <v>51.61</v>
      </c>
      <c r="DG141" s="228">
        <v>-10.14</v>
      </c>
      <c r="DH141" s="228">
        <v>-0.12</v>
      </c>
      <c r="DI141" s="228">
        <v>41.05</v>
      </c>
      <c r="DJ141" s="228">
        <v>36.840000000000003</v>
      </c>
      <c r="DK141" s="228">
        <v>4.21</v>
      </c>
      <c r="DL141" s="228">
        <v>4.21</v>
      </c>
      <c r="DM141" s="228">
        <v>42.03</v>
      </c>
      <c r="DN141" s="228">
        <v>42.65</v>
      </c>
      <c r="DO141" s="228">
        <v>-0.62</v>
      </c>
      <c r="DP141" s="228">
        <v>-0.62</v>
      </c>
      <c r="DQ141" s="228">
        <v>0.82</v>
      </c>
      <c r="DR141" s="228">
        <v>0.83</v>
      </c>
      <c r="DS141" s="228">
        <v>-0.01</v>
      </c>
      <c r="DT141" s="229">
        <v>-1.2E-2</v>
      </c>
      <c r="DU141" s="228">
        <v>440</v>
      </c>
      <c r="DV141" s="228">
        <v>410</v>
      </c>
      <c r="DW141" s="228">
        <v>0.54</v>
      </c>
      <c r="DX141" s="228">
        <v>0.49</v>
      </c>
      <c r="DY141" s="228">
        <v>0.05</v>
      </c>
      <c r="DZ141" s="229">
        <v>0.10199999999999999</v>
      </c>
      <c r="EA141" s="229">
        <v>0.33279999999999998</v>
      </c>
      <c r="EB141" s="230">
        <v>6645000</v>
      </c>
      <c r="EC141" s="229">
        <v>5.5999999999999999E-3</v>
      </c>
      <c r="ED141" s="229">
        <v>0.33279999999999998</v>
      </c>
      <c r="EE141" s="228">
        <v>2.34</v>
      </c>
      <c r="EF141" s="229">
        <v>5.3E-3</v>
      </c>
      <c r="EG141" s="230">
        <v>3794656</v>
      </c>
      <c r="EH141" s="230">
        <v>5996579</v>
      </c>
      <c r="EI141" s="229">
        <v>-0.36720000000000003</v>
      </c>
      <c r="EJ141" s="229">
        <v>0.4103</v>
      </c>
      <c r="EK141" s="231">
        <v>2810.76</v>
      </c>
      <c r="EL141" s="231">
        <v>1418.8</v>
      </c>
      <c r="EM141" s="231">
        <v>1614.73</v>
      </c>
      <c r="EN141" s="228">
        <v>50.66</v>
      </c>
      <c r="EO141" s="231">
        <v>5844.28</v>
      </c>
      <c r="EP141" s="231">
        <v>6734.97</v>
      </c>
      <c r="EQ141" s="228">
        <v>-890.69</v>
      </c>
      <c r="ER141" s="229">
        <v>-0.13220000000000001</v>
      </c>
      <c r="ES141" s="231">
        <v>1728.79</v>
      </c>
      <c r="ET141" s="231">
        <v>1282.95</v>
      </c>
      <c r="EU141" s="231">
        <v>2478.98</v>
      </c>
      <c r="EV141" s="231">
        <v>134225816</v>
      </c>
      <c r="EW141" s="231">
        <v>5490.72</v>
      </c>
      <c r="EX141" s="231">
        <v>5425.53</v>
      </c>
      <c r="EY141" s="228">
        <v>65.19</v>
      </c>
      <c r="EZ141" s="229">
        <v>1.2E-2</v>
      </c>
      <c r="FA141" s="229">
        <v>0.9546</v>
      </c>
      <c r="FB141" s="227" t="s">
        <v>555</v>
      </c>
      <c r="FC141">
        <f t="shared" si="2"/>
        <v>823</v>
      </c>
    </row>
    <row r="142" spans="1:159" ht="17.25" thickBot="1" x14ac:dyDescent="0.3">
      <c r="A142" s="226">
        <v>46135</v>
      </c>
      <c r="B142" s="227" t="s">
        <v>614</v>
      </c>
      <c r="C142" s="227" t="s">
        <v>264</v>
      </c>
      <c r="D142" s="228">
        <v>375</v>
      </c>
      <c r="E142" s="228">
        <v>5</v>
      </c>
      <c r="F142" s="231">
        <v>1021.1</v>
      </c>
      <c r="G142" s="231">
        <v>1053.0999999999999</v>
      </c>
      <c r="H142" s="228">
        <v>-32</v>
      </c>
      <c r="I142" s="229">
        <v>-3.04E-2</v>
      </c>
      <c r="J142" s="231">
        <v>1018.05</v>
      </c>
      <c r="K142" s="231">
        <v>1052.7</v>
      </c>
      <c r="L142" s="228">
        <v>-34.65</v>
      </c>
      <c r="M142" s="229">
        <v>-3.2899999999999999E-2</v>
      </c>
      <c r="N142" s="231">
        <v>1021.1</v>
      </c>
      <c r="O142" s="231">
        <v>1053.0999999999999</v>
      </c>
      <c r="P142" s="228">
        <v>-32</v>
      </c>
      <c r="Q142" s="229">
        <v>-3.04E-2</v>
      </c>
      <c r="R142" s="231">
        <v>1023.4</v>
      </c>
      <c r="S142" s="231">
        <v>1054.2</v>
      </c>
      <c r="T142" s="228">
        <v>-30.8</v>
      </c>
      <c r="U142" s="229">
        <v>-2.92E-2</v>
      </c>
      <c r="V142" s="231">
        <v>1027.2</v>
      </c>
      <c r="W142" s="231">
        <v>1058.3</v>
      </c>
      <c r="X142" s="228">
        <v>-31.1</v>
      </c>
      <c r="Y142" s="229">
        <v>-2.9399999999999999E-2</v>
      </c>
      <c r="Z142" s="228">
        <v>3.05</v>
      </c>
      <c r="AA142" s="228">
        <v>0.4</v>
      </c>
      <c r="AB142" s="228">
        <v>2.65</v>
      </c>
      <c r="AC142" s="229">
        <v>3.0000000000000001E-3</v>
      </c>
      <c r="AD142" s="228">
        <v>3.05</v>
      </c>
      <c r="AE142" s="228">
        <v>0.4</v>
      </c>
      <c r="AF142" s="228">
        <v>2.65</v>
      </c>
      <c r="AG142" s="229">
        <v>3.0000000000000001E-3</v>
      </c>
      <c r="AH142" s="228">
        <v>5.35</v>
      </c>
      <c r="AI142" s="228">
        <v>1.5</v>
      </c>
      <c r="AJ142" s="228">
        <v>3.85</v>
      </c>
      <c r="AK142" s="229">
        <v>5.3E-3</v>
      </c>
      <c r="AL142" s="228">
        <v>9.15</v>
      </c>
      <c r="AM142" s="228">
        <v>5.6</v>
      </c>
      <c r="AN142" s="228">
        <v>3.55</v>
      </c>
      <c r="AO142" s="229">
        <v>8.9999999999999993E-3</v>
      </c>
      <c r="AP142" s="231">
        <v>1023.49</v>
      </c>
      <c r="AQ142" s="231">
        <v>1024.8499999999999</v>
      </c>
      <c r="AR142" s="228">
        <v>0</v>
      </c>
      <c r="AS142" s="228">
        <v>864</v>
      </c>
      <c r="AT142" s="228">
        <v>235</v>
      </c>
      <c r="AU142" s="228">
        <v>629</v>
      </c>
      <c r="AV142" s="229">
        <v>2.6730999999999998</v>
      </c>
      <c r="AW142" s="228">
        <v>455</v>
      </c>
      <c r="AX142" s="228">
        <v>178</v>
      </c>
      <c r="AY142" s="228">
        <v>276</v>
      </c>
      <c r="AZ142" s="229">
        <v>1.5488999999999999</v>
      </c>
      <c r="BA142" s="228">
        <v>408</v>
      </c>
      <c r="BB142" s="228">
        <v>54</v>
      </c>
      <c r="BC142" s="228">
        <v>354</v>
      </c>
      <c r="BD142" s="229">
        <v>6.54</v>
      </c>
      <c r="BE142" s="228">
        <v>2</v>
      </c>
      <c r="BF142" s="228">
        <v>3</v>
      </c>
      <c r="BG142" s="228">
        <v>-1</v>
      </c>
      <c r="BH142" s="229">
        <v>-0.32890000000000003</v>
      </c>
      <c r="BI142" s="228">
        <v>630</v>
      </c>
      <c r="BJ142" s="228">
        <v>393</v>
      </c>
      <c r="BK142" s="228">
        <v>237</v>
      </c>
      <c r="BL142" s="229">
        <v>0.60299999999999998</v>
      </c>
      <c r="BM142" s="228">
        <v>398</v>
      </c>
      <c r="BN142" s="228">
        <v>231</v>
      </c>
      <c r="BO142" s="228">
        <v>167</v>
      </c>
      <c r="BP142" s="229">
        <v>0.72150000000000003</v>
      </c>
      <c r="BQ142" s="230">
        <v>1892</v>
      </c>
      <c r="BR142" s="228">
        <v>859</v>
      </c>
      <c r="BS142" s="230">
        <v>1033</v>
      </c>
      <c r="BT142" s="229">
        <v>1.2019</v>
      </c>
      <c r="BU142" s="230">
        <v>2186639</v>
      </c>
      <c r="BV142" s="230">
        <v>2163368</v>
      </c>
      <c r="BW142" s="230">
        <v>23271</v>
      </c>
      <c r="BX142" s="229">
        <v>1.0800000000000001E-2</v>
      </c>
      <c r="BY142" s="230">
        <v>1040</v>
      </c>
      <c r="BZ142" s="230">
        <v>1026</v>
      </c>
      <c r="CA142" s="228">
        <v>14</v>
      </c>
      <c r="CB142" s="229">
        <v>1.32E-2</v>
      </c>
      <c r="CC142" s="228">
        <v>510</v>
      </c>
      <c r="CD142" s="228">
        <v>830</v>
      </c>
      <c r="CE142" s="228">
        <v>-321</v>
      </c>
      <c r="CF142" s="229">
        <v>-0.38600000000000001</v>
      </c>
      <c r="CG142" s="228">
        <v>525</v>
      </c>
      <c r="CH142" s="228">
        <v>192</v>
      </c>
      <c r="CI142" s="228">
        <v>333</v>
      </c>
      <c r="CJ142" s="229">
        <v>1.738</v>
      </c>
      <c r="CK142" s="228">
        <v>5</v>
      </c>
      <c r="CL142" s="228">
        <v>4</v>
      </c>
      <c r="CM142" s="228">
        <v>1</v>
      </c>
      <c r="CN142" s="229">
        <v>0.25</v>
      </c>
      <c r="CO142" s="228">
        <v>386</v>
      </c>
      <c r="CP142" s="228">
        <v>349</v>
      </c>
      <c r="CQ142" s="228">
        <v>37</v>
      </c>
      <c r="CR142" s="229">
        <v>0.1053</v>
      </c>
      <c r="CS142" s="228">
        <v>208</v>
      </c>
      <c r="CT142" s="228">
        <v>168</v>
      </c>
      <c r="CU142" s="228">
        <v>40</v>
      </c>
      <c r="CV142" s="229">
        <v>0.23710000000000001</v>
      </c>
      <c r="CW142" s="230">
        <v>1634</v>
      </c>
      <c r="CX142" s="230">
        <v>1543</v>
      </c>
      <c r="CY142" s="228">
        <v>90</v>
      </c>
      <c r="CZ142" s="229">
        <v>5.8400000000000001E-2</v>
      </c>
      <c r="DA142" s="228">
        <v>32.86</v>
      </c>
      <c r="DB142" s="228">
        <v>31.66</v>
      </c>
      <c r="DC142" s="228">
        <v>1.2</v>
      </c>
      <c r="DD142" s="228">
        <v>1.2</v>
      </c>
      <c r="DE142" s="228">
        <v>36.72</v>
      </c>
      <c r="DF142" s="228">
        <v>36.57</v>
      </c>
      <c r="DG142" s="228">
        <v>-3.86</v>
      </c>
      <c r="DH142" s="228">
        <v>0.15</v>
      </c>
      <c r="DI142" s="228">
        <v>32.58</v>
      </c>
      <c r="DJ142" s="228">
        <v>31.08</v>
      </c>
      <c r="DK142" s="228">
        <v>1.5</v>
      </c>
      <c r="DL142" s="228">
        <v>1.5</v>
      </c>
      <c r="DM142" s="228">
        <v>33.869999999999997</v>
      </c>
      <c r="DN142" s="228">
        <v>32.64</v>
      </c>
      <c r="DO142" s="228">
        <v>1.23</v>
      </c>
      <c r="DP142" s="228">
        <v>1.23</v>
      </c>
      <c r="DQ142" s="228">
        <v>0.54</v>
      </c>
      <c r="DR142" s="228">
        <v>0.48</v>
      </c>
      <c r="DS142" s="228">
        <v>0.06</v>
      </c>
      <c r="DT142" s="229">
        <v>0.125</v>
      </c>
      <c r="DU142" s="231">
        <v>1060</v>
      </c>
      <c r="DV142" s="231">
        <v>1000</v>
      </c>
      <c r="DW142" s="228">
        <v>0.63</v>
      </c>
      <c r="DX142" s="228">
        <v>0.59</v>
      </c>
      <c r="DY142" s="228">
        <v>0.04</v>
      </c>
      <c r="DZ142" s="229">
        <v>6.7799999999999999E-2</v>
      </c>
      <c r="EA142" s="229">
        <v>0.50960000000000005</v>
      </c>
      <c r="EB142" s="230">
        <v>1917000</v>
      </c>
      <c r="EC142" s="229">
        <v>2.3E-3</v>
      </c>
      <c r="ED142" s="229">
        <v>0.50960000000000005</v>
      </c>
      <c r="EE142" s="228">
        <v>1.36</v>
      </c>
      <c r="EF142" s="229">
        <v>1.2999999999999999E-3</v>
      </c>
      <c r="EG142" s="230">
        <v>1223975</v>
      </c>
      <c r="EH142" s="230">
        <v>1293546</v>
      </c>
      <c r="EI142" s="229">
        <v>-5.3800000000000001E-2</v>
      </c>
      <c r="EJ142" s="229">
        <v>0.55979999999999996</v>
      </c>
      <c r="EK142" s="228">
        <v>659.69</v>
      </c>
      <c r="EL142" s="228">
        <v>397.79</v>
      </c>
      <c r="EM142" s="228">
        <v>867.01</v>
      </c>
      <c r="EN142" s="228">
        <v>53.44</v>
      </c>
      <c r="EO142" s="231">
        <v>1924.49</v>
      </c>
      <c r="EP142" s="228">
        <v>898.52</v>
      </c>
      <c r="EQ142" s="231">
        <v>1025.97</v>
      </c>
      <c r="ER142" s="229">
        <v>1.1418999999999999</v>
      </c>
      <c r="ES142" s="228">
        <v>400.59</v>
      </c>
      <c r="ET142" s="228">
        <v>204.98</v>
      </c>
      <c r="EU142" s="231">
        <v>1040.93</v>
      </c>
      <c r="EV142" s="231">
        <v>60562281</v>
      </c>
      <c r="EW142" s="231">
        <v>1646.5</v>
      </c>
      <c r="EX142" s="231">
        <v>1590.91</v>
      </c>
      <c r="EY142" s="228">
        <v>55.59</v>
      </c>
      <c r="EZ142" s="229">
        <v>3.49E-2</v>
      </c>
      <c r="FA142" s="229">
        <v>0.26419999999999999</v>
      </c>
      <c r="FB142" s="227" t="s">
        <v>566</v>
      </c>
      <c r="FC142">
        <f t="shared" si="2"/>
        <v>530</v>
      </c>
    </row>
    <row r="143" spans="1:159" ht="17.25" thickBot="1" x14ac:dyDescent="0.3">
      <c r="A143" s="226">
        <v>46135</v>
      </c>
      <c r="B143" s="227" t="s">
        <v>206</v>
      </c>
      <c r="C143" s="227" t="s">
        <v>550</v>
      </c>
      <c r="D143" s="228">
        <v>6500</v>
      </c>
      <c r="E143" s="228">
        <v>5</v>
      </c>
      <c r="F143" s="228">
        <v>93.4</v>
      </c>
      <c r="G143" s="228">
        <v>94.46</v>
      </c>
      <c r="H143" s="228">
        <v>-1.06</v>
      </c>
      <c r="I143" s="229">
        <v>-1.12E-2</v>
      </c>
      <c r="J143" s="228">
        <v>93.31</v>
      </c>
      <c r="K143" s="228">
        <v>94.2</v>
      </c>
      <c r="L143" s="228">
        <v>-0.89</v>
      </c>
      <c r="M143" s="229">
        <v>-9.4000000000000004E-3</v>
      </c>
      <c r="N143" s="228">
        <v>93.4</v>
      </c>
      <c r="O143" s="228">
        <v>94.46</v>
      </c>
      <c r="P143" s="228">
        <v>-1.06</v>
      </c>
      <c r="Q143" s="229">
        <v>-1.12E-2</v>
      </c>
      <c r="R143" s="228">
        <v>93.95</v>
      </c>
      <c r="S143" s="228">
        <v>94.92</v>
      </c>
      <c r="T143" s="228">
        <v>-0.97</v>
      </c>
      <c r="U143" s="229">
        <v>-1.0200000000000001E-2</v>
      </c>
      <c r="V143" s="228">
        <v>94.32</v>
      </c>
      <c r="W143" s="228">
        <v>95.33</v>
      </c>
      <c r="X143" s="228">
        <v>-1.01</v>
      </c>
      <c r="Y143" s="229">
        <v>-1.06E-2</v>
      </c>
      <c r="Z143" s="228">
        <v>0.09</v>
      </c>
      <c r="AA143" s="228">
        <v>0.26</v>
      </c>
      <c r="AB143" s="228">
        <v>-0.17</v>
      </c>
      <c r="AC143" s="229">
        <v>1E-3</v>
      </c>
      <c r="AD143" s="228">
        <v>0.09</v>
      </c>
      <c r="AE143" s="228">
        <v>0.26</v>
      </c>
      <c r="AF143" s="228">
        <v>-0.17</v>
      </c>
      <c r="AG143" s="229">
        <v>1E-3</v>
      </c>
      <c r="AH143" s="228">
        <v>0.64</v>
      </c>
      <c r="AI143" s="228">
        <v>0.72</v>
      </c>
      <c r="AJ143" s="228">
        <v>-0.08</v>
      </c>
      <c r="AK143" s="229">
        <v>6.8999999999999999E-3</v>
      </c>
      <c r="AL143" s="228">
        <v>1.01</v>
      </c>
      <c r="AM143" s="228">
        <v>1.1299999999999999</v>
      </c>
      <c r="AN143" s="228">
        <v>-0.12</v>
      </c>
      <c r="AO143" s="229">
        <v>1.0800000000000001E-2</v>
      </c>
      <c r="AP143" s="228">
        <v>93.67</v>
      </c>
      <c r="AQ143" s="228">
        <v>94.19</v>
      </c>
      <c r="AR143" s="228">
        <v>0</v>
      </c>
      <c r="AS143" s="228">
        <v>549</v>
      </c>
      <c r="AT143" s="228">
        <v>125</v>
      </c>
      <c r="AU143" s="228">
        <v>424</v>
      </c>
      <c r="AV143" s="229">
        <v>3.3953000000000002</v>
      </c>
      <c r="AW143" s="228">
        <v>278</v>
      </c>
      <c r="AX143" s="228">
        <v>71</v>
      </c>
      <c r="AY143" s="228">
        <v>207</v>
      </c>
      <c r="AZ143" s="229">
        <v>2.9228999999999998</v>
      </c>
      <c r="BA143" s="228">
        <v>270</v>
      </c>
      <c r="BB143" s="228">
        <v>53</v>
      </c>
      <c r="BC143" s="228">
        <v>217</v>
      </c>
      <c r="BD143" s="229">
        <v>4.1055000000000001</v>
      </c>
      <c r="BE143" s="228">
        <v>1</v>
      </c>
      <c r="BF143" s="228">
        <v>1</v>
      </c>
      <c r="BG143" s="228">
        <v>0</v>
      </c>
      <c r="BH143" s="229">
        <v>-0.15790000000000001</v>
      </c>
      <c r="BI143" s="228">
        <v>103</v>
      </c>
      <c r="BJ143" s="228">
        <v>130</v>
      </c>
      <c r="BK143" s="228">
        <v>-27</v>
      </c>
      <c r="BL143" s="229">
        <v>-0.20569999999999999</v>
      </c>
      <c r="BM143" s="228">
        <v>33</v>
      </c>
      <c r="BN143" s="228">
        <v>46</v>
      </c>
      <c r="BO143" s="228">
        <v>-13</v>
      </c>
      <c r="BP143" s="229">
        <v>-0.28649999999999998</v>
      </c>
      <c r="BQ143" s="228">
        <v>685</v>
      </c>
      <c r="BR143" s="228">
        <v>301</v>
      </c>
      <c r="BS143" s="228">
        <v>385</v>
      </c>
      <c r="BT143" s="229">
        <v>1.2793000000000001</v>
      </c>
      <c r="BU143" s="230">
        <v>8199806</v>
      </c>
      <c r="BV143" s="230">
        <v>11864177</v>
      </c>
      <c r="BW143" s="230">
        <v>-3664371</v>
      </c>
      <c r="BX143" s="229">
        <v>-0.30890000000000001</v>
      </c>
      <c r="BY143" s="228">
        <v>763</v>
      </c>
      <c r="BZ143" s="228">
        <v>747</v>
      </c>
      <c r="CA143" s="228">
        <v>16</v>
      </c>
      <c r="CB143" s="229">
        <v>2.12E-2</v>
      </c>
      <c r="CC143" s="228">
        <v>398</v>
      </c>
      <c r="CD143" s="228">
        <v>629</v>
      </c>
      <c r="CE143" s="228">
        <v>-230</v>
      </c>
      <c r="CF143" s="229">
        <v>-0.36630000000000001</v>
      </c>
      <c r="CG143" s="228">
        <v>358</v>
      </c>
      <c r="CH143" s="228">
        <v>113</v>
      </c>
      <c r="CI143" s="228">
        <v>245</v>
      </c>
      <c r="CJ143" s="229">
        <v>2.1720000000000002</v>
      </c>
      <c r="CK143" s="228">
        <v>6</v>
      </c>
      <c r="CL143" s="228">
        <v>5</v>
      </c>
      <c r="CM143" s="228">
        <v>1</v>
      </c>
      <c r="CN143" s="229">
        <v>0.1236</v>
      </c>
      <c r="CO143" s="228">
        <v>211</v>
      </c>
      <c r="CP143" s="228">
        <v>203</v>
      </c>
      <c r="CQ143" s="228">
        <v>8</v>
      </c>
      <c r="CR143" s="229">
        <v>4.0099999999999997E-2</v>
      </c>
      <c r="CS143" s="228">
        <v>130</v>
      </c>
      <c r="CT143" s="228">
        <v>130</v>
      </c>
      <c r="CU143" s="228">
        <v>0</v>
      </c>
      <c r="CV143" s="229">
        <v>0</v>
      </c>
      <c r="CW143" s="230">
        <v>1103</v>
      </c>
      <c r="CX143" s="230">
        <v>1079</v>
      </c>
      <c r="CY143" s="228">
        <v>24</v>
      </c>
      <c r="CZ143" s="229">
        <v>2.2200000000000001E-2</v>
      </c>
      <c r="DA143" s="228">
        <v>43.1</v>
      </c>
      <c r="DB143" s="228">
        <v>42.03</v>
      </c>
      <c r="DC143" s="228">
        <v>1.07</v>
      </c>
      <c r="DD143" s="228">
        <v>1.07</v>
      </c>
      <c r="DE143" s="228">
        <v>51.4</v>
      </c>
      <c r="DF143" s="228">
        <v>51.51</v>
      </c>
      <c r="DG143" s="228">
        <v>-8.3000000000000007</v>
      </c>
      <c r="DH143" s="228">
        <v>-0.11</v>
      </c>
      <c r="DI143" s="228">
        <v>42.55</v>
      </c>
      <c r="DJ143" s="228">
        <v>40.56</v>
      </c>
      <c r="DK143" s="228">
        <v>1.99</v>
      </c>
      <c r="DL143" s="228">
        <v>1.99</v>
      </c>
      <c r="DM143" s="228">
        <v>45.31</v>
      </c>
      <c r="DN143" s="228">
        <v>46.19</v>
      </c>
      <c r="DO143" s="228">
        <v>-0.88</v>
      </c>
      <c r="DP143" s="228">
        <v>-0.88</v>
      </c>
      <c r="DQ143" s="228">
        <v>0.61</v>
      </c>
      <c r="DR143" s="228">
        <v>0.64</v>
      </c>
      <c r="DS143" s="228">
        <v>-0.03</v>
      </c>
      <c r="DT143" s="229">
        <v>-4.6899999999999997E-2</v>
      </c>
      <c r="DU143" s="228">
        <v>105</v>
      </c>
      <c r="DV143" s="228">
        <v>85</v>
      </c>
      <c r="DW143" s="228">
        <v>0.32</v>
      </c>
      <c r="DX143" s="228">
        <v>0.35</v>
      </c>
      <c r="DY143" s="228">
        <v>-0.03</v>
      </c>
      <c r="DZ143" s="229">
        <v>-8.5699999999999998E-2</v>
      </c>
      <c r="EA143" s="229">
        <v>0.4778</v>
      </c>
      <c r="EB143" s="230">
        <v>12675000</v>
      </c>
      <c r="EC143" s="229">
        <v>5.8999999999999999E-3</v>
      </c>
      <c r="ED143" s="229">
        <v>0.4778</v>
      </c>
      <c r="EE143" s="228">
        <v>0.52</v>
      </c>
      <c r="EF143" s="229">
        <v>5.5999999999999999E-3</v>
      </c>
      <c r="EG143" s="230">
        <v>2589924</v>
      </c>
      <c r="EH143" s="230">
        <v>4373988</v>
      </c>
      <c r="EI143" s="229">
        <v>-0.40789999999999998</v>
      </c>
      <c r="EJ143" s="229">
        <v>0.31590000000000001</v>
      </c>
      <c r="EK143" s="228">
        <v>109.25</v>
      </c>
      <c r="EL143" s="228">
        <v>31.53</v>
      </c>
      <c r="EM143" s="228">
        <v>552.54</v>
      </c>
      <c r="EN143" s="228">
        <v>19.079999999999998</v>
      </c>
      <c r="EO143" s="228">
        <v>693.33</v>
      </c>
      <c r="EP143" s="228">
        <v>309.05</v>
      </c>
      <c r="EQ143" s="228">
        <v>384.28</v>
      </c>
      <c r="ER143" s="229">
        <v>1.2435</v>
      </c>
      <c r="ES143" s="228">
        <v>214.29</v>
      </c>
      <c r="ET143" s="228">
        <v>120.31</v>
      </c>
      <c r="EU143" s="228">
        <v>764.93</v>
      </c>
      <c r="EV143" s="231">
        <v>154894704</v>
      </c>
      <c r="EW143" s="231">
        <v>1099.53</v>
      </c>
      <c r="EX143" s="231">
        <v>1081.52</v>
      </c>
      <c r="EY143" s="228">
        <v>18.010000000000002</v>
      </c>
      <c r="EZ143" s="229">
        <v>1.67E-2</v>
      </c>
      <c r="FA143" s="229">
        <v>0.76270000000000004</v>
      </c>
      <c r="FB143" s="227" t="s">
        <v>566</v>
      </c>
      <c r="FC143">
        <f t="shared" si="2"/>
        <v>365</v>
      </c>
    </row>
    <row r="144" spans="1:159" ht="17.25" thickBot="1" x14ac:dyDescent="0.3">
      <c r="A144" s="226">
        <v>46135</v>
      </c>
      <c r="B144" s="227" t="s">
        <v>168</v>
      </c>
      <c r="C144" s="227" t="s">
        <v>265</v>
      </c>
      <c r="D144" s="228">
        <v>500</v>
      </c>
      <c r="E144" s="228">
        <v>5</v>
      </c>
      <c r="F144" s="231">
        <v>1408.6</v>
      </c>
      <c r="G144" s="231">
        <v>1394.1</v>
      </c>
      <c r="H144" s="228">
        <v>14.5</v>
      </c>
      <c r="I144" s="229">
        <v>1.04E-2</v>
      </c>
      <c r="J144" s="231">
        <v>1410.5</v>
      </c>
      <c r="K144" s="231">
        <v>1395.8</v>
      </c>
      <c r="L144" s="228">
        <v>14.7</v>
      </c>
      <c r="M144" s="229">
        <v>1.0500000000000001E-2</v>
      </c>
      <c r="N144" s="231">
        <v>1408.6</v>
      </c>
      <c r="O144" s="231">
        <v>1394.1</v>
      </c>
      <c r="P144" s="228">
        <v>14.5</v>
      </c>
      <c r="Q144" s="229">
        <v>1.04E-2</v>
      </c>
      <c r="R144" s="231">
        <v>1416.4</v>
      </c>
      <c r="S144" s="231">
        <v>1402</v>
      </c>
      <c r="T144" s="228">
        <v>14.4</v>
      </c>
      <c r="U144" s="229">
        <v>1.03E-2</v>
      </c>
      <c r="V144" s="231">
        <v>1422.8</v>
      </c>
      <c r="W144" s="231">
        <v>1411.1</v>
      </c>
      <c r="X144" s="228">
        <v>11.7</v>
      </c>
      <c r="Y144" s="229">
        <v>8.3000000000000001E-3</v>
      </c>
      <c r="Z144" s="228">
        <v>-1.9</v>
      </c>
      <c r="AA144" s="228">
        <v>-1.7</v>
      </c>
      <c r="AB144" s="228">
        <v>-0.2</v>
      </c>
      <c r="AC144" s="229">
        <v>-1.2999999999999999E-3</v>
      </c>
      <c r="AD144" s="228">
        <v>-1.9</v>
      </c>
      <c r="AE144" s="228">
        <v>-1.7</v>
      </c>
      <c r="AF144" s="228">
        <v>-0.2</v>
      </c>
      <c r="AG144" s="229">
        <v>-1.2999999999999999E-3</v>
      </c>
      <c r="AH144" s="228">
        <v>5.9</v>
      </c>
      <c r="AI144" s="228">
        <v>6.2</v>
      </c>
      <c r="AJ144" s="228">
        <v>-0.3</v>
      </c>
      <c r="AK144" s="229">
        <v>4.1999999999999997E-3</v>
      </c>
      <c r="AL144" s="228">
        <v>12.3</v>
      </c>
      <c r="AM144" s="228">
        <v>15.3</v>
      </c>
      <c r="AN144" s="228">
        <v>-3</v>
      </c>
      <c r="AO144" s="229">
        <v>8.6999999999999994E-3</v>
      </c>
      <c r="AP144" s="231">
        <v>1406.19</v>
      </c>
      <c r="AQ144" s="231">
        <v>1413.71</v>
      </c>
      <c r="AR144" s="228">
        <v>0</v>
      </c>
      <c r="AS144" s="230">
        <v>1600</v>
      </c>
      <c r="AT144" s="230">
        <v>1438</v>
      </c>
      <c r="AU144" s="228">
        <v>161</v>
      </c>
      <c r="AV144" s="229">
        <v>0.11219999999999999</v>
      </c>
      <c r="AW144" s="228">
        <v>829</v>
      </c>
      <c r="AX144" s="230">
        <v>1139</v>
      </c>
      <c r="AY144" s="228">
        <v>-310</v>
      </c>
      <c r="AZ144" s="229">
        <v>-0.27250000000000002</v>
      </c>
      <c r="BA144" s="228">
        <v>758</v>
      </c>
      <c r="BB144" s="228">
        <v>282</v>
      </c>
      <c r="BC144" s="228">
        <v>476</v>
      </c>
      <c r="BD144" s="229">
        <v>1.6855</v>
      </c>
      <c r="BE144" s="228">
        <v>13</v>
      </c>
      <c r="BF144" s="228">
        <v>17</v>
      </c>
      <c r="BG144" s="228">
        <v>-4</v>
      </c>
      <c r="BH144" s="229">
        <v>-0.24149999999999999</v>
      </c>
      <c r="BI144" s="230">
        <v>2754</v>
      </c>
      <c r="BJ144" s="230">
        <v>12012</v>
      </c>
      <c r="BK144" s="230">
        <v>-9258</v>
      </c>
      <c r="BL144" s="229">
        <v>-0.77070000000000005</v>
      </c>
      <c r="BM144" s="230">
        <v>1458</v>
      </c>
      <c r="BN144" s="230">
        <v>5097</v>
      </c>
      <c r="BO144" s="230">
        <v>-3638</v>
      </c>
      <c r="BP144" s="229">
        <v>-0.71389999999999998</v>
      </c>
      <c r="BQ144" s="230">
        <v>5812</v>
      </c>
      <c r="BR144" s="230">
        <v>18547</v>
      </c>
      <c r="BS144" s="230">
        <v>-12735</v>
      </c>
      <c r="BT144" s="229">
        <v>-0.68659999999999999</v>
      </c>
      <c r="BU144" s="230">
        <v>3076691</v>
      </c>
      <c r="BV144" s="230">
        <v>8376306</v>
      </c>
      <c r="BW144" s="230">
        <v>-5299615</v>
      </c>
      <c r="BX144" s="229">
        <v>-0.63270000000000004</v>
      </c>
      <c r="BY144" s="230">
        <v>2419</v>
      </c>
      <c r="BZ144" s="230">
        <v>2438</v>
      </c>
      <c r="CA144" s="228">
        <v>-19</v>
      </c>
      <c r="CB144" s="229">
        <v>-7.9000000000000008E-3</v>
      </c>
      <c r="CC144" s="230">
        <v>1361</v>
      </c>
      <c r="CD144" s="230">
        <v>1995</v>
      </c>
      <c r="CE144" s="228">
        <v>-634</v>
      </c>
      <c r="CF144" s="229">
        <v>-0.31790000000000002</v>
      </c>
      <c r="CG144" s="228">
        <v>945</v>
      </c>
      <c r="CH144" s="228">
        <v>336</v>
      </c>
      <c r="CI144" s="228">
        <v>609</v>
      </c>
      <c r="CJ144" s="229">
        <v>1.8148</v>
      </c>
      <c r="CK144" s="228">
        <v>113</v>
      </c>
      <c r="CL144" s="228">
        <v>107</v>
      </c>
      <c r="CM144" s="228">
        <v>6</v>
      </c>
      <c r="CN144" s="229">
        <v>5.1900000000000002E-2</v>
      </c>
      <c r="CO144" s="230">
        <v>1526</v>
      </c>
      <c r="CP144" s="230">
        <v>1785</v>
      </c>
      <c r="CQ144" s="228">
        <v>-259</v>
      </c>
      <c r="CR144" s="229">
        <v>-0.14499999999999999</v>
      </c>
      <c r="CS144" s="230">
        <v>1060</v>
      </c>
      <c r="CT144" s="230">
        <v>1116</v>
      </c>
      <c r="CU144" s="228">
        <v>-56</v>
      </c>
      <c r="CV144" s="229">
        <v>-0.05</v>
      </c>
      <c r="CW144" s="230">
        <v>5005</v>
      </c>
      <c r="CX144" s="230">
        <v>5339</v>
      </c>
      <c r="CY144" s="228">
        <v>-334</v>
      </c>
      <c r="CZ144" s="229">
        <v>-6.2600000000000003E-2</v>
      </c>
      <c r="DA144" s="228">
        <v>25.05</v>
      </c>
      <c r="DB144" s="228">
        <v>29.44</v>
      </c>
      <c r="DC144" s="228">
        <v>-4.3899999999999997</v>
      </c>
      <c r="DD144" s="228">
        <v>-4.3899999999999997</v>
      </c>
      <c r="DE144" s="228">
        <v>25.26</v>
      </c>
      <c r="DF144" s="228">
        <v>25.28</v>
      </c>
      <c r="DG144" s="228">
        <v>-0.21</v>
      </c>
      <c r="DH144" s="228">
        <v>-0.02</v>
      </c>
      <c r="DI144" s="228">
        <v>24.75</v>
      </c>
      <c r="DJ144" s="228">
        <v>30.23</v>
      </c>
      <c r="DK144" s="228">
        <v>-5.48</v>
      </c>
      <c r="DL144" s="228">
        <v>-5.48</v>
      </c>
      <c r="DM144" s="228">
        <v>25.61</v>
      </c>
      <c r="DN144" s="228">
        <v>27.57</v>
      </c>
      <c r="DO144" s="228">
        <v>-1.96</v>
      </c>
      <c r="DP144" s="228">
        <v>-1.96</v>
      </c>
      <c r="DQ144" s="228">
        <v>0.69</v>
      </c>
      <c r="DR144" s="228">
        <v>0.63</v>
      </c>
      <c r="DS144" s="228">
        <v>0.06</v>
      </c>
      <c r="DT144" s="229">
        <v>9.5200000000000007E-2</v>
      </c>
      <c r="DU144" s="231">
        <v>1420</v>
      </c>
      <c r="DV144" s="231">
        <v>1300</v>
      </c>
      <c r="DW144" s="228">
        <v>0.53</v>
      </c>
      <c r="DX144" s="228">
        <v>0.42</v>
      </c>
      <c r="DY144" s="228">
        <v>0.11</v>
      </c>
      <c r="DZ144" s="229">
        <v>0.26190000000000002</v>
      </c>
      <c r="EA144" s="229">
        <v>0.43740000000000001</v>
      </c>
      <c r="EB144" s="230">
        <v>3145000</v>
      </c>
      <c r="EC144" s="229">
        <v>5.4999999999999997E-3</v>
      </c>
      <c r="ED144" s="229">
        <v>0.43740000000000001</v>
      </c>
      <c r="EE144" s="228">
        <v>7.52</v>
      </c>
      <c r="EF144" s="229">
        <v>5.3E-3</v>
      </c>
      <c r="EG144" s="230">
        <v>1489241</v>
      </c>
      <c r="EH144" s="230">
        <v>2594700</v>
      </c>
      <c r="EI144" s="229">
        <v>-0.42599999999999999</v>
      </c>
      <c r="EJ144" s="229">
        <v>0.48399999999999999</v>
      </c>
      <c r="EK144" s="231">
        <v>2828.97</v>
      </c>
      <c r="EL144" s="231">
        <v>1422.15</v>
      </c>
      <c r="EM144" s="231">
        <v>1601.21</v>
      </c>
      <c r="EN144" s="228">
        <v>150.69</v>
      </c>
      <c r="EO144" s="231">
        <v>5852.33</v>
      </c>
      <c r="EP144" s="231">
        <v>18808.37</v>
      </c>
      <c r="EQ144" s="231">
        <v>-12956.04</v>
      </c>
      <c r="ER144" s="229">
        <v>-0.68879999999999997</v>
      </c>
      <c r="ES144" s="231">
        <v>1500.92</v>
      </c>
      <c r="ET144" s="228">
        <v>990.12</v>
      </c>
      <c r="EU144" s="231">
        <v>2425.29</v>
      </c>
      <c r="EV144" s="231">
        <v>71801274</v>
      </c>
      <c r="EW144" s="231">
        <v>4916.33</v>
      </c>
      <c r="EX144" s="231">
        <v>5218.57</v>
      </c>
      <c r="EY144" s="228">
        <v>-302.24</v>
      </c>
      <c r="EZ144" s="229">
        <v>-5.79E-2</v>
      </c>
      <c r="FA144" s="229">
        <v>0.49490000000000001</v>
      </c>
      <c r="FB144" s="227" t="s">
        <v>693</v>
      </c>
      <c r="FC144">
        <f t="shared" si="2"/>
        <v>1058</v>
      </c>
    </row>
    <row r="145" spans="1:159" ht="17.25" thickBot="1" x14ac:dyDescent="0.3">
      <c r="A145" s="226">
        <v>46135</v>
      </c>
      <c r="B145" s="227" t="s">
        <v>161</v>
      </c>
      <c r="C145" s="227" t="s">
        <v>584</v>
      </c>
      <c r="D145" s="228">
        <v>6400</v>
      </c>
      <c r="E145" s="228">
        <v>5</v>
      </c>
      <c r="F145" s="228">
        <v>81.38</v>
      </c>
      <c r="G145" s="228">
        <v>82.81</v>
      </c>
      <c r="H145" s="228">
        <v>-1.43</v>
      </c>
      <c r="I145" s="229">
        <v>-1.7299999999999999E-2</v>
      </c>
      <c r="J145" s="228">
        <v>81.459999999999994</v>
      </c>
      <c r="K145" s="228">
        <v>82.63</v>
      </c>
      <c r="L145" s="228">
        <v>-1.17</v>
      </c>
      <c r="M145" s="229">
        <v>-1.4200000000000001E-2</v>
      </c>
      <c r="N145" s="228">
        <v>81.38</v>
      </c>
      <c r="O145" s="228">
        <v>82.81</v>
      </c>
      <c r="P145" s="228">
        <v>-1.43</v>
      </c>
      <c r="Q145" s="229">
        <v>-1.7299999999999999E-2</v>
      </c>
      <c r="R145" s="228">
        <v>80.790000000000006</v>
      </c>
      <c r="S145" s="228">
        <v>83.08</v>
      </c>
      <c r="T145" s="228">
        <v>-2.29</v>
      </c>
      <c r="U145" s="229">
        <v>-2.76E-2</v>
      </c>
      <c r="V145" s="228">
        <v>80.650000000000006</v>
      </c>
      <c r="W145" s="228">
        <v>83.6</v>
      </c>
      <c r="X145" s="228">
        <v>-2.95</v>
      </c>
      <c r="Y145" s="229">
        <v>-3.5299999999999998E-2</v>
      </c>
      <c r="Z145" s="228">
        <v>-0.08</v>
      </c>
      <c r="AA145" s="228">
        <v>0.18</v>
      </c>
      <c r="AB145" s="228">
        <v>-0.26</v>
      </c>
      <c r="AC145" s="229">
        <v>-1E-3</v>
      </c>
      <c r="AD145" s="228">
        <v>-0.08</v>
      </c>
      <c r="AE145" s="228">
        <v>0.18</v>
      </c>
      <c r="AF145" s="228">
        <v>-0.26</v>
      </c>
      <c r="AG145" s="229">
        <v>-1E-3</v>
      </c>
      <c r="AH145" s="228">
        <v>-0.67</v>
      </c>
      <c r="AI145" s="228">
        <v>0.45</v>
      </c>
      <c r="AJ145" s="228">
        <v>-1.1200000000000001</v>
      </c>
      <c r="AK145" s="229">
        <v>-8.2000000000000007E-3</v>
      </c>
      <c r="AL145" s="228">
        <v>-0.81</v>
      </c>
      <c r="AM145" s="228">
        <v>0.97</v>
      </c>
      <c r="AN145" s="228">
        <v>-1.78</v>
      </c>
      <c r="AO145" s="229">
        <v>-9.9000000000000008E-3</v>
      </c>
      <c r="AP145" s="228">
        <v>82.2</v>
      </c>
      <c r="AQ145" s="228">
        <v>81.58</v>
      </c>
      <c r="AR145" s="228">
        <v>0</v>
      </c>
      <c r="AS145" s="228">
        <v>714</v>
      </c>
      <c r="AT145" s="228">
        <v>125</v>
      </c>
      <c r="AU145" s="228">
        <v>589</v>
      </c>
      <c r="AV145" s="229">
        <v>4.7058</v>
      </c>
      <c r="AW145" s="228">
        <v>352</v>
      </c>
      <c r="AX145" s="228">
        <v>75</v>
      </c>
      <c r="AY145" s="228">
        <v>277</v>
      </c>
      <c r="AZ145" s="229">
        <v>3.7071000000000001</v>
      </c>
      <c r="BA145" s="228">
        <v>354</v>
      </c>
      <c r="BB145" s="228">
        <v>50</v>
      </c>
      <c r="BC145" s="228">
        <v>305</v>
      </c>
      <c r="BD145" s="229">
        <v>6.1449999999999996</v>
      </c>
      <c r="BE145" s="228">
        <v>8</v>
      </c>
      <c r="BF145" s="228">
        <v>1</v>
      </c>
      <c r="BG145" s="228">
        <v>7</v>
      </c>
      <c r="BH145" s="229">
        <v>8.3529</v>
      </c>
      <c r="BI145" s="228">
        <v>314</v>
      </c>
      <c r="BJ145" s="228">
        <v>248</v>
      </c>
      <c r="BK145" s="228">
        <v>66</v>
      </c>
      <c r="BL145" s="229">
        <v>0.26500000000000001</v>
      </c>
      <c r="BM145" s="228">
        <v>229</v>
      </c>
      <c r="BN145" s="228">
        <v>115</v>
      </c>
      <c r="BO145" s="228">
        <v>114</v>
      </c>
      <c r="BP145" s="229">
        <v>0.99770000000000003</v>
      </c>
      <c r="BQ145" s="230">
        <v>1257</v>
      </c>
      <c r="BR145" s="228">
        <v>488</v>
      </c>
      <c r="BS145" s="228">
        <v>769</v>
      </c>
      <c r="BT145" s="229">
        <v>1.5763</v>
      </c>
      <c r="BU145" s="230">
        <v>9395417</v>
      </c>
      <c r="BV145" s="230">
        <v>15669452</v>
      </c>
      <c r="BW145" s="230">
        <v>-6274035</v>
      </c>
      <c r="BX145" s="229">
        <v>-0.40039999999999998</v>
      </c>
      <c r="BY145" s="228">
        <v>694</v>
      </c>
      <c r="BZ145" s="228">
        <v>739</v>
      </c>
      <c r="CA145" s="228">
        <v>-45</v>
      </c>
      <c r="CB145" s="229">
        <v>-6.0900000000000003E-2</v>
      </c>
      <c r="CC145" s="228">
        <v>364</v>
      </c>
      <c r="CD145" s="228">
        <v>635</v>
      </c>
      <c r="CE145" s="228">
        <v>-271</v>
      </c>
      <c r="CF145" s="229">
        <v>-0.42709999999999998</v>
      </c>
      <c r="CG145" s="228">
        <v>320</v>
      </c>
      <c r="CH145" s="228">
        <v>98</v>
      </c>
      <c r="CI145" s="228">
        <v>222</v>
      </c>
      <c r="CJ145" s="229">
        <v>2.2751999999999999</v>
      </c>
      <c r="CK145" s="228">
        <v>10</v>
      </c>
      <c r="CL145" s="228">
        <v>6</v>
      </c>
      <c r="CM145" s="228">
        <v>4</v>
      </c>
      <c r="CN145" s="229">
        <v>0.621</v>
      </c>
      <c r="CO145" s="228">
        <v>323</v>
      </c>
      <c r="CP145" s="228">
        <v>301</v>
      </c>
      <c r="CQ145" s="228">
        <v>21</v>
      </c>
      <c r="CR145" s="229">
        <v>7.1300000000000002E-2</v>
      </c>
      <c r="CS145" s="228">
        <v>266</v>
      </c>
      <c r="CT145" s="228">
        <v>246</v>
      </c>
      <c r="CU145" s="228">
        <v>20</v>
      </c>
      <c r="CV145" s="229">
        <v>8.2900000000000001E-2</v>
      </c>
      <c r="CW145" s="230">
        <v>1283</v>
      </c>
      <c r="CX145" s="230">
        <v>1286</v>
      </c>
      <c r="CY145" s="228">
        <v>-3</v>
      </c>
      <c r="CZ145" s="229">
        <v>-2.5000000000000001E-3</v>
      </c>
      <c r="DA145" s="228">
        <v>35.99</v>
      </c>
      <c r="DB145" s="228">
        <v>32.08</v>
      </c>
      <c r="DC145" s="228">
        <v>3.91</v>
      </c>
      <c r="DD145" s="228">
        <v>3.91</v>
      </c>
      <c r="DE145" s="228">
        <v>34.69</v>
      </c>
      <c r="DF145" s="228">
        <v>34.700000000000003</v>
      </c>
      <c r="DG145" s="228">
        <v>1.3</v>
      </c>
      <c r="DH145" s="228">
        <v>-0.01</v>
      </c>
      <c r="DI145" s="228">
        <v>35.619999999999997</v>
      </c>
      <c r="DJ145" s="228">
        <v>31.41</v>
      </c>
      <c r="DK145" s="228">
        <v>4.21</v>
      </c>
      <c r="DL145" s="228">
        <v>4.21</v>
      </c>
      <c r="DM145" s="228">
        <v>36.49</v>
      </c>
      <c r="DN145" s="228">
        <v>33.549999999999997</v>
      </c>
      <c r="DO145" s="228">
        <v>2.94</v>
      </c>
      <c r="DP145" s="228">
        <v>2.94</v>
      </c>
      <c r="DQ145" s="228">
        <v>0.82</v>
      </c>
      <c r="DR145" s="228">
        <v>0.82</v>
      </c>
      <c r="DS145" s="228">
        <v>0</v>
      </c>
      <c r="DT145" s="229">
        <v>0</v>
      </c>
      <c r="DU145" s="228">
        <v>90</v>
      </c>
      <c r="DV145" s="228">
        <v>77</v>
      </c>
      <c r="DW145" s="228">
        <v>0.73</v>
      </c>
      <c r="DX145" s="228">
        <v>0.46</v>
      </c>
      <c r="DY145" s="228">
        <v>0.27</v>
      </c>
      <c r="DZ145" s="229">
        <v>0.58699999999999997</v>
      </c>
      <c r="EA145" s="229">
        <v>0.47589999999999999</v>
      </c>
      <c r="EB145" s="230">
        <v>12793600</v>
      </c>
      <c r="EC145" s="229">
        <v>-7.1999999999999998E-3</v>
      </c>
      <c r="ED145" s="229">
        <v>0.47589999999999999</v>
      </c>
      <c r="EE145" s="228">
        <v>-0.62</v>
      </c>
      <c r="EF145" s="229">
        <v>-7.4999999999999997E-3</v>
      </c>
      <c r="EG145" s="230">
        <v>3710811</v>
      </c>
      <c r="EH145" s="230">
        <v>6811980</v>
      </c>
      <c r="EI145" s="229">
        <v>-0.45529999999999998</v>
      </c>
      <c r="EJ145" s="229">
        <v>0.39500000000000002</v>
      </c>
      <c r="EK145" s="228">
        <v>328.86</v>
      </c>
      <c r="EL145" s="228">
        <v>223.66</v>
      </c>
      <c r="EM145" s="228">
        <v>718.54</v>
      </c>
      <c r="EN145" s="228">
        <v>36.700000000000003</v>
      </c>
      <c r="EO145" s="231">
        <v>1271.06</v>
      </c>
      <c r="EP145" s="228">
        <v>500.56</v>
      </c>
      <c r="EQ145" s="228">
        <v>770.5</v>
      </c>
      <c r="ER145" s="229">
        <v>1.5392999999999999</v>
      </c>
      <c r="ES145" s="228">
        <v>335.25</v>
      </c>
      <c r="ET145" s="228">
        <v>250.25</v>
      </c>
      <c r="EU145" s="228">
        <v>691.7</v>
      </c>
      <c r="EV145" s="231">
        <v>491233252</v>
      </c>
      <c r="EW145" s="231">
        <v>1277.2</v>
      </c>
      <c r="EX145" s="231">
        <v>1295.79</v>
      </c>
      <c r="EY145" s="228">
        <v>-18.59</v>
      </c>
      <c r="EZ145" s="229">
        <v>-1.43E-2</v>
      </c>
      <c r="FA145" s="229">
        <v>0.32090000000000002</v>
      </c>
      <c r="FB145" s="227" t="s">
        <v>567</v>
      </c>
      <c r="FC145">
        <f t="shared" si="2"/>
        <v>330</v>
      </c>
    </row>
    <row r="146" spans="1:159" ht="17.25" thickBot="1" x14ac:dyDescent="0.3">
      <c r="A146" s="226">
        <v>46135</v>
      </c>
      <c r="B146" s="227" t="s">
        <v>181</v>
      </c>
      <c r="C146" s="227" t="s">
        <v>266</v>
      </c>
      <c r="D146" s="228">
        <v>65</v>
      </c>
      <c r="E146" s="228">
        <v>5</v>
      </c>
      <c r="F146" s="231">
        <v>24163</v>
      </c>
      <c r="G146" s="231">
        <v>24381.200000000001</v>
      </c>
      <c r="H146" s="228">
        <v>-218.2</v>
      </c>
      <c r="I146" s="229">
        <v>-8.8999999999999999E-3</v>
      </c>
      <c r="J146" s="231">
        <v>24173.05</v>
      </c>
      <c r="K146" s="231">
        <v>24378.1</v>
      </c>
      <c r="L146" s="228">
        <v>-205.05</v>
      </c>
      <c r="M146" s="229">
        <v>-8.3999999999999995E-3</v>
      </c>
      <c r="N146" s="231">
        <v>24163</v>
      </c>
      <c r="O146" s="231">
        <v>24381.200000000001</v>
      </c>
      <c r="P146" s="228">
        <v>-218.2</v>
      </c>
      <c r="Q146" s="229">
        <v>-8.8999999999999999E-3</v>
      </c>
      <c r="R146" s="231">
        <v>24257.9</v>
      </c>
      <c r="S146" s="231">
        <v>24510.400000000001</v>
      </c>
      <c r="T146" s="228">
        <v>-252.5</v>
      </c>
      <c r="U146" s="229">
        <v>-1.03E-2</v>
      </c>
      <c r="V146" s="231">
        <v>24410.6</v>
      </c>
      <c r="W146" s="231">
        <v>24653.599999999999</v>
      </c>
      <c r="X146" s="228">
        <v>-243</v>
      </c>
      <c r="Y146" s="229">
        <v>-9.9000000000000008E-3</v>
      </c>
      <c r="Z146" s="228">
        <v>-10.050000000000001</v>
      </c>
      <c r="AA146" s="228">
        <v>3.1</v>
      </c>
      <c r="AB146" s="228">
        <v>-13.15</v>
      </c>
      <c r="AC146" s="229">
        <v>-4.0000000000000002E-4</v>
      </c>
      <c r="AD146" s="228">
        <v>-10.050000000000001</v>
      </c>
      <c r="AE146" s="228">
        <v>3.1</v>
      </c>
      <c r="AF146" s="228">
        <v>-13.15</v>
      </c>
      <c r="AG146" s="229">
        <v>-4.0000000000000002E-4</v>
      </c>
      <c r="AH146" s="228">
        <v>84.85</v>
      </c>
      <c r="AI146" s="228">
        <v>132.30000000000001</v>
      </c>
      <c r="AJ146" s="228">
        <v>-47.45</v>
      </c>
      <c r="AK146" s="229">
        <v>3.5000000000000001E-3</v>
      </c>
      <c r="AL146" s="228">
        <v>237.55</v>
      </c>
      <c r="AM146" s="228">
        <v>275.5</v>
      </c>
      <c r="AN146" s="228">
        <v>-37.950000000000003</v>
      </c>
      <c r="AO146" s="229">
        <v>9.7999999999999997E-3</v>
      </c>
      <c r="AP146" s="231">
        <v>24194.95</v>
      </c>
      <c r="AQ146" s="231">
        <v>24308.05</v>
      </c>
      <c r="AR146" s="228">
        <v>0</v>
      </c>
      <c r="AS146" s="230">
        <v>20383</v>
      </c>
      <c r="AT146" s="230">
        <v>11637</v>
      </c>
      <c r="AU146" s="230">
        <v>8745</v>
      </c>
      <c r="AV146" s="229">
        <v>0.75149999999999995</v>
      </c>
      <c r="AW146" s="230">
        <v>12336</v>
      </c>
      <c r="AX146" s="230">
        <v>7956</v>
      </c>
      <c r="AY146" s="230">
        <v>4380</v>
      </c>
      <c r="AZ146" s="229">
        <v>0.55059999999999998</v>
      </c>
      <c r="BA146" s="230">
        <v>7361</v>
      </c>
      <c r="BB146" s="230">
        <v>3080</v>
      </c>
      <c r="BC146" s="230">
        <v>4281</v>
      </c>
      <c r="BD146" s="229">
        <v>1.3900999999999999</v>
      </c>
      <c r="BE146" s="228">
        <v>686</v>
      </c>
      <c r="BF146" s="228">
        <v>602</v>
      </c>
      <c r="BG146" s="228">
        <v>84</v>
      </c>
      <c r="BH146" s="229">
        <v>0.13919999999999999</v>
      </c>
      <c r="BI146" s="230">
        <v>3181314</v>
      </c>
      <c r="BJ146" s="230">
        <v>2684741</v>
      </c>
      <c r="BK146" s="230">
        <v>496572</v>
      </c>
      <c r="BL146" s="229">
        <v>0.185</v>
      </c>
      <c r="BM146" s="230">
        <v>2797193</v>
      </c>
      <c r="BN146" s="230">
        <v>2757086</v>
      </c>
      <c r="BO146" s="230">
        <v>40107</v>
      </c>
      <c r="BP146" s="229">
        <v>1.4500000000000001E-2</v>
      </c>
      <c r="BQ146" s="230">
        <v>5998889</v>
      </c>
      <c r="BR146" s="230">
        <v>5453465</v>
      </c>
      <c r="BS146" s="230">
        <v>545424</v>
      </c>
      <c r="BT146" s="229">
        <v>0.1</v>
      </c>
      <c r="BU146" s="228">
        <v>0</v>
      </c>
      <c r="BV146" s="228">
        <v>0</v>
      </c>
      <c r="BW146" s="228">
        <v>0</v>
      </c>
      <c r="BX146" s="229">
        <v>0</v>
      </c>
      <c r="BY146" s="230">
        <v>49101</v>
      </c>
      <c r="BZ146" s="230">
        <v>49200</v>
      </c>
      <c r="CA146" s="228">
        <v>-98</v>
      </c>
      <c r="CB146" s="229">
        <v>-2E-3</v>
      </c>
      <c r="CC146" s="230">
        <v>34895</v>
      </c>
      <c r="CD146" s="230">
        <v>39184</v>
      </c>
      <c r="CE146" s="230">
        <v>-4289</v>
      </c>
      <c r="CF146" s="229">
        <v>-0.1095</v>
      </c>
      <c r="CG146" s="230">
        <v>11603</v>
      </c>
      <c r="CH146" s="230">
        <v>7583</v>
      </c>
      <c r="CI146" s="230">
        <v>4019</v>
      </c>
      <c r="CJ146" s="229">
        <v>0.53</v>
      </c>
      <c r="CK146" s="230">
        <v>2604</v>
      </c>
      <c r="CL146" s="230">
        <v>2432</v>
      </c>
      <c r="CM146" s="228">
        <v>172</v>
      </c>
      <c r="CN146" s="229">
        <v>7.0499999999999993E-2</v>
      </c>
      <c r="CO146" s="230">
        <v>549533</v>
      </c>
      <c r="CP146" s="230">
        <v>451408</v>
      </c>
      <c r="CQ146" s="230">
        <v>98125</v>
      </c>
      <c r="CR146" s="229">
        <v>0.21740000000000001</v>
      </c>
      <c r="CS146" s="230">
        <v>507333</v>
      </c>
      <c r="CT146" s="230">
        <v>459171</v>
      </c>
      <c r="CU146" s="230">
        <v>48161</v>
      </c>
      <c r="CV146" s="229">
        <v>0.10489999999999999</v>
      </c>
      <c r="CW146" s="230">
        <v>1105967</v>
      </c>
      <c r="CX146" s="230">
        <v>959779</v>
      </c>
      <c r="CY146" s="230">
        <v>146188</v>
      </c>
      <c r="CZ146" s="229">
        <v>0.15229999999999999</v>
      </c>
      <c r="DA146" s="228">
        <v>18.309999999999999</v>
      </c>
      <c r="DB146" s="228">
        <v>18.420000000000002</v>
      </c>
      <c r="DC146" s="228">
        <v>-0.11</v>
      </c>
      <c r="DD146" s="228">
        <v>-0.11</v>
      </c>
      <c r="DE146" s="228">
        <v>17.66</v>
      </c>
      <c r="DF146" s="228">
        <v>17.66</v>
      </c>
      <c r="DG146" s="228">
        <v>0.65</v>
      </c>
      <c r="DH146" s="228">
        <v>0</v>
      </c>
      <c r="DI146" s="228">
        <v>17.03</v>
      </c>
      <c r="DJ146" s="228">
        <v>17.670000000000002</v>
      </c>
      <c r="DK146" s="228">
        <v>-0.64</v>
      </c>
      <c r="DL146" s="228">
        <v>-0.64</v>
      </c>
      <c r="DM146" s="228">
        <v>19.809999999999999</v>
      </c>
      <c r="DN146" s="228">
        <v>19.16</v>
      </c>
      <c r="DO146" s="228">
        <v>0.65</v>
      </c>
      <c r="DP146" s="228">
        <v>0.65</v>
      </c>
      <c r="DQ146" s="228">
        <v>0.92</v>
      </c>
      <c r="DR146" s="228">
        <v>1.02</v>
      </c>
      <c r="DS146" s="228">
        <v>-0.1</v>
      </c>
      <c r="DT146" s="229">
        <v>-9.8000000000000004E-2</v>
      </c>
      <c r="DU146" s="231">
        <v>26000</v>
      </c>
      <c r="DV146" s="231">
        <v>23000</v>
      </c>
      <c r="DW146" s="228">
        <v>0.88</v>
      </c>
      <c r="DX146" s="228">
        <v>1.03</v>
      </c>
      <c r="DY146" s="228">
        <v>-0.15</v>
      </c>
      <c r="DZ146" s="229">
        <v>-0.14560000000000001</v>
      </c>
      <c r="EA146" s="229">
        <v>0.2893</v>
      </c>
      <c r="EB146" s="230">
        <v>4144985</v>
      </c>
      <c r="EC146" s="229">
        <v>3.8999999999999998E-3</v>
      </c>
      <c r="ED146" s="229">
        <v>0.2893</v>
      </c>
      <c r="EE146" s="228">
        <v>113.1</v>
      </c>
      <c r="EF146" s="229">
        <v>4.7000000000000002E-3</v>
      </c>
      <c r="EG146" s="228">
        <v>0</v>
      </c>
      <c r="EH146" s="228">
        <v>0</v>
      </c>
      <c r="EI146" s="229">
        <v>0</v>
      </c>
      <c r="EJ146" s="229">
        <v>0</v>
      </c>
      <c r="EK146" s="231">
        <v>3272310.88</v>
      </c>
      <c r="EL146" s="231">
        <v>2757883.21</v>
      </c>
      <c r="EM146" s="231">
        <v>20451.330000000002</v>
      </c>
      <c r="EN146" s="228">
        <v>762.73</v>
      </c>
      <c r="EO146" s="231">
        <v>6050645.4100000001</v>
      </c>
      <c r="EP146" s="231">
        <v>5530492.25</v>
      </c>
      <c r="EQ146" s="231">
        <v>520153.16</v>
      </c>
      <c r="ER146" s="229">
        <v>9.4100000000000003E-2</v>
      </c>
      <c r="ES146" s="231">
        <v>570807.62</v>
      </c>
      <c r="ET146" s="231">
        <v>490939.57</v>
      </c>
      <c r="EU146" s="231">
        <v>49173.45</v>
      </c>
      <c r="EV146" s="228">
        <v>0</v>
      </c>
      <c r="EW146" s="231">
        <v>1110920.6299999999</v>
      </c>
      <c r="EX146" s="231">
        <v>964565.68</v>
      </c>
      <c r="EY146" s="231">
        <v>146354.95000000001</v>
      </c>
      <c r="EZ146" s="229">
        <v>0.1517</v>
      </c>
      <c r="FA146" s="229">
        <v>0</v>
      </c>
      <c r="FB146" s="227" t="s">
        <v>567</v>
      </c>
      <c r="FC146">
        <f t="shared" si="2"/>
        <v>14206</v>
      </c>
    </row>
    <row r="147" spans="1:159" ht="17.25" thickBot="1" x14ac:dyDescent="0.3">
      <c r="A147" s="226">
        <v>46135</v>
      </c>
      <c r="B147" s="227" t="s">
        <v>181</v>
      </c>
      <c r="C147" s="227" t="s">
        <v>565</v>
      </c>
      <c r="D147" s="228">
        <v>25</v>
      </c>
      <c r="E147" s="228">
        <v>5</v>
      </c>
      <c r="F147" s="231">
        <v>70376</v>
      </c>
      <c r="G147" s="231">
        <v>71349.2</v>
      </c>
      <c r="H147" s="228">
        <v>-973.2</v>
      </c>
      <c r="I147" s="229">
        <v>-1.3599999999999999E-2</v>
      </c>
      <c r="J147" s="231">
        <v>70410.350000000006</v>
      </c>
      <c r="K147" s="231">
        <v>71346.2</v>
      </c>
      <c r="L147" s="228">
        <v>-935.85</v>
      </c>
      <c r="M147" s="229">
        <v>-1.3100000000000001E-2</v>
      </c>
      <c r="N147" s="231">
        <v>70376</v>
      </c>
      <c r="O147" s="231">
        <v>71349.2</v>
      </c>
      <c r="P147" s="228">
        <v>-973.2</v>
      </c>
      <c r="Q147" s="229">
        <v>-1.3599999999999999E-2</v>
      </c>
      <c r="R147" s="231">
        <v>70717</v>
      </c>
      <c r="S147" s="231">
        <v>71529</v>
      </c>
      <c r="T147" s="228">
        <v>-812</v>
      </c>
      <c r="U147" s="229">
        <v>-1.14E-2</v>
      </c>
      <c r="V147" s="231">
        <v>67400</v>
      </c>
      <c r="W147" s="231">
        <v>67400</v>
      </c>
      <c r="X147" s="228">
        <v>0</v>
      </c>
      <c r="Y147" s="229">
        <v>0</v>
      </c>
      <c r="Z147" s="228">
        <v>-34.35</v>
      </c>
      <c r="AA147" s="228">
        <v>3</v>
      </c>
      <c r="AB147" s="228">
        <v>-37.35</v>
      </c>
      <c r="AC147" s="229">
        <v>-5.0000000000000001E-4</v>
      </c>
      <c r="AD147" s="228">
        <v>-34.35</v>
      </c>
      <c r="AE147" s="228">
        <v>3</v>
      </c>
      <c r="AF147" s="228">
        <v>-37.35</v>
      </c>
      <c r="AG147" s="229">
        <v>-5.0000000000000001E-4</v>
      </c>
      <c r="AH147" s="228">
        <v>306.64999999999998</v>
      </c>
      <c r="AI147" s="228">
        <v>182.8</v>
      </c>
      <c r="AJ147" s="228">
        <v>123.85</v>
      </c>
      <c r="AK147" s="229">
        <v>4.4000000000000003E-3</v>
      </c>
      <c r="AL147" s="231">
        <v>-3010.35</v>
      </c>
      <c r="AM147" s="231">
        <v>-3946.2</v>
      </c>
      <c r="AN147" s="228">
        <v>935.85</v>
      </c>
      <c r="AO147" s="229">
        <v>-4.2799999999999998E-2</v>
      </c>
      <c r="AP147" s="231">
        <v>70573.39</v>
      </c>
      <c r="AQ147" s="231">
        <v>70815.240000000005</v>
      </c>
      <c r="AR147" s="228">
        <v>0</v>
      </c>
      <c r="AS147" s="228">
        <v>67</v>
      </c>
      <c r="AT147" s="228">
        <v>60</v>
      </c>
      <c r="AU147" s="228">
        <v>8</v>
      </c>
      <c r="AV147" s="229">
        <v>0.1265</v>
      </c>
      <c r="AW147" s="228">
        <v>42</v>
      </c>
      <c r="AX147" s="228">
        <v>46</v>
      </c>
      <c r="AY147" s="228">
        <v>-4</v>
      </c>
      <c r="AZ147" s="229">
        <v>-9.5799999999999996E-2</v>
      </c>
      <c r="BA147" s="228">
        <v>26</v>
      </c>
      <c r="BB147" s="228">
        <v>14</v>
      </c>
      <c r="BC147" s="228">
        <v>12</v>
      </c>
      <c r="BD147" s="229">
        <v>0.86080000000000001</v>
      </c>
      <c r="BE147" s="228">
        <v>0</v>
      </c>
      <c r="BF147" s="228">
        <v>0</v>
      </c>
      <c r="BG147" s="228">
        <v>0</v>
      </c>
      <c r="BH147" s="229">
        <v>0</v>
      </c>
      <c r="BI147" s="228">
        <v>80</v>
      </c>
      <c r="BJ147" s="228">
        <v>115</v>
      </c>
      <c r="BK147" s="228">
        <v>-35</v>
      </c>
      <c r="BL147" s="229">
        <v>-0.30520000000000003</v>
      </c>
      <c r="BM147" s="228">
        <v>61</v>
      </c>
      <c r="BN147" s="228">
        <v>94</v>
      </c>
      <c r="BO147" s="228">
        <v>-34</v>
      </c>
      <c r="BP147" s="229">
        <v>-0.35570000000000002</v>
      </c>
      <c r="BQ147" s="228">
        <v>208</v>
      </c>
      <c r="BR147" s="228">
        <v>269</v>
      </c>
      <c r="BS147" s="228">
        <v>-61</v>
      </c>
      <c r="BT147" s="229">
        <v>-0.22689999999999999</v>
      </c>
      <c r="BU147" s="228">
        <v>0</v>
      </c>
      <c r="BV147" s="228">
        <v>0</v>
      </c>
      <c r="BW147" s="228">
        <v>0</v>
      </c>
      <c r="BX147" s="229">
        <v>0</v>
      </c>
      <c r="BY147" s="228">
        <v>171</v>
      </c>
      <c r="BZ147" s="228">
        <v>165</v>
      </c>
      <c r="CA147" s="228">
        <v>5</v>
      </c>
      <c r="CB147" s="229">
        <v>3.3000000000000002E-2</v>
      </c>
      <c r="CC147" s="228">
        <v>125</v>
      </c>
      <c r="CD147" s="228">
        <v>132</v>
      </c>
      <c r="CE147" s="228">
        <v>-7</v>
      </c>
      <c r="CF147" s="229">
        <v>-4.9399999999999999E-2</v>
      </c>
      <c r="CG147" s="228">
        <v>45</v>
      </c>
      <c r="CH147" s="228">
        <v>33</v>
      </c>
      <c r="CI147" s="228">
        <v>12</v>
      </c>
      <c r="CJ147" s="229">
        <v>0.35980000000000001</v>
      </c>
      <c r="CK147" s="228">
        <v>0</v>
      </c>
      <c r="CL147" s="228">
        <v>0</v>
      </c>
      <c r="CM147" s="228">
        <v>0</v>
      </c>
      <c r="CN147" s="229">
        <v>0</v>
      </c>
      <c r="CO147" s="228">
        <v>125</v>
      </c>
      <c r="CP147" s="228">
        <v>119</v>
      </c>
      <c r="CQ147" s="228">
        <v>6</v>
      </c>
      <c r="CR147" s="229">
        <v>5.1799999999999999E-2</v>
      </c>
      <c r="CS147" s="228">
        <v>66</v>
      </c>
      <c r="CT147" s="228">
        <v>74</v>
      </c>
      <c r="CU147" s="228">
        <v>-8</v>
      </c>
      <c r="CV147" s="229">
        <v>-0.10290000000000001</v>
      </c>
      <c r="CW147" s="228">
        <v>362</v>
      </c>
      <c r="CX147" s="228">
        <v>358</v>
      </c>
      <c r="CY147" s="228">
        <v>4</v>
      </c>
      <c r="CZ147" s="229">
        <v>1.1299999999999999E-2</v>
      </c>
      <c r="DA147" s="228">
        <v>23.16</v>
      </c>
      <c r="DB147" s="228">
        <v>18.78</v>
      </c>
      <c r="DC147" s="228">
        <v>4.38</v>
      </c>
      <c r="DD147" s="228">
        <v>4.38</v>
      </c>
      <c r="DE147" s="228">
        <v>23.16</v>
      </c>
      <c r="DF147" s="228">
        <v>23.15</v>
      </c>
      <c r="DG147" s="228">
        <v>0</v>
      </c>
      <c r="DH147" s="228">
        <v>0.01</v>
      </c>
      <c r="DI147" s="228">
        <v>23.16</v>
      </c>
      <c r="DJ147" s="228">
        <v>18.25</v>
      </c>
      <c r="DK147" s="228">
        <v>4.91</v>
      </c>
      <c r="DL147" s="228">
        <v>4.91</v>
      </c>
      <c r="DM147" s="228">
        <v>23.16</v>
      </c>
      <c r="DN147" s="228">
        <v>19.420000000000002</v>
      </c>
      <c r="DO147" s="228">
        <v>3.74</v>
      </c>
      <c r="DP147" s="228">
        <v>3.74</v>
      </c>
      <c r="DQ147" s="228">
        <v>0.53</v>
      </c>
      <c r="DR147" s="228">
        <v>0.62</v>
      </c>
      <c r="DS147" s="228">
        <v>-0.09</v>
      </c>
      <c r="DT147" s="229">
        <v>-0.1452</v>
      </c>
      <c r="DU147" s="231">
        <v>70000</v>
      </c>
      <c r="DV147" s="231">
        <v>70000</v>
      </c>
      <c r="DW147" s="228">
        <v>0.76</v>
      </c>
      <c r="DX147" s="228">
        <v>0.82</v>
      </c>
      <c r="DY147" s="228">
        <v>-0.06</v>
      </c>
      <c r="DZ147" s="229">
        <v>-7.3200000000000001E-2</v>
      </c>
      <c r="EA147" s="229">
        <v>0.26600000000000001</v>
      </c>
      <c r="EB147" s="230">
        <v>4750</v>
      </c>
      <c r="EC147" s="229">
        <v>4.7999999999999996E-3</v>
      </c>
      <c r="ED147" s="229">
        <v>0.26600000000000001</v>
      </c>
      <c r="EE147" s="228">
        <v>241.85</v>
      </c>
      <c r="EF147" s="229">
        <v>3.3999999999999998E-3</v>
      </c>
      <c r="EG147" s="228">
        <v>0</v>
      </c>
      <c r="EH147" s="228">
        <v>0</v>
      </c>
      <c r="EI147" s="229">
        <v>0</v>
      </c>
      <c r="EJ147" s="229">
        <v>0</v>
      </c>
      <c r="EK147" s="228">
        <v>81.12</v>
      </c>
      <c r="EL147" s="228">
        <v>61.12</v>
      </c>
      <c r="EM147" s="228">
        <v>67.66</v>
      </c>
      <c r="EN147" s="228">
        <v>0</v>
      </c>
      <c r="EO147" s="228">
        <v>209.9</v>
      </c>
      <c r="EP147" s="228">
        <v>271.62</v>
      </c>
      <c r="EQ147" s="228">
        <v>-61.72</v>
      </c>
      <c r="ER147" s="229">
        <v>-0.22720000000000001</v>
      </c>
      <c r="ES147" s="228">
        <v>124.67</v>
      </c>
      <c r="ET147" s="228">
        <v>62.11</v>
      </c>
      <c r="EU147" s="228">
        <v>170.87</v>
      </c>
      <c r="EV147" s="228">
        <v>0</v>
      </c>
      <c r="EW147" s="228">
        <v>357.66</v>
      </c>
      <c r="EX147" s="228">
        <v>355.69</v>
      </c>
      <c r="EY147" s="228">
        <v>1.97</v>
      </c>
      <c r="EZ147" s="229">
        <v>5.4999999999999997E-3</v>
      </c>
      <c r="FA147" s="229">
        <v>0</v>
      </c>
      <c r="FB147" s="227" t="s">
        <v>566</v>
      </c>
      <c r="FC147">
        <f t="shared" si="2"/>
        <v>46</v>
      </c>
    </row>
    <row r="148" spans="1:159" ht="17.25" thickBot="1" x14ac:dyDescent="0.3">
      <c r="A148" s="226">
        <v>46135</v>
      </c>
      <c r="B148" s="227" t="s">
        <v>227</v>
      </c>
      <c r="C148" s="227" t="s">
        <v>267</v>
      </c>
      <c r="D148" s="228">
        <v>6750</v>
      </c>
      <c r="E148" s="228">
        <v>5</v>
      </c>
      <c r="F148" s="228">
        <v>87.42</v>
      </c>
      <c r="G148" s="228">
        <v>88.52</v>
      </c>
      <c r="H148" s="228">
        <v>-1.1000000000000001</v>
      </c>
      <c r="I148" s="229">
        <v>-1.24E-2</v>
      </c>
      <c r="J148" s="228">
        <v>87.31</v>
      </c>
      <c r="K148" s="228">
        <v>88.59</v>
      </c>
      <c r="L148" s="228">
        <v>-1.28</v>
      </c>
      <c r="M148" s="229">
        <v>-1.44E-2</v>
      </c>
      <c r="N148" s="228">
        <v>87.42</v>
      </c>
      <c r="O148" s="228">
        <v>88.52</v>
      </c>
      <c r="P148" s="228">
        <v>-1.1000000000000001</v>
      </c>
      <c r="Q148" s="229">
        <v>-1.24E-2</v>
      </c>
      <c r="R148" s="228">
        <v>87.91</v>
      </c>
      <c r="S148" s="228">
        <v>89.02</v>
      </c>
      <c r="T148" s="228">
        <v>-1.1100000000000001</v>
      </c>
      <c r="U148" s="229">
        <v>-1.2500000000000001E-2</v>
      </c>
      <c r="V148" s="228">
        <v>88.41</v>
      </c>
      <c r="W148" s="228">
        <v>89.66</v>
      </c>
      <c r="X148" s="228">
        <v>-1.25</v>
      </c>
      <c r="Y148" s="229">
        <v>-1.3899999999999999E-2</v>
      </c>
      <c r="Z148" s="228">
        <v>0.11</v>
      </c>
      <c r="AA148" s="228">
        <v>-7.0000000000000007E-2</v>
      </c>
      <c r="AB148" s="228">
        <v>0.18</v>
      </c>
      <c r="AC148" s="229">
        <v>1.2999999999999999E-3</v>
      </c>
      <c r="AD148" s="228">
        <v>0.11</v>
      </c>
      <c r="AE148" s="228">
        <v>-7.0000000000000007E-2</v>
      </c>
      <c r="AF148" s="228">
        <v>0.18</v>
      </c>
      <c r="AG148" s="229">
        <v>1.2999999999999999E-3</v>
      </c>
      <c r="AH148" s="228">
        <v>0.6</v>
      </c>
      <c r="AI148" s="228">
        <v>0.43</v>
      </c>
      <c r="AJ148" s="228">
        <v>0.17</v>
      </c>
      <c r="AK148" s="229">
        <v>6.8999999999999999E-3</v>
      </c>
      <c r="AL148" s="228">
        <v>1.1000000000000001</v>
      </c>
      <c r="AM148" s="228">
        <v>1.07</v>
      </c>
      <c r="AN148" s="228">
        <v>0.03</v>
      </c>
      <c r="AO148" s="229">
        <v>1.26E-2</v>
      </c>
      <c r="AP148" s="228">
        <v>87.3</v>
      </c>
      <c r="AQ148" s="228">
        <v>87.77</v>
      </c>
      <c r="AR148" s="228">
        <v>0</v>
      </c>
      <c r="AS148" s="228">
        <v>825</v>
      </c>
      <c r="AT148" s="228">
        <v>392</v>
      </c>
      <c r="AU148" s="228">
        <v>433</v>
      </c>
      <c r="AV148" s="229">
        <v>1.1057999999999999</v>
      </c>
      <c r="AW148" s="228">
        <v>405</v>
      </c>
      <c r="AX148" s="228">
        <v>231</v>
      </c>
      <c r="AY148" s="228">
        <v>174</v>
      </c>
      <c r="AZ148" s="229">
        <v>0.75080000000000002</v>
      </c>
      <c r="BA148" s="228">
        <v>417</v>
      </c>
      <c r="BB148" s="228">
        <v>154</v>
      </c>
      <c r="BC148" s="228">
        <v>262</v>
      </c>
      <c r="BD148" s="229">
        <v>1.6981999999999999</v>
      </c>
      <c r="BE148" s="228">
        <v>3</v>
      </c>
      <c r="BF148" s="228">
        <v>6</v>
      </c>
      <c r="BG148" s="228">
        <v>-3</v>
      </c>
      <c r="BH148" s="229">
        <v>-0.45629999999999998</v>
      </c>
      <c r="BI148" s="228">
        <v>634</v>
      </c>
      <c r="BJ148" s="228">
        <v>741</v>
      </c>
      <c r="BK148" s="228">
        <v>-107</v>
      </c>
      <c r="BL148" s="229">
        <v>-0.14460000000000001</v>
      </c>
      <c r="BM148" s="228">
        <v>220</v>
      </c>
      <c r="BN148" s="228">
        <v>284</v>
      </c>
      <c r="BO148" s="228">
        <v>-64</v>
      </c>
      <c r="BP148" s="229">
        <v>-0.22520000000000001</v>
      </c>
      <c r="BQ148" s="230">
        <v>1679</v>
      </c>
      <c r="BR148" s="230">
        <v>1417</v>
      </c>
      <c r="BS148" s="228">
        <v>262</v>
      </c>
      <c r="BT148" s="229">
        <v>0.18479999999999999</v>
      </c>
      <c r="BU148" s="230">
        <v>26548362</v>
      </c>
      <c r="BV148" s="230">
        <v>19661863</v>
      </c>
      <c r="BW148" s="230">
        <v>6886499</v>
      </c>
      <c r="BX148" s="229">
        <v>0.35020000000000001</v>
      </c>
      <c r="BY148" s="230">
        <v>2839</v>
      </c>
      <c r="BZ148" s="230">
        <v>2821</v>
      </c>
      <c r="CA148" s="228">
        <v>18</v>
      </c>
      <c r="CB148" s="229">
        <v>6.4999999999999997E-3</v>
      </c>
      <c r="CC148" s="230">
        <v>1939</v>
      </c>
      <c r="CD148" s="230">
        <v>2258</v>
      </c>
      <c r="CE148" s="228">
        <v>-319</v>
      </c>
      <c r="CF148" s="229">
        <v>-0.14119999999999999</v>
      </c>
      <c r="CG148" s="228">
        <v>844</v>
      </c>
      <c r="CH148" s="228">
        <v>509</v>
      </c>
      <c r="CI148" s="228">
        <v>335</v>
      </c>
      <c r="CJ148" s="229">
        <v>0.65869999999999995</v>
      </c>
      <c r="CK148" s="228">
        <v>55</v>
      </c>
      <c r="CL148" s="228">
        <v>53</v>
      </c>
      <c r="CM148" s="228">
        <v>2</v>
      </c>
      <c r="CN148" s="229">
        <v>3.5299999999999998E-2</v>
      </c>
      <c r="CO148" s="228">
        <v>756</v>
      </c>
      <c r="CP148" s="228">
        <v>732</v>
      </c>
      <c r="CQ148" s="228">
        <v>23</v>
      </c>
      <c r="CR148" s="229">
        <v>3.1800000000000002E-2</v>
      </c>
      <c r="CS148" s="228">
        <v>452</v>
      </c>
      <c r="CT148" s="228">
        <v>443</v>
      </c>
      <c r="CU148" s="228">
        <v>10</v>
      </c>
      <c r="CV148" s="229">
        <v>2.1499999999999998E-2</v>
      </c>
      <c r="CW148" s="230">
        <v>4047</v>
      </c>
      <c r="CX148" s="230">
        <v>3996</v>
      </c>
      <c r="CY148" s="228">
        <v>51</v>
      </c>
      <c r="CZ148" s="229">
        <v>1.2800000000000001E-2</v>
      </c>
      <c r="DA148" s="228">
        <v>37.22</v>
      </c>
      <c r="DB148" s="228">
        <v>31.39</v>
      </c>
      <c r="DC148" s="228">
        <v>5.83</v>
      </c>
      <c r="DD148" s="228">
        <v>5.83</v>
      </c>
      <c r="DE148" s="228">
        <v>38.78</v>
      </c>
      <c r="DF148" s="228">
        <v>38.840000000000003</v>
      </c>
      <c r="DG148" s="228">
        <v>-1.56</v>
      </c>
      <c r="DH148" s="228">
        <v>-0.06</v>
      </c>
      <c r="DI148" s="228">
        <v>37.17</v>
      </c>
      <c r="DJ148" s="228">
        <v>30.8</v>
      </c>
      <c r="DK148" s="228">
        <v>6.37</v>
      </c>
      <c r="DL148" s="228">
        <v>6.37</v>
      </c>
      <c r="DM148" s="228">
        <v>37.340000000000003</v>
      </c>
      <c r="DN148" s="228">
        <v>32.93</v>
      </c>
      <c r="DO148" s="228">
        <v>4.41</v>
      </c>
      <c r="DP148" s="228">
        <v>4.41</v>
      </c>
      <c r="DQ148" s="228">
        <v>0.6</v>
      </c>
      <c r="DR148" s="228">
        <v>0.6</v>
      </c>
      <c r="DS148" s="228">
        <v>0</v>
      </c>
      <c r="DT148" s="229">
        <v>0</v>
      </c>
      <c r="DU148" s="228">
        <v>90</v>
      </c>
      <c r="DV148" s="228">
        <v>80</v>
      </c>
      <c r="DW148" s="228">
        <v>0.35</v>
      </c>
      <c r="DX148" s="228">
        <v>0.38</v>
      </c>
      <c r="DY148" s="228">
        <v>-0.03</v>
      </c>
      <c r="DZ148" s="229">
        <v>-7.8899999999999998E-2</v>
      </c>
      <c r="EA148" s="229">
        <v>0.31690000000000002</v>
      </c>
      <c r="EB148" s="230">
        <v>64347750</v>
      </c>
      <c r="EC148" s="229">
        <v>5.5999999999999999E-3</v>
      </c>
      <c r="ED148" s="229">
        <v>0.31690000000000002</v>
      </c>
      <c r="EE148" s="228">
        <v>0.47</v>
      </c>
      <c r="EF148" s="229">
        <v>5.4000000000000003E-3</v>
      </c>
      <c r="EG148" s="230">
        <v>12118523</v>
      </c>
      <c r="EH148" s="230">
        <v>8335023</v>
      </c>
      <c r="EI148" s="229">
        <v>0.45390000000000003</v>
      </c>
      <c r="EJ148" s="229">
        <v>0.45650000000000002</v>
      </c>
      <c r="EK148" s="228">
        <v>659.6</v>
      </c>
      <c r="EL148" s="228">
        <v>215.37</v>
      </c>
      <c r="EM148" s="228">
        <v>825.96</v>
      </c>
      <c r="EN148" s="228">
        <v>80.38</v>
      </c>
      <c r="EO148" s="231">
        <v>1700.93</v>
      </c>
      <c r="EP148" s="231">
        <v>1460.53</v>
      </c>
      <c r="EQ148" s="228">
        <v>240.4</v>
      </c>
      <c r="ER148" s="229">
        <v>0.1646</v>
      </c>
      <c r="ES148" s="228">
        <v>767.32</v>
      </c>
      <c r="ET148" s="228">
        <v>419.36</v>
      </c>
      <c r="EU148" s="231">
        <v>2844.38</v>
      </c>
      <c r="EV148" s="231">
        <v>517037525</v>
      </c>
      <c r="EW148" s="231">
        <v>4031.05</v>
      </c>
      <c r="EX148" s="231">
        <v>4013.34</v>
      </c>
      <c r="EY148" s="228">
        <v>17.71</v>
      </c>
      <c r="EZ148" s="229">
        <v>4.4000000000000003E-3</v>
      </c>
      <c r="FA148" s="229">
        <v>0.89529999999999998</v>
      </c>
      <c r="FB148" s="227" t="s">
        <v>566</v>
      </c>
      <c r="FC148">
        <f>BY221-CC221</f>
        <v>0</v>
      </c>
    </row>
    <row r="149" spans="1:159" ht="17.25" thickBot="1" x14ac:dyDescent="0.3">
      <c r="A149" s="226">
        <v>46135</v>
      </c>
      <c r="B149" s="227" t="s">
        <v>161</v>
      </c>
      <c r="C149" s="227" t="s">
        <v>268</v>
      </c>
      <c r="D149" s="228">
        <v>1500</v>
      </c>
      <c r="E149" s="228">
        <v>5</v>
      </c>
      <c r="F149" s="228">
        <v>401.75</v>
      </c>
      <c r="G149" s="228">
        <v>404.9</v>
      </c>
      <c r="H149" s="228">
        <v>-3.15</v>
      </c>
      <c r="I149" s="229">
        <v>-7.7999999999999996E-3</v>
      </c>
      <c r="J149" s="228">
        <v>402.25</v>
      </c>
      <c r="K149" s="228">
        <v>405.4</v>
      </c>
      <c r="L149" s="228">
        <v>-3.15</v>
      </c>
      <c r="M149" s="229">
        <v>-7.7999999999999996E-3</v>
      </c>
      <c r="N149" s="228">
        <v>401.75</v>
      </c>
      <c r="O149" s="228">
        <v>404.9</v>
      </c>
      <c r="P149" s="228">
        <v>-3.15</v>
      </c>
      <c r="Q149" s="229">
        <v>-7.7999999999999996E-3</v>
      </c>
      <c r="R149" s="228">
        <v>404.3</v>
      </c>
      <c r="S149" s="228">
        <v>407.15</v>
      </c>
      <c r="T149" s="228">
        <v>-2.85</v>
      </c>
      <c r="U149" s="229">
        <v>-7.0000000000000001E-3</v>
      </c>
      <c r="V149" s="228">
        <v>406.5</v>
      </c>
      <c r="W149" s="228">
        <v>409.7</v>
      </c>
      <c r="X149" s="228">
        <v>-3.2</v>
      </c>
      <c r="Y149" s="229">
        <v>-7.7999999999999996E-3</v>
      </c>
      <c r="Z149" s="228">
        <v>-0.5</v>
      </c>
      <c r="AA149" s="228">
        <v>-0.5</v>
      </c>
      <c r="AB149" s="228">
        <v>0</v>
      </c>
      <c r="AC149" s="229">
        <v>-1.1999999999999999E-3</v>
      </c>
      <c r="AD149" s="228">
        <v>-0.5</v>
      </c>
      <c r="AE149" s="228">
        <v>-0.5</v>
      </c>
      <c r="AF149" s="228">
        <v>0</v>
      </c>
      <c r="AG149" s="229">
        <v>-1.1999999999999999E-3</v>
      </c>
      <c r="AH149" s="228">
        <v>2.0499999999999998</v>
      </c>
      <c r="AI149" s="228">
        <v>1.75</v>
      </c>
      <c r="AJ149" s="228">
        <v>0.3</v>
      </c>
      <c r="AK149" s="229">
        <v>5.1000000000000004E-3</v>
      </c>
      <c r="AL149" s="228">
        <v>4.25</v>
      </c>
      <c r="AM149" s="228">
        <v>4.3</v>
      </c>
      <c r="AN149" s="228">
        <v>-0.05</v>
      </c>
      <c r="AO149" s="229">
        <v>1.06E-2</v>
      </c>
      <c r="AP149" s="228">
        <v>402.46</v>
      </c>
      <c r="AQ149" s="228">
        <v>404.82</v>
      </c>
      <c r="AR149" s="228">
        <v>0</v>
      </c>
      <c r="AS149" s="230">
        <v>1810</v>
      </c>
      <c r="AT149" s="230">
        <v>1050</v>
      </c>
      <c r="AU149" s="228">
        <v>760</v>
      </c>
      <c r="AV149" s="229">
        <v>0.72370000000000001</v>
      </c>
      <c r="AW149" s="228">
        <v>948</v>
      </c>
      <c r="AX149" s="228">
        <v>741</v>
      </c>
      <c r="AY149" s="228">
        <v>206</v>
      </c>
      <c r="AZ149" s="229">
        <v>0.27829999999999999</v>
      </c>
      <c r="BA149" s="228">
        <v>841</v>
      </c>
      <c r="BB149" s="228">
        <v>238</v>
      </c>
      <c r="BC149" s="228">
        <v>603</v>
      </c>
      <c r="BD149" s="229">
        <v>2.5358999999999998</v>
      </c>
      <c r="BE149" s="228">
        <v>22</v>
      </c>
      <c r="BF149" s="228">
        <v>71</v>
      </c>
      <c r="BG149" s="228">
        <v>-49</v>
      </c>
      <c r="BH149" s="229">
        <v>-0.68979999999999997</v>
      </c>
      <c r="BI149" s="230">
        <v>2960</v>
      </c>
      <c r="BJ149" s="230">
        <v>6374</v>
      </c>
      <c r="BK149" s="230">
        <v>-3414</v>
      </c>
      <c r="BL149" s="229">
        <v>-0.53559999999999997</v>
      </c>
      <c r="BM149" s="230">
        <v>1835</v>
      </c>
      <c r="BN149" s="230">
        <v>3200</v>
      </c>
      <c r="BO149" s="230">
        <v>-1365</v>
      </c>
      <c r="BP149" s="229">
        <v>-0.42659999999999998</v>
      </c>
      <c r="BQ149" s="230">
        <v>6606</v>
      </c>
      <c r="BR149" s="230">
        <v>10625</v>
      </c>
      <c r="BS149" s="230">
        <v>-4019</v>
      </c>
      <c r="BT149" s="229">
        <v>-0.37830000000000003</v>
      </c>
      <c r="BU149" s="230">
        <v>9509040</v>
      </c>
      <c r="BV149" s="230">
        <v>17560002</v>
      </c>
      <c r="BW149" s="230">
        <v>-8050962</v>
      </c>
      <c r="BX149" s="229">
        <v>-0.45850000000000002</v>
      </c>
      <c r="BY149" s="230">
        <v>4376</v>
      </c>
      <c r="BZ149" s="230">
        <v>4343</v>
      </c>
      <c r="CA149" s="228">
        <v>32</v>
      </c>
      <c r="CB149" s="229">
        <v>7.4000000000000003E-3</v>
      </c>
      <c r="CC149" s="230">
        <v>2583</v>
      </c>
      <c r="CD149" s="230">
        <v>3310</v>
      </c>
      <c r="CE149" s="228">
        <v>-727</v>
      </c>
      <c r="CF149" s="229">
        <v>-0.21970000000000001</v>
      </c>
      <c r="CG149" s="230">
        <v>1474</v>
      </c>
      <c r="CH149" s="228">
        <v>728</v>
      </c>
      <c r="CI149" s="228">
        <v>746</v>
      </c>
      <c r="CJ149" s="229">
        <v>1.0239</v>
      </c>
      <c r="CK149" s="228">
        <v>319</v>
      </c>
      <c r="CL149" s="228">
        <v>306</v>
      </c>
      <c r="CM149" s="228">
        <v>14</v>
      </c>
      <c r="CN149" s="229">
        <v>4.4999999999999998E-2</v>
      </c>
      <c r="CO149" s="230">
        <v>3058</v>
      </c>
      <c r="CP149" s="230">
        <v>3013</v>
      </c>
      <c r="CQ149" s="228">
        <v>45</v>
      </c>
      <c r="CR149" s="229">
        <v>1.5100000000000001E-2</v>
      </c>
      <c r="CS149" s="230">
        <v>1737</v>
      </c>
      <c r="CT149" s="230">
        <v>1774</v>
      </c>
      <c r="CU149" s="228">
        <v>-38</v>
      </c>
      <c r="CV149" s="229">
        <v>-2.12E-2</v>
      </c>
      <c r="CW149" s="230">
        <v>9170</v>
      </c>
      <c r="CX149" s="230">
        <v>9130</v>
      </c>
      <c r="CY149" s="228">
        <v>40</v>
      </c>
      <c r="CZ149" s="229">
        <v>4.4000000000000003E-3</v>
      </c>
      <c r="DA149" s="228">
        <v>26.32</v>
      </c>
      <c r="DB149" s="228">
        <v>19.72</v>
      </c>
      <c r="DC149" s="228">
        <v>6.6</v>
      </c>
      <c r="DD149" s="228">
        <v>6.6</v>
      </c>
      <c r="DE149" s="228">
        <v>27.39</v>
      </c>
      <c r="DF149" s="228">
        <v>27.44</v>
      </c>
      <c r="DG149" s="228">
        <v>-1.07</v>
      </c>
      <c r="DH149" s="228">
        <v>-0.05</v>
      </c>
      <c r="DI149" s="228">
        <v>26.44</v>
      </c>
      <c r="DJ149" s="228">
        <v>19.11</v>
      </c>
      <c r="DK149" s="228">
        <v>7.33</v>
      </c>
      <c r="DL149" s="228">
        <v>7.33</v>
      </c>
      <c r="DM149" s="228">
        <v>25.93</v>
      </c>
      <c r="DN149" s="228">
        <v>20.93</v>
      </c>
      <c r="DO149" s="228">
        <v>5</v>
      </c>
      <c r="DP149" s="228">
        <v>5</v>
      </c>
      <c r="DQ149" s="228">
        <v>0.56999999999999995</v>
      </c>
      <c r="DR149" s="228">
        <v>0.59</v>
      </c>
      <c r="DS149" s="228">
        <v>-0.02</v>
      </c>
      <c r="DT149" s="229">
        <v>-3.39E-2</v>
      </c>
      <c r="DU149" s="228">
        <v>395</v>
      </c>
      <c r="DV149" s="228">
        <v>400</v>
      </c>
      <c r="DW149" s="228">
        <v>0.62</v>
      </c>
      <c r="DX149" s="228">
        <v>0.5</v>
      </c>
      <c r="DY149" s="228">
        <v>0.12</v>
      </c>
      <c r="DZ149" s="229">
        <v>0.24</v>
      </c>
      <c r="EA149" s="229">
        <v>0.4098</v>
      </c>
      <c r="EB149" s="230">
        <v>25731000</v>
      </c>
      <c r="EC149" s="229">
        <v>6.3E-3</v>
      </c>
      <c r="ED149" s="229">
        <v>0.4098</v>
      </c>
      <c r="EE149" s="228">
        <v>2.36</v>
      </c>
      <c r="EF149" s="229">
        <v>5.8999999999999999E-3</v>
      </c>
      <c r="EG149" s="230">
        <v>5737770</v>
      </c>
      <c r="EH149" s="230">
        <v>10903650</v>
      </c>
      <c r="EI149" s="229">
        <v>-0.4738</v>
      </c>
      <c r="EJ149" s="229">
        <v>0.60340000000000005</v>
      </c>
      <c r="EK149" s="231">
        <v>3024.01</v>
      </c>
      <c r="EL149" s="231">
        <v>1814.74</v>
      </c>
      <c r="EM149" s="231">
        <v>1818.87</v>
      </c>
      <c r="EN149" s="228">
        <v>126.65</v>
      </c>
      <c r="EO149" s="231">
        <v>6657.62</v>
      </c>
      <c r="EP149" s="231">
        <v>10753.28</v>
      </c>
      <c r="EQ149" s="231">
        <v>-4095.67</v>
      </c>
      <c r="ER149" s="229">
        <v>-0.38090000000000002</v>
      </c>
      <c r="ES149" s="231">
        <v>3011.04</v>
      </c>
      <c r="ET149" s="231">
        <v>1655.43</v>
      </c>
      <c r="EU149" s="231">
        <v>4388.7299999999996</v>
      </c>
      <c r="EV149" s="231">
        <v>550512361</v>
      </c>
      <c r="EW149" s="231">
        <v>9055.19</v>
      </c>
      <c r="EX149" s="231">
        <v>9039.1</v>
      </c>
      <c r="EY149" s="228">
        <v>16.09</v>
      </c>
      <c r="EZ149" s="229">
        <v>1.8E-3</v>
      </c>
      <c r="FA149" s="229">
        <v>0.41460000000000002</v>
      </c>
      <c r="FB149" s="227" t="s">
        <v>566</v>
      </c>
      <c r="FC149">
        <f t="shared" ref="FC149:FC194" si="3">BY220-CC220</f>
        <v>439</v>
      </c>
    </row>
    <row r="150" spans="1:159" ht="17.25" thickBot="1" x14ac:dyDescent="0.3">
      <c r="A150" s="226">
        <v>46135</v>
      </c>
      <c r="B150" s="227" t="s">
        <v>175</v>
      </c>
      <c r="C150" s="227" t="s">
        <v>683</v>
      </c>
      <c r="D150" s="228">
        <v>500</v>
      </c>
      <c r="E150" s="228">
        <v>5</v>
      </c>
      <c r="F150" s="231">
        <v>1377.9</v>
      </c>
      <c r="G150" s="231">
        <v>1375.5</v>
      </c>
      <c r="H150" s="228">
        <v>2.4</v>
      </c>
      <c r="I150" s="229">
        <v>1.6999999999999999E-3</v>
      </c>
      <c r="J150" s="231">
        <v>1376.7</v>
      </c>
      <c r="K150" s="231">
        <v>1371.7</v>
      </c>
      <c r="L150" s="228">
        <v>5</v>
      </c>
      <c r="M150" s="229">
        <v>3.5999999999999999E-3</v>
      </c>
      <c r="N150" s="231">
        <v>1377.9</v>
      </c>
      <c r="O150" s="231">
        <v>1375.5</v>
      </c>
      <c r="P150" s="228">
        <v>2.4</v>
      </c>
      <c r="Q150" s="229">
        <v>1.6999999999999999E-3</v>
      </c>
      <c r="R150" s="231">
        <v>1380.5</v>
      </c>
      <c r="S150" s="231">
        <v>1372.6</v>
      </c>
      <c r="T150" s="228">
        <v>7.9</v>
      </c>
      <c r="U150" s="229">
        <v>5.7999999999999996E-3</v>
      </c>
      <c r="V150" s="231">
        <v>1376.4</v>
      </c>
      <c r="W150" s="231">
        <v>1379.8</v>
      </c>
      <c r="X150" s="228">
        <v>-3.4</v>
      </c>
      <c r="Y150" s="229">
        <v>-2.5000000000000001E-3</v>
      </c>
      <c r="Z150" s="228">
        <v>1.2</v>
      </c>
      <c r="AA150" s="228">
        <v>3.8</v>
      </c>
      <c r="AB150" s="228">
        <v>-2.6</v>
      </c>
      <c r="AC150" s="229">
        <v>8.9999999999999998E-4</v>
      </c>
      <c r="AD150" s="228">
        <v>1.2</v>
      </c>
      <c r="AE150" s="228">
        <v>3.8</v>
      </c>
      <c r="AF150" s="228">
        <v>-2.6</v>
      </c>
      <c r="AG150" s="229">
        <v>8.9999999999999998E-4</v>
      </c>
      <c r="AH150" s="228">
        <v>3.8</v>
      </c>
      <c r="AI150" s="228">
        <v>0.9</v>
      </c>
      <c r="AJ150" s="228">
        <v>2.9</v>
      </c>
      <c r="AK150" s="229">
        <v>2.8E-3</v>
      </c>
      <c r="AL150" s="228">
        <v>-0.3</v>
      </c>
      <c r="AM150" s="228">
        <v>8.1</v>
      </c>
      <c r="AN150" s="228">
        <v>-8.4</v>
      </c>
      <c r="AO150" s="229">
        <v>-2.0000000000000001E-4</v>
      </c>
      <c r="AP150" s="231">
        <v>1373.27</v>
      </c>
      <c r="AQ150" s="231">
        <v>1373.11</v>
      </c>
      <c r="AR150" s="228">
        <v>0</v>
      </c>
      <c r="AS150" s="228">
        <v>239</v>
      </c>
      <c r="AT150" s="228">
        <v>82</v>
      </c>
      <c r="AU150" s="228">
        <v>158</v>
      </c>
      <c r="AV150" s="229">
        <v>1.9316</v>
      </c>
      <c r="AW150" s="228">
        <v>133</v>
      </c>
      <c r="AX150" s="228">
        <v>58</v>
      </c>
      <c r="AY150" s="228">
        <v>75</v>
      </c>
      <c r="AZ150" s="229">
        <v>1.2942</v>
      </c>
      <c r="BA150" s="228">
        <v>106</v>
      </c>
      <c r="BB150" s="228">
        <v>23</v>
      </c>
      <c r="BC150" s="228">
        <v>82</v>
      </c>
      <c r="BD150" s="229">
        <v>3.5310000000000001</v>
      </c>
      <c r="BE150" s="228">
        <v>0</v>
      </c>
      <c r="BF150" s="228">
        <v>0</v>
      </c>
      <c r="BG150" s="228">
        <v>0</v>
      </c>
      <c r="BH150" s="229">
        <v>-0.5</v>
      </c>
      <c r="BI150" s="228">
        <v>94</v>
      </c>
      <c r="BJ150" s="228">
        <v>129</v>
      </c>
      <c r="BK150" s="228">
        <v>-36</v>
      </c>
      <c r="BL150" s="229">
        <v>-0.2752</v>
      </c>
      <c r="BM150" s="228">
        <v>75</v>
      </c>
      <c r="BN150" s="228">
        <v>78</v>
      </c>
      <c r="BO150" s="228">
        <v>-3</v>
      </c>
      <c r="BP150" s="229">
        <v>-3.8100000000000002E-2</v>
      </c>
      <c r="BQ150" s="228">
        <v>408</v>
      </c>
      <c r="BR150" s="228">
        <v>289</v>
      </c>
      <c r="BS150" s="228">
        <v>119</v>
      </c>
      <c r="BT150" s="229">
        <v>0.41249999999999998</v>
      </c>
      <c r="BU150" s="230">
        <v>247119</v>
      </c>
      <c r="BV150" s="230">
        <v>533551</v>
      </c>
      <c r="BW150" s="230">
        <v>-286432</v>
      </c>
      <c r="BX150" s="229">
        <v>-0.53680000000000005</v>
      </c>
      <c r="BY150" s="228">
        <v>290</v>
      </c>
      <c r="BZ150" s="228">
        <v>294</v>
      </c>
      <c r="CA150" s="228">
        <v>-4</v>
      </c>
      <c r="CB150" s="229">
        <v>-1.2200000000000001E-2</v>
      </c>
      <c r="CC150" s="228">
        <v>185</v>
      </c>
      <c r="CD150" s="228">
        <v>252</v>
      </c>
      <c r="CE150" s="228">
        <v>-66</v>
      </c>
      <c r="CF150" s="229">
        <v>-0.2631</v>
      </c>
      <c r="CG150" s="228">
        <v>102</v>
      </c>
      <c r="CH150" s="228">
        <v>39</v>
      </c>
      <c r="CI150" s="228">
        <v>63</v>
      </c>
      <c r="CJ150" s="229">
        <v>1.5846</v>
      </c>
      <c r="CK150" s="228">
        <v>3</v>
      </c>
      <c r="CL150" s="228">
        <v>3</v>
      </c>
      <c r="CM150" s="228">
        <v>0</v>
      </c>
      <c r="CN150" s="229">
        <v>2.5600000000000001E-2</v>
      </c>
      <c r="CO150" s="228">
        <v>160</v>
      </c>
      <c r="CP150" s="228">
        <v>155</v>
      </c>
      <c r="CQ150" s="228">
        <v>6</v>
      </c>
      <c r="CR150" s="229">
        <v>3.56E-2</v>
      </c>
      <c r="CS150" s="228">
        <v>118</v>
      </c>
      <c r="CT150" s="228">
        <v>115</v>
      </c>
      <c r="CU150" s="228">
        <v>3</v>
      </c>
      <c r="CV150" s="229">
        <v>2.63E-2</v>
      </c>
      <c r="CW150" s="228">
        <v>569</v>
      </c>
      <c r="CX150" s="228">
        <v>564</v>
      </c>
      <c r="CY150" s="228">
        <v>5</v>
      </c>
      <c r="CZ150" s="229">
        <v>8.8000000000000005E-3</v>
      </c>
      <c r="DA150" s="228">
        <v>36.369999999999997</v>
      </c>
      <c r="DB150" s="228">
        <v>43.24</v>
      </c>
      <c r="DC150" s="228">
        <v>-6.87</v>
      </c>
      <c r="DD150" s="228">
        <v>-6.87</v>
      </c>
      <c r="DE150" s="228">
        <v>50.56</v>
      </c>
      <c r="DF150" s="228">
        <v>50.69</v>
      </c>
      <c r="DG150" s="228">
        <v>-14.19</v>
      </c>
      <c r="DH150" s="228">
        <v>-0.13</v>
      </c>
      <c r="DI150" s="228">
        <v>35.979999999999997</v>
      </c>
      <c r="DJ150" s="228">
        <v>39.64</v>
      </c>
      <c r="DK150" s="228">
        <v>-3.66</v>
      </c>
      <c r="DL150" s="228">
        <v>-3.66</v>
      </c>
      <c r="DM150" s="228">
        <v>41.52</v>
      </c>
      <c r="DN150" s="228">
        <v>49.22</v>
      </c>
      <c r="DO150" s="228">
        <v>-7.7</v>
      </c>
      <c r="DP150" s="228">
        <v>-7.7</v>
      </c>
      <c r="DQ150" s="228">
        <v>0.74</v>
      </c>
      <c r="DR150" s="228">
        <v>0.74</v>
      </c>
      <c r="DS150" s="228">
        <v>0</v>
      </c>
      <c r="DT150" s="229">
        <v>0</v>
      </c>
      <c r="DU150" s="231">
        <v>1480</v>
      </c>
      <c r="DV150" s="231">
        <v>1100</v>
      </c>
      <c r="DW150" s="228">
        <v>0.8</v>
      </c>
      <c r="DX150" s="228">
        <v>0.6</v>
      </c>
      <c r="DY150" s="228">
        <v>0.2</v>
      </c>
      <c r="DZ150" s="229">
        <v>0.33329999999999999</v>
      </c>
      <c r="EA150" s="229">
        <v>0.36099999999999999</v>
      </c>
      <c r="EB150" s="230">
        <v>306000</v>
      </c>
      <c r="EC150" s="229">
        <v>1.9E-3</v>
      </c>
      <c r="ED150" s="229">
        <v>0.36099999999999999</v>
      </c>
      <c r="EE150" s="228">
        <v>-0.16</v>
      </c>
      <c r="EF150" s="229">
        <v>-1E-4</v>
      </c>
      <c r="EG150" s="230">
        <v>102456</v>
      </c>
      <c r="EH150" s="230">
        <v>360164</v>
      </c>
      <c r="EI150" s="229">
        <v>-0.71550000000000002</v>
      </c>
      <c r="EJ150" s="229">
        <v>0.41460000000000002</v>
      </c>
      <c r="EK150" s="228">
        <v>100.42</v>
      </c>
      <c r="EL150" s="228">
        <v>65.56</v>
      </c>
      <c r="EM150" s="228">
        <v>238.32</v>
      </c>
      <c r="EN150" s="228">
        <v>9.98</v>
      </c>
      <c r="EO150" s="228">
        <v>404.31</v>
      </c>
      <c r="EP150" s="228">
        <v>290.19</v>
      </c>
      <c r="EQ150" s="228">
        <v>114.12</v>
      </c>
      <c r="ER150" s="229">
        <v>0.39329999999999998</v>
      </c>
      <c r="ES150" s="228">
        <v>159.24</v>
      </c>
      <c r="ET150" s="228">
        <v>104.22</v>
      </c>
      <c r="EU150" s="228">
        <v>290.44</v>
      </c>
      <c r="EV150" s="231">
        <v>12490416</v>
      </c>
      <c r="EW150" s="228">
        <v>553.91</v>
      </c>
      <c r="EX150" s="228">
        <v>548.30999999999995</v>
      </c>
      <c r="EY150" s="228">
        <v>5.6</v>
      </c>
      <c r="EZ150" s="229">
        <v>1.0200000000000001E-2</v>
      </c>
      <c r="FA150" s="229">
        <v>0.33050000000000002</v>
      </c>
      <c r="FB150" s="227" t="s">
        <v>693</v>
      </c>
      <c r="FC150">
        <f t="shared" si="3"/>
        <v>0</v>
      </c>
    </row>
    <row r="151" spans="1:159" ht="17.25" thickBot="1" x14ac:dyDescent="0.3">
      <c r="A151" s="226">
        <v>46135</v>
      </c>
      <c r="B151" s="227" t="s">
        <v>614</v>
      </c>
      <c r="C151" s="227" t="s">
        <v>612</v>
      </c>
      <c r="D151" s="228">
        <v>3125</v>
      </c>
      <c r="E151" s="228">
        <v>5</v>
      </c>
      <c r="F151" s="228">
        <v>261.62</v>
      </c>
      <c r="G151" s="228">
        <v>260.88</v>
      </c>
      <c r="H151" s="228">
        <v>0.74</v>
      </c>
      <c r="I151" s="229">
        <v>2.8E-3</v>
      </c>
      <c r="J151" s="228">
        <v>261.85000000000002</v>
      </c>
      <c r="K151" s="228">
        <v>259.94</v>
      </c>
      <c r="L151" s="228">
        <v>1.91</v>
      </c>
      <c r="M151" s="229">
        <v>7.3000000000000001E-3</v>
      </c>
      <c r="N151" s="228">
        <v>261.62</v>
      </c>
      <c r="O151" s="228">
        <v>260.88</v>
      </c>
      <c r="P151" s="228">
        <v>0.74</v>
      </c>
      <c r="Q151" s="229">
        <v>2.8E-3</v>
      </c>
      <c r="R151" s="228">
        <v>263.14</v>
      </c>
      <c r="S151" s="228">
        <v>261.82</v>
      </c>
      <c r="T151" s="228">
        <v>1.32</v>
      </c>
      <c r="U151" s="229">
        <v>5.0000000000000001E-3</v>
      </c>
      <c r="V151" s="228">
        <v>263</v>
      </c>
      <c r="W151" s="228">
        <v>262</v>
      </c>
      <c r="X151" s="228">
        <v>1</v>
      </c>
      <c r="Y151" s="229">
        <v>3.8E-3</v>
      </c>
      <c r="Z151" s="228">
        <v>-0.23</v>
      </c>
      <c r="AA151" s="228">
        <v>0.94</v>
      </c>
      <c r="AB151" s="228">
        <v>-1.17</v>
      </c>
      <c r="AC151" s="229">
        <v>-8.9999999999999998E-4</v>
      </c>
      <c r="AD151" s="228">
        <v>-0.23</v>
      </c>
      <c r="AE151" s="228">
        <v>0.94</v>
      </c>
      <c r="AF151" s="228">
        <v>-1.17</v>
      </c>
      <c r="AG151" s="229">
        <v>-8.9999999999999998E-4</v>
      </c>
      <c r="AH151" s="228">
        <v>1.29</v>
      </c>
      <c r="AI151" s="228">
        <v>1.88</v>
      </c>
      <c r="AJ151" s="228">
        <v>-0.59</v>
      </c>
      <c r="AK151" s="229">
        <v>4.8999999999999998E-3</v>
      </c>
      <c r="AL151" s="228">
        <v>1.1499999999999999</v>
      </c>
      <c r="AM151" s="228">
        <v>2.06</v>
      </c>
      <c r="AN151" s="228">
        <v>-0.91</v>
      </c>
      <c r="AO151" s="229">
        <v>4.4000000000000003E-3</v>
      </c>
      <c r="AP151" s="228">
        <v>262.54000000000002</v>
      </c>
      <c r="AQ151" s="228">
        <v>263.95999999999998</v>
      </c>
      <c r="AR151" s="228">
        <v>0</v>
      </c>
      <c r="AS151" s="228">
        <v>679</v>
      </c>
      <c r="AT151" s="228">
        <v>244</v>
      </c>
      <c r="AU151" s="228">
        <v>435</v>
      </c>
      <c r="AV151" s="229">
        <v>1.7809999999999999</v>
      </c>
      <c r="AW151" s="228">
        <v>351</v>
      </c>
      <c r="AX151" s="228">
        <v>145</v>
      </c>
      <c r="AY151" s="228">
        <v>206</v>
      </c>
      <c r="AZ151" s="229">
        <v>1.4175</v>
      </c>
      <c r="BA151" s="228">
        <v>327</v>
      </c>
      <c r="BB151" s="228">
        <v>98</v>
      </c>
      <c r="BC151" s="228">
        <v>229</v>
      </c>
      <c r="BD151" s="229">
        <v>2.3431000000000002</v>
      </c>
      <c r="BE151" s="228">
        <v>1</v>
      </c>
      <c r="BF151" s="228">
        <v>1</v>
      </c>
      <c r="BG151" s="228">
        <v>0</v>
      </c>
      <c r="BH151" s="229">
        <v>0.125</v>
      </c>
      <c r="BI151" s="228">
        <v>256</v>
      </c>
      <c r="BJ151" s="228">
        <v>249</v>
      </c>
      <c r="BK151" s="228">
        <v>7</v>
      </c>
      <c r="BL151" s="229">
        <v>2.92E-2</v>
      </c>
      <c r="BM151" s="228">
        <v>80</v>
      </c>
      <c r="BN151" s="228">
        <v>123</v>
      </c>
      <c r="BO151" s="228">
        <v>-43</v>
      </c>
      <c r="BP151" s="229">
        <v>-0.3513</v>
      </c>
      <c r="BQ151" s="230">
        <v>1015</v>
      </c>
      <c r="BR151" s="228">
        <v>616</v>
      </c>
      <c r="BS151" s="228">
        <v>399</v>
      </c>
      <c r="BT151" s="229">
        <v>0.64770000000000005</v>
      </c>
      <c r="BU151" s="230">
        <v>3520057</v>
      </c>
      <c r="BV151" s="230">
        <v>10233853</v>
      </c>
      <c r="BW151" s="230">
        <v>-6713796</v>
      </c>
      <c r="BX151" s="229">
        <v>-0.65600000000000003</v>
      </c>
      <c r="BY151" s="230">
        <v>1349</v>
      </c>
      <c r="BZ151" s="230">
        <v>1289</v>
      </c>
      <c r="CA151" s="228">
        <v>60</v>
      </c>
      <c r="CB151" s="229">
        <v>4.6300000000000001E-2</v>
      </c>
      <c r="CC151" s="228">
        <v>944</v>
      </c>
      <c r="CD151" s="230">
        <v>1167</v>
      </c>
      <c r="CE151" s="228">
        <v>-223</v>
      </c>
      <c r="CF151" s="229">
        <v>-0.19089999999999999</v>
      </c>
      <c r="CG151" s="228">
        <v>402</v>
      </c>
      <c r="CH151" s="228">
        <v>120</v>
      </c>
      <c r="CI151" s="228">
        <v>282</v>
      </c>
      <c r="CJ151" s="229">
        <v>2.3517000000000001</v>
      </c>
      <c r="CK151" s="228">
        <v>3</v>
      </c>
      <c r="CL151" s="228">
        <v>2</v>
      </c>
      <c r="CM151" s="228">
        <v>0</v>
      </c>
      <c r="CN151" s="229">
        <v>0.1333</v>
      </c>
      <c r="CO151" s="228">
        <v>320</v>
      </c>
      <c r="CP151" s="228">
        <v>310</v>
      </c>
      <c r="CQ151" s="228">
        <v>10</v>
      </c>
      <c r="CR151" s="229">
        <v>3.3500000000000002E-2</v>
      </c>
      <c r="CS151" s="228">
        <v>146</v>
      </c>
      <c r="CT151" s="228">
        <v>139</v>
      </c>
      <c r="CU151" s="228">
        <v>6</v>
      </c>
      <c r="CV151" s="229">
        <v>4.6399999999999997E-2</v>
      </c>
      <c r="CW151" s="230">
        <v>1815</v>
      </c>
      <c r="CX151" s="230">
        <v>1738</v>
      </c>
      <c r="CY151" s="228">
        <v>77</v>
      </c>
      <c r="CZ151" s="229">
        <v>4.3999999999999997E-2</v>
      </c>
      <c r="DA151" s="228">
        <v>32.01</v>
      </c>
      <c r="DB151" s="228">
        <v>31.27</v>
      </c>
      <c r="DC151" s="228">
        <v>0.74</v>
      </c>
      <c r="DD151" s="228">
        <v>0.74</v>
      </c>
      <c r="DE151" s="228">
        <v>35.86</v>
      </c>
      <c r="DF151" s="228">
        <v>35.94</v>
      </c>
      <c r="DG151" s="228">
        <v>-3.85</v>
      </c>
      <c r="DH151" s="228">
        <v>-0.08</v>
      </c>
      <c r="DI151" s="228">
        <v>32.01</v>
      </c>
      <c r="DJ151" s="228">
        <v>31.59</v>
      </c>
      <c r="DK151" s="228">
        <v>0.42</v>
      </c>
      <c r="DL151" s="228">
        <v>0.42</v>
      </c>
      <c r="DM151" s="228">
        <v>32.03</v>
      </c>
      <c r="DN151" s="228">
        <v>30.63</v>
      </c>
      <c r="DO151" s="228">
        <v>1.4</v>
      </c>
      <c r="DP151" s="228">
        <v>1.4</v>
      </c>
      <c r="DQ151" s="228">
        <v>0.46</v>
      </c>
      <c r="DR151" s="228">
        <v>0.45</v>
      </c>
      <c r="DS151" s="228">
        <v>0.01</v>
      </c>
      <c r="DT151" s="229">
        <v>2.2200000000000001E-2</v>
      </c>
      <c r="DU151" s="228">
        <v>275</v>
      </c>
      <c r="DV151" s="228">
        <v>250</v>
      </c>
      <c r="DW151" s="228">
        <v>0.31</v>
      </c>
      <c r="DX151" s="228">
        <v>0.49</v>
      </c>
      <c r="DY151" s="228">
        <v>-0.18</v>
      </c>
      <c r="DZ151" s="229">
        <v>-0.36730000000000002</v>
      </c>
      <c r="EA151" s="229">
        <v>0.30009999999999998</v>
      </c>
      <c r="EB151" s="230">
        <v>4678125</v>
      </c>
      <c r="EC151" s="229">
        <v>5.7999999999999996E-3</v>
      </c>
      <c r="ED151" s="229">
        <v>0.30009999999999998</v>
      </c>
      <c r="EE151" s="228">
        <v>1.42</v>
      </c>
      <c r="EF151" s="229">
        <v>5.4000000000000003E-3</v>
      </c>
      <c r="EG151" s="230">
        <v>1796701</v>
      </c>
      <c r="EH151" s="230">
        <v>6996608</v>
      </c>
      <c r="EI151" s="229">
        <v>-0.74319999999999997</v>
      </c>
      <c r="EJ151" s="229">
        <v>0.51039999999999996</v>
      </c>
      <c r="EK151" s="228">
        <v>266.94</v>
      </c>
      <c r="EL151" s="228">
        <v>79</v>
      </c>
      <c r="EM151" s="228">
        <v>683.08</v>
      </c>
      <c r="EN151" s="228">
        <v>16.48</v>
      </c>
      <c r="EO151" s="231">
        <v>1029.03</v>
      </c>
      <c r="EP151" s="228">
        <v>627.4</v>
      </c>
      <c r="EQ151" s="228">
        <v>401.63</v>
      </c>
      <c r="ER151" s="229">
        <v>0.64019999999999999</v>
      </c>
      <c r="ES151" s="228">
        <v>331.47</v>
      </c>
      <c r="ET151" s="228">
        <v>139.52000000000001</v>
      </c>
      <c r="EU151" s="231">
        <v>1351.25</v>
      </c>
      <c r="EV151" s="231">
        <v>205669742</v>
      </c>
      <c r="EW151" s="231">
        <v>1822.23</v>
      </c>
      <c r="EX151" s="231">
        <v>1739.36</v>
      </c>
      <c r="EY151" s="228">
        <v>82.87</v>
      </c>
      <c r="EZ151" s="229">
        <v>4.7600000000000003E-2</v>
      </c>
      <c r="FA151" s="229">
        <v>0.33729999999999999</v>
      </c>
      <c r="FB151" s="227" t="s">
        <v>555</v>
      </c>
      <c r="FC151">
        <f t="shared" si="3"/>
        <v>0</v>
      </c>
    </row>
    <row r="152" spans="1:159" ht="17.25" thickBot="1" x14ac:dyDescent="0.3">
      <c r="A152" s="226">
        <v>46135</v>
      </c>
      <c r="B152" s="227" t="s">
        <v>206</v>
      </c>
      <c r="C152" s="227" t="s">
        <v>528</v>
      </c>
      <c r="D152" s="228">
        <v>350</v>
      </c>
      <c r="E152" s="228">
        <v>5</v>
      </c>
      <c r="F152" s="231">
        <v>1709.6</v>
      </c>
      <c r="G152" s="231">
        <v>1733.8</v>
      </c>
      <c r="H152" s="228">
        <v>-24.2</v>
      </c>
      <c r="I152" s="229">
        <v>-1.4E-2</v>
      </c>
      <c r="J152" s="231">
        <v>1707.7</v>
      </c>
      <c r="K152" s="231">
        <v>1733.6</v>
      </c>
      <c r="L152" s="228">
        <v>-25.9</v>
      </c>
      <c r="M152" s="229">
        <v>-1.49E-2</v>
      </c>
      <c r="N152" s="231">
        <v>1709.6</v>
      </c>
      <c r="O152" s="231">
        <v>1733.8</v>
      </c>
      <c r="P152" s="228">
        <v>-24.2</v>
      </c>
      <c r="Q152" s="229">
        <v>-1.4E-2</v>
      </c>
      <c r="R152" s="231">
        <v>1681.4</v>
      </c>
      <c r="S152" s="231">
        <v>1708</v>
      </c>
      <c r="T152" s="228">
        <v>-26.6</v>
      </c>
      <c r="U152" s="229">
        <v>-1.5599999999999999E-2</v>
      </c>
      <c r="V152" s="231">
        <v>1670</v>
      </c>
      <c r="W152" s="231">
        <v>1695.3</v>
      </c>
      <c r="X152" s="228">
        <v>-25.3</v>
      </c>
      <c r="Y152" s="229">
        <v>-1.49E-2</v>
      </c>
      <c r="Z152" s="228">
        <v>1.9</v>
      </c>
      <c r="AA152" s="228">
        <v>0.2</v>
      </c>
      <c r="AB152" s="228">
        <v>1.7</v>
      </c>
      <c r="AC152" s="229">
        <v>1.1000000000000001E-3</v>
      </c>
      <c r="AD152" s="228">
        <v>1.9</v>
      </c>
      <c r="AE152" s="228">
        <v>0.2</v>
      </c>
      <c r="AF152" s="228">
        <v>1.7</v>
      </c>
      <c r="AG152" s="229">
        <v>1.1000000000000001E-3</v>
      </c>
      <c r="AH152" s="228">
        <v>-26.3</v>
      </c>
      <c r="AI152" s="228">
        <v>-25.6</v>
      </c>
      <c r="AJ152" s="228">
        <v>-0.7</v>
      </c>
      <c r="AK152" s="229">
        <v>-1.54E-2</v>
      </c>
      <c r="AL152" s="228">
        <v>-37.700000000000003</v>
      </c>
      <c r="AM152" s="228">
        <v>-38.299999999999997</v>
      </c>
      <c r="AN152" s="228">
        <v>0.6</v>
      </c>
      <c r="AO152" s="229">
        <v>-2.2100000000000002E-2</v>
      </c>
      <c r="AP152" s="231">
        <v>1717.54</v>
      </c>
      <c r="AQ152" s="231">
        <v>1688.39</v>
      </c>
      <c r="AR152" s="228">
        <v>0</v>
      </c>
      <c r="AS152" s="228">
        <v>985</v>
      </c>
      <c r="AT152" s="228">
        <v>132</v>
      </c>
      <c r="AU152" s="228">
        <v>853</v>
      </c>
      <c r="AV152" s="229">
        <v>6.4566999999999997</v>
      </c>
      <c r="AW152" s="228">
        <v>511</v>
      </c>
      <c r="AX152" s="228">
        <v>84</v>
      </c>
      <c r="AY152" s="228">
        <v>427</v>
      </c>
      <c r="AZ152" s="229">
        <v>5.1174999999999997</v>
      </c>
      <c r="BA152" s="228">
        <v>473</v>
      </c>
      <c r="BB152" s="228">
        <v>48</v>
      </c>
      <c r="BC152" s="228">
        <v>425</v>
      </c>
      <c r="BD152" s="229">
        <v>8.8777000000000008</v>
      </c>
      <c r="BE152" s="228">
        <v>0</v>
      </c>
      <c r="BF152" s="228">
        <v>1</v>
      </c>
      <c r="BG152" s="228">
        <v>0</v>
      </c>
      <c r="BH152" s="229">
        <v>-0.5</v>
      </c>
      <c r="BI152" s="228">
        <v>141</v>
      </c>
      <c r="BJ152" s="228">
        <v>254</v>
      </c>
      <c r="BK152" s="228">
        <v>-113</v>
      </c>
      <c r="BL152" s="229">
        <v>-0.44550000000000001</v>
      </c>
      <c r="BM152" s="228">
        <v>131</v>
      </c>
      <c r="BN152" s="228">
        <v>91</v>
      </c>
      <c r="BO152" s="228">
        <v>40</v>
      </c>
      <c r="BP152" s="229">
        <v>0.43290000000000001</v>
      </c>
      <c r="BQ152" s="230">
        <v>1256</v>
      </c>
      <c r="BR152" s="228">
        <v>477</v>
      </c>
      <c r="BS152" s="228">
        <v>779</v>
      </c>
      <c r="BT152" s="229">
        <v>1.6335999999999999</v>
      </c>
      <c r="BU152" s="230">
        <v>252368</v>
      </c>
      <c r="BV152" s="230">
        <v>495450</v>
      </c>
      <c r="BW152" s="230">
        <v>-243082</v>
      </c>
      <c r="BX152" s="229">
        <v>-0.49059999999999998</v>
      </c>
      <c r="BY152" s="230">
        <v>1450</v>
      </c>
      <c r="BZ152" s="230">
        <v>1683</v>
      </c>
      <c r="CA152" s="228">
        <v>-233</v>
      </c>
      <c r="CB152" s="229">
        <v>-0.1384</v>
      </c>
      <c r="CC152" s="228">
        <v>995</v>
      </c>
      <c r="CD152" s="230">
        <v>1426</v>
      </c>
      <c r="CE152" s="228">
        <v>-431</v>
      </c>
      <c r="CF152" s="229">
        <v>-0.30259999999999998</v>
      </c>
      <c r="CG152" s="228">
        <v>452</v>
      </c>
      <c r="CH152" s="228">
        <v>254</v>
      </c>
      <c r="CI152" s="228">
        <v>198</v>
      </c>
      <c r="CJ152" s="229">
        <v>0.78169999999999995</v>
      </c>
      <c r="CK152" s="228">
        <v>3</v>
      </c>
      <c r="CL152" s="228">
        <v>3</v>
      </c>
      <c r="CM152" s="228">
        <v>0</v>
      </c>
      <c r="CN152" s="229">
        <v>5.6599999999999998E-2</v>
      </c>
      <c r="CO152" s="228">
        <v>301</v>
      </c>
      <c r="CP152" s="228">
        <v>308</v>
      </c>
      <c r="CQ152" s="228">
        <v>-8</v>
      </c>
      <c r="CR152" s="229">
        <v>-2.4500000000000001E-2</v>
      </c>
      <c r="CS152" s="228">
        <v>185</v>
      </c>
      <c r="CT152" s="228">
        <v>192</v>
      </c>
      <c r="CU152" s="228">
        <v>-7</v>
      </c>
      <c r="CV152" s="229">
        <v>-3.6200000000000003E-2</v>
      </c>
      <c r="CW152" s="230">
        <v>1936</v>
      </c>
      <c r="CX152" s="230">
        <v>2183</v>
      </c>
      <c r="CY152" s="228">
        <v>-247</v>
      </c>
      <c r="CZ152" s="229">
        <v>-0.1133</v>
      </c>
      <c r="DA152" s="228">
        <v>34.57</v>
      </c>
      <c r="DB152" s="228">
        <v>29.24</v>
      </c>
      <c r="DC152" s="228">
        <v>5.33</v>
      </c>
      <c r="DD152" s="228">
        <v>5.33</v>
      </c>
      <c r="DE152" s="228">
        <v>36.74</v>
      </c>
      <c r="DF152" s="228">
        <v>36.78</v>
      </c>
      <c r="DG152" s="228">
        <v>-2.17</v>
      </c>
      <c r="DH152" s="228">
        <v>-0.04</v>
      </c>
      <c r="DI152" s="228">
        <v>34.340000000000003</v>
      </c>
      <c r="DJ152" s="228">
        <v>27.79</v>
      </c>
      <c r="DK152" s="228">
        <v>6.55</v>
      </c>
      <c r="DL152" s="228">
        <v>6.55</v>
      </c>
      <c r="DM152" s="228">
        <v>34.68</v>
      </c>
      <c r="DN152" s="228">
        <v>33.26</v>
      </c>
      <c r="DO152" s="228">
        <v>1.42</v>
      </c>
      <c r="DP152" s="228">
        <v>1.42</v>
      </c>
      <c r="DQ152" s="228">
        <v>0.61</v>
      </c>
      <c r="DR152" s="228">
        <v>0.62</v>
      </c>
      <c r="DS152" s="228">
        <v>-0.01</v>
      </c>
      <c r="DT152" s="229">
        <v>-1.61E-2</v>
      </c>
      <c r="DU152" s="231">
        <v>1800</v>
      </c>
      <c r="DV152" s="231">
        <v>1520</v>
      </c>
      <c r="DW152" s="228">
        <v>0.93</v>
      </c>
      <c r="DX152" s="228">
        <v>0.36</v>
      </c>
      <c r="DY152" s="228">
        <v>0.56999999999999995</v>
      </c>
      <c r="DZ152" s="229">
        <v>1.5832999999999999</v>
      </c>
      <c r="EA152" s="229">
        <v>0.31419999999999998</v>
      </c>
      <c r="EB152" s="230">
        <v>1503250</v>
      </c>
      <c r="EC152" s="229">
        <v>-1.6500000000000001E-2</v>
      </c>
      <c r="ED152" s="229">
        <v>0.31419999999999998</v>
      </c>
      <c r="EE152" s="228">
        <v>-29.15</v>
      </c>
      <c r="EF152" s="229">
        <v>-1.7000000000000001E-2</v>
      </c>
      <c r="EG152" s="230">
        <v>95973</v>
      </c>
      <c r="EH152" s="230">
        <v>244313</v>
      </c>
      <c r="EI152" s="229">
        <v>-0.60719999999999996</v>
      </c>
      <c r="EJ152" s="229">
        <v>0.38030000000000003</v>
      </c>
      <c r="EK152" s="228">
        <v>145.88</v>
      </c>
      <c r="EL152" s="228">
        <v>129.13</v>
      </c>
      <c r="EM152" s="228">
        <v>981.21</v>
      </c>
      <c r="EN152" s="228">
        <v>29.95</v>
      </c>
      <c r="EO152" s="231">
        <v>1256.22</v>
      </c>
      <c r="EP152" s="228">
        <v>488.82</v>
      </c>
      <c r="EQ152" s="228">
        <v>767.4</v>
      </c>
      <c r="ER152" s="229">
        <v>1.5699000000000001</v>
      </c>
      <c r="ES152" s="228">
        <v>292.73</v>
      </c>
      <c r="ET152" s="228">
        <v>170.02</v>
      </c>
      <c r="EU152" s="231">
        <v>1442.65</v>
      </c>
      <c r="EV152" s="231">
        <v>17614093</v>
      </c>
      <c r="EW152" s="231">
        <v>1905.4</v>
      </c>
      <c r="EX152" s="231">
        <v>2180.2399999999998</v>
      </c>
      <c r="EY152" s="228">
        <v>-274.83999999999997</v>
      </c>
      <c r="EZ152" s="229">
        <v>-0.12609999999999999</v>
      </c>
      <c r="FA152" s="229">
        <v>0.64280000000000004</v>
      </c>
      <c r="FB152" s="227" t="s">
        <v>567</v>
      </c>
      <c r="FC152">
        <f t="shared" si="3"/>
        <v>0</v>
      </c>
    </row>
    <row r="153" spans="1:159" ht="17.25" thickBot="1" x14ac:dyDescent="0.3">
      <c r="A153" s="226">
        <v>46135</v>
      </c>
      <c r="B153" s="227" t="s">
        <v>221</v>
      </c>
      <c r="C153" s="227" t="s">
        <v>518</v>
      </c>
      <c r="D153" s="228">
        <v>75</v>
      </c>
      <c r="E153" s="228">
        <v>5</v>
      </c>
      <c r="F153" s="231">
        <v>8783</v>
      </c>
      <c r="G153" s="231">
        <v>8160.5</v>
      </c>
      <c r="H153" s="228">
        <v>622.5</v>
      </c>
      <c r="I153" s="229">
        <v>7.6300000000000007E-2</v>
      </c>
      <c r="J153" s="231">
        <v>8791.5</v>
      </c>
      <c r="K153" s="231">
        <v>8126.5</v>
      </c>
      <c r="L153" s="228">
        <v>665</v>
      </c>
      <c r="M153" s="229">
        <v>8.1799999999999998E-2</v>
      </c>
      <c r="N153" s="231">
        <v>8783</v>
      </c>
      <c r="O153" s="231">
        <v>8160.5</v>
      </c>
      <c r="P153" s="228">
        <v>622.5</v>
      </c>
      <c r="Q153" s="229">
        <v>7.6300000000000007E-2</v>
      </c>
      <c r="R153" s="231">
        <v>8682.5</v>
      </c>
      <c r="S153" s="231">
        <v>8084</v>
      </c>
      <c r="T153" s="228">
        <v>598.5</v>
      </c>
      <c r="U153" s="229">
        <v>7.3999999999999996E-2</v>
      </c>
      <c r="V153" s="231">
        <v>8633</v>
      </c>
      <c r="W153" s="231">
        <v>8028.5</v>
      </c>
      <c r="X153" s="228">
        <v>604.5</v>
      </c>
      <c r="Y153" s="229">
        <v>7.5300000000000006E-2</v>
      </c>
      <c r="Z153" s="228">
        <v>-8.5</v>
      </c>
      <c r="AA153" s="228">
        <v>34</v>
      </c>
      <c r="AB153" s="228">
        <v>-42.5</v>
      </c>
      <c r="AC153" s="229">
        <v>-1E-3</v>
      </c>
      <c r="AD153" s="228">
        <v>-8.5</v>
      </c>
      <c r="AE153" s="228">
        <v>34</v>
      </c>
      <c r="AF153" s="228">
        <v>-42.5</v>
      </c>
      <c r="AG153" s="229">
        <v>-1E-3</v>
      </c>
      <c r="AH153" s="228">
        <v>-109</v>
      </c>
      <c r="AI153" s="228">
        <v>-42.5</v>
      </c>
      <c r="AJ153" s="228">
        <v>-66.5</v>
      </c>
      <c r="AK153" s="229">
        <v>-1.24E-2</v>
      </c>
      <c r="AL153" s="228">
        <v>-158.5</v>
      </c>
      <c r="AM153" s="228">
        <v>-98</v>
      </c>
      <c r="AN153" s="228">
        <v>-60.5</v>
      </c>
      <c r="AO153" s="229">
        <v>-1.7999999999999999E-2</v>
      </c>
      <c r="AP153" s="231">
        <v>8636.58</v>
      </c>
      <c r="AQ153" s="231">
        <v>8584.24</v>
      </c>
      <c r="AR153" s="228">
        <v>0</v>
      </c>
      <c r="AS153" s="230">
        <v>2684</v>
      </c>
      <c r="AT153" s="228">
        <v>876</v>
      </c>
      <c r="AU153" s="230">
        <v>1808</v>
      </c>
      <c r="AV153" s="229">
        <v>2.0640000000000001</v>
      </c>
      <c r="AW153" s="230">
        <v>1577</v>
      </c>
      <c r="AX153" s="228">
        <v>670</v>
      </c>
      <c r="AY153" s="228">
        <v>907</v>
      </c>
      <c r="AZ153" s="229">
        <v>1.3525</v>
      </c>
      <c r="BA153" s="230">
        <v>1090</v>
      </c>
      <c r="BB153" s="228">
        <v>202</v>
      </c>
      <c r="BC153" s="228">
        <v>888</v>
      </c>
      <c r="BD153" s="229">
        <v>4.3868999999999998</v>
      </c>
      <c r="BE153" s="228">
        <v>17</v>
      </c>
      <c r="BF153" s="228">
        <v>3</v>
      </c>
      <c r="BG153" s="228">
        <v>14</v>
      </c>
      <c r="BH153" s="229">
        <v>4.0587999999999997</v>
      </c>
      <c r="BI153" s="230">
        <v>21033</v>
      </c>
      <c r="BJ153" s="230">
        <v>3899</v>
      </c>
      <c r="BK153" s="230">
        <v>17134</v>
      </c>
      <c r="BL153" s="229">
        <v>4.3949999999999996</v>
      </c>
      <c r="BM153" s="230">
        <v>7816</v>
      </c>
      <c r="BN153" s="230">
        <v>2702</v>
      </c>
      <c r="BO153" s="230">
        <v>5114</v>
      </c>
      <c r="BP153" s="229">
        <v>1.8929</v>
      </c>
      <c r="BQ153" s="230">
        <v>31533</v>
      </c>
      <c r="BR153" s="230">
        <v>7476</v>
      </c>
      <c r="BS153" s="230">
        <v>24056</v>
      </c>
      <c r="BT153" s="229">
        <v>3.2176999999999998</v>
      </c>
      <c r="BU153" s="230">
        <v>2815172</v>
      </c>
      <c r="BV153" s="230">
        <v>450456</v>
      </c>
      <c r="BW153" s="230">
        <v>2364716</v>
      </c>
      <c r="BX153" s="229">
        <v>5.2496</v>
      </c>
      <c r="BY153" s="230">
        <v>1431</v>
      </c>
      <c r="BZ153" s="230">
        <v>1496</v>
      </c>
      <c r="CA153" s="228">
        <v>-65</v>
      </c>
      <c r="CB153" s="229">
        <v>-4.3299999999999998E-2</v>
      </c>
      <c r="CC153" s="228">
        <v>906</v>
      </c>
      <c r="CD153" s="230">
        <v>1290</v>
      </c>
      <c r="CE153" s="228">
        <v>-385</v>
      </c>
      <c r="CF153" s="229">
        <v>-0.29799999999999999</v>
      </c>
      <c r="CG153" s="228">
        <v>515</v>
      </c>
      <c r="CH153" s="228">
        <v>194</v>
      </c>
      <c r="CI153" s="228">
        <v>321</v>
      </c>
      <c r="CJ153" s="229">
        <v>1.6506000000000001</v>
      </c>
      <c r="CK153" s="228">
        <v>10</v>
      </c>
      <c r="CL153" s="228">
        <v>11</v>
      </c>
      <c r="CM153" s="228">
        <v>-1</v>
      </c>
      <c r="CN153" s="229">
        <v>-9.1499999999999998E-2</v>
      </c>
      <c r="CO153" s="230">
        <v>1274</v>
      </c>
      <c r="CP153" s="230">
        <v>1041</v>
      </c>
      <c r="CQ153" s="228">
        <v>233</v>
      </c>
      <c r="CR153" s="229">
        <v>0.22339999999999999</v>
      </c>
      <c r="CS153" s="230">
        <v>1205</v>
      </c>
      <c r="CT153" s="228">
        <v>884</v>
      </c>
      <c r="CU153" s="228">
        <v>321</v>
      </c>
      <c r="CV153" s="229">
        <v>0.36249999999999999</v>
      </c>
      <c r="CW153" s="230">
        <v>3910</v>
      </c>
      <c r="CX153" s="230">
        <v>3421</v>
      </c>
      <c r="CY153" s="228">
        <v>489</v>
      </c>
      <c r="CZ153" s="229">
        <v>0.14280000000000001</v>
      </c>
      <c r="DA153" s="228">
        <v>38.5</v>
      </c>
      <c r="DB153" s="228">
        <v>56.82</v>
      </c>
      <c r="DC153" s="228">
        <v>-18.32</v>
      </c>
      <c r="DD153" s="228">
        <v>-18.32</v>
      </c>
      <c r="DE153" s="228">
        <v>41.31</v>
      </c>
      <c r="DF153" s="228">
        <v>40.090000000000003</v>
      </c>
      <c r="DG153" s="228">
        <v>-2.81</v>
      </c>
      <c r="DH153" s="228">
        <v>1.22</v>
      </c>
      <c r="DI153" s="228">
        <v>38.229999999999997</v>
      </c>
      <c r="DJ153" s="228">
        <v>56.18</v>
      </c>
      <c r="DK153" s="228">
        <v>-17.95</v>
      </c>
      <c r="DL153" s="228">
        <v>-17.95</v>
      </c>
      <c r="DM153" s="228">
        <v>39.26</v>
      </c>
      <c r="DN153" s="228">
        <v>57.74</v>
      </c>
      <c r="DO153" s="228">
        <v>-18.48</v>
      </c>
      <c r="DP153" s="228">
        <v>-18.48</v>
      </c>
      <c r="DQ153" s="228">
        <v>0.95</v>
      </c>
      <c r="DR153" s="228">
        <v>0.85</v>
      </c>
      <c r="DS153" s="228">
        <v>0.1</v>
      </c>
      <c r="DT153" s="229">
        <v>0.1176</v>
      </c>
      <c r="DU153" s="231">
        <v>9000</v>
      </c>
      <c r="DV153" s="231">
        <v>8000</v>
      </c>
      <c r="DW153" s="228">
        <v>0.37</v>
      </c>
      <c r="DX153" s="228">
        <v>0.69</v>
      </c>
      <c r="DY153" s="228">
        <v>-0.32</v>
      </c>
      <c r="DZ153" s="229">
        <v>-0.46379999999999999</v>
      </c>
      <c r="EA153" s="229">
        <v>0.36699999999999999</v>
      </c>
      <c r="EB153" s="230">
        <v>233625</v>
      </c>
      <c r="EC153" s="229">
        <v>-1.14E-2</v>
      </c>
      <c r="ED153" s="229">
        <v>0.36699999999999999</v>
      </c>
      <c r="EE153" s="228">
        <v>-52.34</v>
      </c>
      <c r="EF153" s="229">
        <v>-6.1000000000000004E-3</v>
      </c>
      <c r="EG153" s="230">
        <v>457575</v>
      </c>
      <c r="EH153" s="230">
        <v>139488</v>
      </c>
      <c r="EI153" s="229">
        <v>2.2804000000000002</v>
      </c>
      <c r="EJ153" s="229">
        <v>0.16250000000000001</v>
      </c>
      <c r="EK153" s="231">
        <v>21603.73</v>
      </c>
      <c r="EL153" s="231">
        <v>7268.13</v>
      </c>
      <c r="EM153" s="231">
        <v>2632.85</v>
      </c>
      <c r="EN153" s="228">
        <v>70.540000000000006</v>
      </c>
      <c r="EO153" s="231">
        <v>31504.7</v>
      </c>
      <c r="EP153" s="231">
        <v>6951.79</v>
      </c>
      <c r="EQ153" s="231">
        <v>24552.91</v>
      </c>
      <c r="ER153" s="229">
        <v>3.5318999999999998</v>
      </c>
      <c r="ES153" s="231">
        <v>1249.56</v>
      </c>
      <c r="ET153" s="231">
        <v>1073.02</v>
      </c>
      <c r="EU153" s="231">
        <v>1424.82</v>
      </c>
      <c r="EV153" s="231">
        <v>3594855</v>
      </c>
      <c r="EW153" s="231">
        <v>3747.4</v>
      </c>
      <c r="EX153" s="231">
        <v>3102.24</v>
      </c>
      <c r="EY153" s="228">
        <v>645.16</v>
      </c>
      <c r="EZ153" s="229">
        <v>0.20799999999999999</v>
      </c>
      <c r="FA153" s="229">
        <v>1.2383</v>
      </c>
      <c r="FB153" s="227" t="s">
        <v>693</v>
      </c>
      <c r="FC153">
        <f t="shared" si="3"/>
        <v>0</v>
      </c>
    </row>
    <row r="154" spans="1:159" ht="17.25" thickBot="1" x14ac:dyDescent="0.3">
      <c r="A154" s="226">
        <v>46135</v>
      </c>
      <c r="B154" s="227" t="s">
        <v>193</v>
      </c>
      <c r="C154" s="227" t="s">
        <v>586</v>
      </c>
      <c r="D154" s="228">
        <v>1400</v>
      </c>
      <c r="E154" s="228">
        <v>5</v>
      </c>
      <c r="F154" s="228">
        <v>474.3</v>
      </c>
      <c r="G154" s="228">
        <v>471</v>
      </c>
      <c r="H154" s="228">
        <v>3.3</v>
      </c>
      <c r="I154" s="229">
        <v>7.0000000000000001E-3</v>
      </c>
      <c r="J154" s="228">
        <v>473.9</v>
      </c>
      <c r="K154" s="228">
        <v>469.75</v>
      </c>
      <c r="L154" s="228">
        <v>4.1500000000000004</v>
      </c>
      <c r="M154" s="229">
        <v>8.8000000000000005E-3</v>
      </c>
      <c r="N154" s="228">
        <v>474.3</v>
      </c>
      <c r="O154" s="228">
        <v>471</v>
      </c>
      <c r="P154" s="228">
        <v>3.3</v>
      </c>
      <c r="Q154" s="229">
        <v>7.0000000000000001E-3</v>
      </c>
      <c r="R154" s="228">
        <v>472.1</v>
      </c>
      <c r="S154" s="228">
        <v>469.4</v>
      </c>
      <c r="T154" s="228">
        <v>2.7</v>
      </c>
      <c r="U154" s="229">
        <v>5.7999999999999996E-3</v>
      </c>
      <c r="V154" s="228">
        <v>471.15</v>
      </c>
      <c r="W154" s="228">
        <v>467.85</v>
      </c>
      <c r="X154" s="228">
        <v>3.3</v>
      </c>
      <c r="Y154" s="229">
        <v>7.1000000000000004E-3</v>
      </c>
      <c r="Z154" s="228">
        <v>0.4</v>
      </c>
      <c r="AA154" s="228">
        <v>1.25</v>
      </c>
      <c r="AB154" s="228">
        <v>-0.85</v>
      </c>
      <c r="AC154" s="229">
        <v>8.0000000000000004E-4</v>
      </c>
      <c r="AD154" s="228">
        <v>0.4</v>
      </c>
      <c r="AE154" s="228">
        <v>1.25</v>
      </c>
      <c r="AF154" s="228">
        <v>-0.85</v>
      </c>
      <c r="AG154" s="229">
        <v>8.0000000000000004E-4</v>
      </c>
      <c r="AH154" s="228">
        <v>-1.8</v>
      </c>
      <c r="AI154" s="228">
        <v>-0.35</v>
      </c>
      <c r="AJ154" s="228">
        <v>-1.45</v>
      </c>
      <c r="AK154" s="229">
        <v>-3.8E-3</v>
      </c>
      <c r="AL154" s="228">
        <v>-2.75</v>
      </c>
      <c r="AM154" s="228">
        <v>-1.9</v>
      </c>
      <c r="AN154" s="228">
        <v>-0.85</v>
      </c>
      <c r="AO154" s="229">
        <v>-5.7999999999999996E-3</v>
      </c>
      <c r="AP154" s="228">
        <v>475.77</v>
      </c>
      <c r="AQ154" s="228">
        <v>473.17</v>
      </c>
      <c r="AR154" s="228">
        <v>0</v>
      </c>
      <c r="AS154" s="228">
        <v>692</v>
      </c>
      <c r="AT154" s="228">
        <v>186</v>
      </c>
      <c r="AU154" s="228">
        <v>506</v>
      </c>
      <c r="AV154" s="229">
        <v>2.7179000000000002</v>
      </c>
      <c r="AW154" s="228">
        <v>349</v>
      </c>
      <c r="AX154" s="228">
        <v>131</v>
      </c>
      <c r="AY154" s="228">
        <v>218</v>
      </c>
      <c r="AZ154" s="229">
        <v>1.6616</v>
      </c>
      <c r="BA154" s="228">
        <v>339</v>
      </c>
      <c r="BB154" s="228">
        <v>54</v>
      </c>
      <c r="BC154" s="228">
        <v>285</v>
      </c>
      <c r="BD154" s="229">
        <v>5.2828999999999997</v>
      </c>
      <c r="BE154" s="228">
        <v>4</v>
      </c>
      <c r="BF154" s="228">
        <v>1</v>
      </c>
      <c r="BG154" s="228">
        <v>3</v>
      </c>
      <c r="BH154" s="229">
        <v>2.9285999999999999</v>
      </c>
      <c r="BI154" s="230">
        <v>1117</v>
      </c>
      <c r="BJ154" s="228">
        <v>494</v>
      </c>
      <c r="BK154" s="228">
        <v>623</v>
      </c>
      <c r="BL154" s="229">
        <v>1.2604</v>
      </c>
      <c r="BM154" s="228">
        <v>232</v>
      </c>
      <c r="BN154" s="228">
        <v>131</v>
      </c>
      <c r="BO154" s="228">
        <v>101</v>
      </c>
      <c r="BP154" s="229">
        <v>0.7671</v>
      </c>
      <c r="BQ154" s="230">
        <v>2041</v>
      </c>
      <c r="BR154" s="228">
        <v>811</v>
      </c>
      <c r="BS154" s="230">
        <v>1229</v>
      </c>
      <c r="BT154" s="229">
        <v>1.5150999999999999</v>
      </c>
      <c r="BU154" s="230">
        <v>5034999</v>
      </c>
      <c r="BV154" s="230">
        <v>6070392</v>
      </c>
      <c r="BW154" s="230">
        <v>-1035393</v>
      </c>
      <c r="BX154" s="229">
        <v>-0.1706</v>
      </c>
      <c r="BY154" s="228">
        <v>933</v>
      </c>
      <c r="BZ154" s="228">
        <v>970</v>
      </c>
      <c r="CA154" s="228">
        <v>-37</v>
      </c>
      <c r="CB154" s="229">
        <v>-3.8100000000000002E-2</v>
      </c>
      <c r="CC154" s="228">
        <v>657</v>
      </c>
      <c r="CD154" s="228">
        <v>882</v>
      </c>
      <c r="CE154" s="228">
        <v>-225</v>
      </c>
      <c r="CF154" s="229">
        <v>-0.255</v>
      </c>
      <c r="CG154" s="228">
        <v>268</v>
      </c>
      <c r="CH154" s="228">
        <v>80</v>
      </c>
      <c r="CI154" s="228">
        <v>188</v>
      </c>
      <c r="CJ154" s="229">
        <v>2.3571</v>
      </c>
      <c r="CK154" s="228">
        <v>8</v>
      </c>
      <c r="CL154" s="228">
        <v>8</v>
      </c>
      <c r="CM154" s="228">
        <v>0</v>
      </c>
      <c r="CN154" s="229">
        <v>-5.6000000000000001E-2</v>
      </c>
      <c r="CO154" s="228">
        <v>494</v>
      </c>
      <c r="CP154" s="228">
        <v>492</v>
      </c>
      <c r="CQ154" s="228">
        <v>2</v>
      </c>
      <c r="CR154" s="229">
        <v>3.2000000000000002E-3</v>
      </c>
      <c r="CS154" s="228">
        <v>233</v>
      </c>
      <c r="CT154" s="228">
        <v>214</v>
      </c>
      <c r="CU154" s="228">
        <v>18</v>
      </c>
      <c r="CV154" s="229">
        <v>8.5199999999999998E-2</v>
      </c>
      <c r="CW154" s="230">
        <v>1660</v>
      </c>
      <c r="CX154" s="230">
        <v>1677</v>
      </c>
      <c r="CY154" s="228">
        <v>-17</v>
      </c>
      <c r="CZ154" s="229">
        <v>-1.0200000000000001E-2</v>
      </c>
      <c r="DA154" s="228">
        <v>35.26</v>
      </c>
      <c r="DB154" s="228">
        <v>29.86</v>
      </c>
      <c r="DC154" s="228">
        <v>5.4</v>
      </c>
      <c r="DD154" s="228">
        <v>5.4</v>
      </c>
      <c r="DE154" s="228">
        <v>41.3</v>
      </c>
      <c r="DF154" s="228">
        <v>41.39</v>
      </c>
      <c r="DG154" s="228">
        <v>-6.04</v>
      </c>
      <c r="DH154" s="228">
        <v>-0.09</v>
      </c>
      <c r="DI154" s="228">
        <v>35.56</v>
      </c>
      <c r="DJ154" s="228">
        <v>30.02</v>
      </c>
      <c r="DK154" s="228">
        <v>5.54</v>
      </c>
      <c r="DL154" s="228">
        <v>5.54</v>
      </c>
      <c r="DM154" s="228">
        <v>34.590000000000003</v>
      </c>
      <c r="DN154" s="228">
        <v>29.27</v>
      </c>
      <c r="DO154" s="228">
        <v>5.32</v>
      </c>
      <c r="DP154" s="228">
        <v>5.32</v>
      </c>
      <c r="DQ154" s="228">
        <v>0.47</v>
      </c>
      <c r="DR154" s="228">
        <v>0.44</v>
      </c>
      <c r="DS154" s="228">
        <v>0.03</v>
      </c>
      <c r="DT154" s="229">
        <v>6.8199999999999997E-2</v>
      </c>
      <c r="DU154" s="228">
        <v>500</v>
      </c>
      <c r="DV154" s="228">
        <v>470</v>
      </c>
      <c r="DW154" s="228">
        <v>0.21</v>
      </c>
      <c r="DX154" s="228">
        <v>0.27</v>
      </c>
      <c r="DY154" s="228">
        <v>-0.06</v>
      </c>
      <c r="DZ154" s="229">
        <v>-0.22220000000000001</v>
      </c>
      <c r="EA154" s="229">
        <v>0.2959</v>
      </c>
      <c r="EB154" s="230">
        <v>1860600</v>
      </c>
      <c r="EC154" s="229">
        <v>-4.5999999999999999E-3</v>
      </c>
      <c r="ED154" s="229">
        <v>0.2959</v>
      </c>
      <c r="EE154" s="228">
        <v>-2.6</v>
      </c>
      <c r="EF154" s="229">
        <v>-5.4999999999999997E-3</v>
      </c>
      <c r="EG154" s="230">
        <v>1942358</v>
      </c>
      <c r="EH154" s="230">
        <v>3540234</v>
      </c>
      <c r="EI154" s="229">
        <v>-0.45129999999999998</v>
      </c>
      <c r="EJ154" s="229">
        <v>0.38579999999999998</v>
      </c>
      <c r="EK154" s="231">
        <v>1157.1600000000001</v>
      </c>
      <c r="EL154" s="228">
        <v>230.32</v>
      </c>
      <c r="EM154" s="228">
        <v>692.51</v>
      </c>
      <c r="EN154" s="228">
        <v>20.62</v>
      </c>
      <c r="EO154" s="231">
        <v>2079.98</v>
      </c>
      <c r="EP154" s="228">
        <v>820.27</v>
      </c>
      <c r="EQ154" s="231">
        <v>1259.71</v>
      </c>
      <c r="ER154" s="229">
        <v>1.5357000000000001</v>
      </c>
      <c r="ES154" s="228">
        <v>520.80999999999995</v>
      </c>
      <c r="ET154" s="228">
        <v>225.59</v>
      </c>
      <c r="EU154" s="228">
        <v>932.12</v>
      </c>
      <c r="EV154" s="231">
        <v>105756420</v>
      </c>
      <c r="EW154" s="231">
        <v>1678.51</v>
      </c>
      <c r="EX154" s="231">
        <v>1690.29</v>
      </c>
      <c r="EY154" s="228">
        <v>-11.78</v>
      </c>
      <c r="EZ154" s="229">
        <v>-7.0000000000000001E-3</v>
      </c>
      <c r="FA154" s="229">
        <v>0.33079999999999998</v>
      </c>
      <c r="FB154" s="227" t="s">
        <v>693</v>
      </c>
      <c r="FC154">
        <f t="shared" si="3"/>
        <v>0</v>
      </c>
    </row>
    <row r="155" spans="1:159" ht="17.25" thickBot="1" x14ac:dyDescent="0.3">
      <c r="A155" s="226">
        <v>46135</v>
      </c>
      <c r="B155" s="227" t="s">
        <v>193</v>
      </c>
      <c r="C155" s="227" t="s">
        <v>269</v>
      </c>
      <c r="D155" s="228">
        <v>2250</v>
      </c>
      <c r="E155" s="228">
        <v>5</v>
      </c>
      <c r="F155" s="228">
        <v>286.64999999999998</v>
      </c>
      <c r="G155" s="228">
        <v>284.5</v>
      </c>
      <c r="H155" s="228">
        <v>2.15</v>
      </c>
      <c r="I155" s="229">
        <v>7.6E-3</v>
      </c>
      <c r="J155" s="228">
        <v>286.25</v>
      </c>
      <c r="K155" s="228">
        <v>283.64999999999998</v>
      </c>
      <c r="L155" s="228">
        <v>2.6</v>
      </c>
      <c r="M155" s="229">
        <v>9.1999999999999998E-3</v>
      </c>
      <c r="N155" s="228">
        <v>286.64999999999998</v>
      </c>
      <c r="O155" s="228">
        <v>284.5</v>
      </c>
      <c r="P155" s="228">
        <v>2.15</v>
      </c>
      <c r="Q155" s="229">
        <v>7.6E-3</v>
      </c>
      <c r="R155" s="228">
        <v>288.2</v>
      </c>
      <c r="S155" s="228">
        <v>285.75</v>
      </c>
      <c r="T155" s="228">
        <v>2.4500000000000002</v>
      </c>
      <c r="U155" s="229">
        <v>8.6E-3</v>
      </c>
      <c r="V155" s="228">
        <v>290.05</v>
      </c>
      <c r="W155" s="228">
        <v>287.5</v>
      </c>
      <c r="X155" s="228">
        <v>2.5499999999999998</v>
      </c>
      <c r="Y155" s="229">
        <v>8.8999999999999999E-3</v>
      </c>
      <c r="Z155" s="228">
        <v>0.4</v>
      </c>
      <c r="AA155" s="228">
        <v>0.85</v>
      </c>
      <c r="AB155" s="228">
        <v>-0.45</v>
      </c>
      <c r="AC155" s="229">
        <v>1.4E-3</v>
      </c>
      <c r="AD155" s="228">
        <v>0.4</v>
      </c>
      <c r="AE155" s="228">
        <v>0.85</v>
      </c>
      <c r="AF155" s="228">
        <v>-0.45</v>
      </c>
      <c r="AG155" s="229">
        <v>1.4E-3</v>
      </c>
      <c r="AH155" s="228">
        <v>1.95</v>
      </c>
      <c r="AI155" s="228">
        <v>2.1</v>
      </c>
      <c r="AJ155" s="228">
        <v>-0.15</v>
      </c>
      <c r="AK155" s="229">
        <v>6.7999999999999996E-3</v>
      </c>
      <c r="AL155" s="228">
        <v>3.8</v>
      </c>
      <c r="AM155" s="228">
        <v>3.85</v>
      </c>
      <c r="AN155" s="228">
        <v>-0.05</v>
      </c>
      <c r="AO155" s="229">
        <v>1.3299999999999999E-2</v>
      </c>
      <c r="AP155" s="228">
        <v>286.76</v>
      </c>
      <c r="AQ155" s="228">
        <v>288.2</v>
      </c>
      <c r="AR155" s="228">
        <v>0</v>
      </c>
      <c r="AS155" s="230">
        <v>1577</v>
      </c>
      <c r="AT155" s="228">
        <v>278</v>
      </c>
      <c r="AU155" s="230">
        <v>1299</v>
      </c>
      <c r="AV155" s="229">
        <v>4.6647999999999996</v>
      </c>
      <c r="AW155" s="228">
        <v>825</v>
      </c>
      <c r="AX155" s="228">
        <v>192</v>
      </c>
      <c r="AY155" s="228">
        <v>633</v>
      </c>
      <c r="AZ155" s="229">
        <v>3.3060999999999998</v>
      </c>
      <c r="BA155" s="228">
        <v>711</v>
      </c>
      <c r="BB155" s="228">
        <v>80</v>
      </c>
      <c r="BC155" s="228">
        <v>631</v>
      </c>
      <c r="BD155" s="229">
        <v>7.9006999999999996</v>
      </c>
      <c r="BE155" s="228">
        <v>41</v>
      </c>
      <c r="BF155" s="228">
        <v>7</v>
      </c>
      <c r="BG155" s="228">
        <v>34</v>
      </c>
      <c r="BH155" s="229">
        <v>4.9074</v>
      </c>
      <c r="BI155" s="230">
        <v>4034</v>
      </c>
      <c r="BJ155" s="230">
        <v>1639</v>
      </c>
      <c r="BK155" s="230">
        <v>2395</v>
      </c>
      <c r="BL155" s="229">
        <v>1.4612000000000001</v>
      </c>
      <c r="BM155" s="230">
        <v>1314</v>
      </c>
      <c r="BN155" s="228">
        <v>652</v>
      </c>
      <c r="BO155" s="228">
        <v>663</v>
      </c>
      <c r="BP155" s="229">
        <v>1.0168999999999999</v>
      </c>
      <c r="BQ155" s="230">
        <v>6925</v>
      </c>
      <c r="BR155" s="230">
        <v>2569</v>
      </c>
      <c r="BS155" s="230">
        <v>4356</v>
      </c>
      <c r="BT155" s="229">
        <v>1.6957</v>
      </c>
      <c r="BU155" s="230">
        <v>14316664</v>
      </c>
      <c r="BV155" s="230">
        <v>9605525</v>
      </c>
      <c r="BW155" s="230">
        <v>4711139</v>
      </c>
      <c r="BX155" s="229">
        <v>0.49049999999999999</v>
      </c>
      <c r="BY155" s="230">
        <v>2976</v>
      </c>
      <c r="BZ155" s="230">
        <v>2932</v>
      </c>
      <c r="CA155" s="228">
        <v>44</v>
      </c>
      <c r="CB155" s="229">
        <v>1.52E-2</v>
      </c>
      <c r="CC155" s="230">
        <v>1876</v>
      </c>
      <c r="CD155" s="230">
        <v>2475</v>
      </c>
      <c r="CE155" s="228">
        <v>-599</v>
      </c>
      <c r="CF155" s="229">
        <v>-0.24210000000000001</v>
      </c>
      <c r="CG155" s="228">
        <v>842</v>
      </c>
      <c r="CH155" s="228">
        <v>236</v>
      </c>
      <c r="CI155" s="228">
        <v>607</v>
      </c>
      <c r="CJ155" s="229">
        <v>2.5750000000000002</v>
      </c>
      <c r="CK155" s="228">
        <v>259</v>
      </c>
      <c r="CL155" s="228">
        <v>221</v>
      </c>
      <c r="CM155" s="228">
        <v>37</v>
      </c>
      <c r="CN155" s="229">
        <v>0.1678</v>
      </c>
      <c r="CO155" s="230">
        <v>2757</v>
      </c>
      <c r="CP155" s="230">
        <v>2692</v>
      </c>
      <c r="CQ155" s="228">
        <v>64</v>
      </c>
      <c r="CR155" s="229">
        <v>2.3900000000000001E-2</v>
      </c>
      <c r="CS155" s="230">
        <v>1065</v>
      </c>
      <c r="CT155" s="230">
        <v>1080</v>
      </c>
      <c r="CU155" s="228">
        <v>-14</v>
      </c>
      <c r="CV155" s="229">
        <v>-1.32E-2</v>
      </c>
      <c r="CW155" s="230">
        <v>6798</v>
      </c>
      <c r="CX155" s="230">
        <v>6704</v>
      </c>
      <c r="CY155" s="228">
        <v>94</v>
      </c>
      <c r="CZ155" s="229">
        <v>1.41E-2</v>
      </c>
      <c r="DA155" s="228">
        <v>28.21</v>
      </c>
      <c r="DB155" s="228">
        <v>23.47</v>
      </c>
      <c r="DC155" s="228">
        <v>4.74</v>
      </c>
      <c r="DD155" s="228">
        <v>4.74</v>
      </c>
      <c r="DE155" s="228">
        <v>31.44</v>
      </c>
      <c r="DF155" s="228">
        <v>31.5</v>
      </c>
      <c r="DG155" s="228">
        <v>-3.23</v>
      </c>
      <c r="DH155" s="228">
        <v>-0.06</v>
      </c>
      <c r="DI155" s="228">
        <v>27.84</v>
      </c>
      <c r="DJ155" s="228">
        <v>22.03</v>
      </c>
      <c r="DK155" s="228">
        <v>5.81</v>
      </c>
      <c r="DL155" s="228">
        <v>5.81</v>
      </c>
      <c r="DM155" s="228">
        <v>29.81</v>
      </c>
      <c r="DN155" s="228">
        <v>27.09</v>
      </c>
      <c r="DO155" s="228">
        <v>2.72</v>
      </c>
      <c r="DP155" s="228">
        <v>2.72</v>
      </c>
      <c r="DQ155" s="228">
        <v>0.39</v>
      </c>
      <c r="DR155" s="228">
        <v>0.4</v>
      </c>
      <c r="DS155" s="228">
        <v>-0.01</v>
      </c>
      <c r="DT155" s="229">
        <v>-2.5000000000000001E-2</v>
      </c>
      <c r="DU155" s="228">
        <v>290</v>
      </c>
      <c r="DV155" s="228">
        <v>270</v>
      </c>
      <c r="DW155" s="228">
        <v>0.33</v>
      </c>
      <c r="DX155" s="228">
        <v>0.4</v>
      </c>
      <c r="DY155" s="228">
        <v>-7.0000000000000007E-2</v>
      </c>
      <c r="DZ155" s="229">
        <v>-0.17499999999999999</v>
      </c>
      <c r="EA155" s="229">
        <v>0.36980000000000002</v>
      </c>
      <c r="EB155" s="230">
        <v>15939000</v>
      </c>
      <c r="EC155" s="229">
        <v>5.4000000000000003E-3</v>
      </c>
      <c r="ED155" s="229">
        <v>0.36980000000000002</v>
      </c>
      <c r="EE155" s="228">
        <v>1.44</v>
      </c>
      <c r="EF155" s="229">
        <v>5.0000000000000001E-3</v>
      </c>
      <c r="EG155" s="230">
        <v>6884920</v>
      </c>
      <c r="EH155" s="230">
        <v>6120927</v>
      </c>
      <c r="EI155" s="229">
        <v>0.12479999999999999</v>
      </c>
      <c r="EJ155" s="229">
        <v>0.48089999999999999</v>
      </c>
      <c r="EK155" s="231">
        <v>4135.75</v>
      </c>
      <c r="EL155" s="231">
        <v>1289.1600000000001</v>
      </c>
      <c r="EM155" s="231">
        <v>1581.94</v>
      </c>
      <c r="EN155" s="228">
        <v>49.78</v>
      </c>
      <c r="EO155" s="231">
        <v>7006.85</v>
      </c>
      <c r="EP155" s="231">
        <v>2585.42</v>
      </c>
      <c r="EQ155" s="231">
        <v>4421.4399999999996</v>
      </c>
      <c r="ER155" s="229">
        <v>1.7101</v>
      </c>
      <c r="ES155" s="231">
        <v>2837.52</v>
      </c>
      <c r="ET155" s="231">
        <v>1012.22</v>
      </c>
      <c r="EU155" s="231">
        <v>2983.8</v>
      </c>
      <c r="EV155" s="231">
        <v>711370982</v>
      </c>
      <c r="EW155" s="231">
        <v>6833.53</v>
      </c>
      <c r="EX155" s="231">
        <v>6709.6</v>
      </c>
      <c r="EY155" s="228">
        <v>123.93</v>
      </c>
      <c r="EZ155" s="229">
        <v>1.8499999999999999E-2</v>
      </c>
      <c r="FA155" s="229">
        <v>0.33339999999999997</v>
      </c>
      <c r="FB155" s="227" t="s">
        <v>555</v>
      </c>
      <c r="FC155">
        <f t="shared" si="3"/>
        <v>0</v>
      </c>
    </row>
    <row r="156" spans="1:159" ht="17.25" thickBot="1" x14ac:dyDescent="0.3">
      <c r="A156" s="226">
        <v>46135</v>
      </c>
      <c r="B156" s="227" t="s">
        <v>197</v>
      </c>
      <c r="C156" s="227" t="s">
        <v>270</v>
      </c>
      <c r="D156" s="228">
        <v>15</v>
      </c>
      <c r="E156" s="228">
        <v>5</v>
      </c>
      <c r="F156" s="231">
        <v>37995</v>
      </c>
      <c r="G156" s="231">
        <v>37985</v>
      </c>
      <c r="H156" s="228">
        <v>10</v>
      </c>
      <c r="I156" s="229">
        <v>2.9999999999999997E-4</v>
      </c>
      <c r="J156" s="231">
        <v>37965</v>
      </c>
      <c r="K156" s="231">
        <v>37855</v>
      </c>
      <c r="L156" s="228">
        <v>110</v>
      </c>
      <c r="M156" s="229">
        <v>2.8999999999999998E-3</v>
      </c>
      <c r="N156" s="231">
        <v>37995</v>
      </c>
      <c r="O156" s="231">
        <v>37985</v>
      </c>
      <c r="P156" s="228">
        <v>10</v>
      </c>
      <c r="Q156" s="229">
        <v>2.9999999999999997E-4</v>
      </c>
      <c r="R156" s="231">
        <v>38195</v>
      </c>
      <c r="S156" s="231">
        <v>37975</v>
      </c>
      <c r="T156" s="228">
        <v>220</v>
      </c>
      <c r="U156" s="229">
        <v>5.7999999999999996E-3</v>
      </c>
      <c r="V156" s="231">
        <v>38010</v>
      </c>
      <c r="W156" s="231">
        <v>37855</v>
      </c>
      <c r="X156" s="228">
        <v>155</v>
      </c>
      <c r="Y156" s="229">
        <v>4.1000000000000003E-3</v>
      </c>
      <c r="Z156" s="228">
        <v>30</v>
      </c>
      <c r="AA156" s="228">
        <v>130</v>
      </c>
      <c r="AB156" s="228">
        <v>-100</v>
      </c>
      <c r="AC156" s="229">
        <v>8.0000000000000004E-4</v>
      </c>
      <c r="AD156" s="228">
        <v>30</v>
      </c>
      <c r="AE156" s="228">
        <v>130</v>
      </c>
      <c r="AF156" s="228">
        <v>-100</v>
      </c>
      <c r="AG156" s="229">
        <v>8.0000000000000004E-4</v>
      </c>
      <c r="AH156" s="228">
        <v>230</v>
      </c>
      <c r="AI156" s="228">
        <v>120</v>
      </c>
      <c r="AJ156" s="228">
        <v>110</v>
      </c>
      <c r="AK156" s="229">
        <v>6.1000000000000004E-3</v>
      </c>
      <c r="AL156" s="228">
        <v>45</v>
      </c>
      <c r="AM156" s="228">
        <v>0</v>
      </c>
      <c r="AN156" s="228">
        <v>45</v>
      </c>
      <c r="AO156" s="229">
        <v>1.1999999999999999E-3</v>
      </c>
      <c r="AP156" s="231">
        <v>37745.97</v>
      </c>
      <c r="AQ156" s="231">
        <v>37816.6</v>
      </c>
      <c r="AR156" s="228">
        <v>0</v>
      </c>
      <c r="AS156" s="228">
        <v>981</v>
      </c>
      <c r="AT156" s="228">
        <v>126</v>
      </c>
      <c r="AU156" s="228">
        <v>855</v>
      </c>
      <c r="AV156" s="229">
        <v>6.7988</v>
      </c>
      <c r="AW156" s="228">
        <v>495</v>
      </c>
      <c r="AX156" s="228">
        <v>88</v>
      </c>
      <c r="AY156" s="228">
        <v>408</v>
      </c>
      <c r="AZ156" s="229">
        <v>4.6595000000000004</v>
      </c>
      <c r="BA156" s="228">
        <v>484</v>
      </c>
      <c r="BB156" s="228">
        <v>37</v>
      </c>
      <c r="BC156" s="228">
        <v>447</v>
      </c>
      <c r="BD156" s="229">
        <v>12.0077</v>
      </c>
      <c r="BE156" s="228">
        <v>1</v>
      </c>
      <c r="BF156" s="228">
        <v>1</v>
      </c>
      <c r="BG156" s="228">
        <v>0</v>
      </c>
      <c r="BH156" s="229">
        <v>0.38890000000000002</v>
      </c>
      <c r="BI156" s="228">
        <v>197</v>
      </c>
      <c r="BJ156" s="228">
        <v>142</v>
      </c>
      <c r="BK156" s="228">
        <v>55</v>
      </c>
      <c r="BL156" s="229">
        <v>0.38719999999999999</v>
      </c>
      <c r="BM156" s="228">
        <v>421</v>
      </c>
      <c r="BN156" s="228">
        <v>212</v>
      </c>
      <c r="BO156" s="228">
        <v>209</v>
      </c>
      <c r="BP156" s="229">
        <v>0.98440000000000005</v>
      </c>
      <c r="BQ156" s="230">
        <v>1599</v>
      </c>
      <c r="BR156" s="228">
        <v>480</v>
      </c>
      <c r="BS156" s="230">
        <v>1119</v>
      </c>
      <c r="BT156" s="229">
        <v>2.3313000000000001</v>
      </c>
      <c r="BU156" s="230">
        <v>30602</v>
      </c>
      <c r="BV156" s="230">
        <v>42323</v>
      </c>
      <c r="BW156" s="230">
        <v>-11721</v>
      </c>
      <c r="BX156" s="229">
        <v>-0.27689999999999998</v>
      </c>
      <c r="BY156" s="230">
        <v>1361</v>
      </c>
      <c r="BZ156" s="230">
        <v>1349</v>
      </c>
      <c r="CA156" s="228">
        <v>12</v>
      </c>
      <c r="CB156" s="229">
        <v>8.6999999999999994E-3</v>
      </c>
      <c r="CC156" s="228">
        <v>880</v>
      </c>
      <c r="CD156" s="230">
        <v>1261</v>
      </c>
      <c r="CE156" s="228">
        <v>-381</v>
      </c>
      <c r="CF156" s="229">
        <v>-0.30249999999999999</v>
      </c>
      <c r="CG156" s="228">
        <v>476</v>
      </c>
      <c r="CH156" s="228">
        <v>83</v>
      </c>
      <c r="CI156" s="228">
        <v>393</v>
      </c>
      <c r="CJ156" s="229">
        <v>4.7417999999999996</v>
      </c>
      <c r="CK156" s="228">
        <v>5</v>
      </c>
      <c r="CL156" s="228">
        <v>5</v>
      </c>
      <c r="CM156" s="228">
        <v>0</v>
      </c>
      <c r="CN156" s="229">
        <v>-5.3800000000000001E-2</v>
      </c>
      <c r="CO156" s="228">
        <v>259</v>
      </c>
      <c r="CP156" s="228">
        <v>263</v>
      </c>
      <c r="CQ156" s="228">
        <v>-3</v>
      </c>
      <c r="CR156" s="229">
        <v>-1.2999999999999999E-2</v>
      </c>
      <c r="CS156" s="228">
        <v>242</v>
      </c>
      <c r="CT156" s="228">
        <v>283</v>
      </c>
      <c r="CU156" s="228">
        <v>-41</v>
      </c>
      <c r="CV156" s="229">
        <v>-0.14360000000000001</v>
      </c>
      <c r="CW156" s="230">
        <v>1863</v>
      </c>
      <c r="CX156" s="230">
        <v>1895</v>
      </c>
      <c r="CY156" s="228">
        <v>-32</v>
      </c>
      <c r="CZ156" s="229">
        <v>-1.7000000000000001E-2</v>
      </c>
      <c r="DA156" s="228">
        <v>31.2</v>
      </c>
      <c r="DB156" s="228">
        <v>32.4</v>
      </c>
      <c r="DC156" s="228">
        <v>-1.2</v>
      </c>
      <c r="DD156" s="228">
        <v>-1.2</v>
      </c>
      <c r="DE156" s="228">
        <v>28.74</v>
      </c>
      <c r="DF156" s="228">
        <v>28.81</v>
      </c>
      <c r="DG156" s="228">
        <v>2.46</v>
      </c>
      <c r="DH156" s="228">
        <v>-7.0000000000000007E-2</v>
      </c>
      <c r="DI156" s="228">
        <v>29.63</v>
      </c>
      <c r="DJ156" s="228">
        <v>28.04</v>
      </c>
      <c r="DK156" s="228">
        <v>1.59</v>
      </c>
      <c r="DL156" s="228">
        <v>1.59</v>
      </c>
      <c r="DM156" s="228">
        <v>37.090000000000003</v>
      </c>
      <c r="DN156" s="228">
        <v>35.33</v>
      </c>
      <c r="DO156" s="228">
        <v>1.76</v>
      </c>
      <c r="DP156" s="228">
        <v>1.76</v>
      </c>
      <c r="DQ156" s="228">
        <v>0.94</v>
      </c>
      <c r="DR156" s="228">
        <v>1.08</v>
      </c>
      <c r="DS156" s="228">
        <v>-0.14000000000000001</v>
      </c>
      <c r="DT156" s="229">
        <v>-0.12959999999999999</v>
      </c>
      <c r="DU156" s="231">
        <v>33000</v>
      </c>
      <c r="DV156" s="231">
        <v>32000</v>
      </c>
      <c r="DW156" s="228">
        <v>2.13</v>
      </c>
      <c r="DX156" s="228">
        <v>1.49</v>
      </c>
      <c r="DY156" s="228">
        <v>0.64</v>
      </c>
      <c r="DZ156" s="229">
        <v>0.42949999999999999</v>
      </c>
      <c r="EA156" s="229">
        <v>0.3538</v>
      </c>
      <c r="EB156" s="230">
        <v>23235</v>
      </c>
      <c r="EC156" s="229">
        <v>5.3E-3</v>
      </c>
      <c r="ED156" s="229">
        <v>0.3538</v>
      </c>
      <c r="EE156" s="228">
        <v>70.63</v>
      </c>
      <c r="EF156" s="229">
        <v>1.9E-3</v>
      </c>
      <c r="EG156" s="230">
        <v>17052</v>
      </c>
      <c r="EH156" s="230">
        <v>32230</v>
      </c>
      <c r="EI156" s="229">
        <v>-0.47089999999999999</v>
      </c>
      <c r="EJ156" s="229">
        <v>0.55720000000000003</v>
      </c>
      <c r="EK156" s="228">
        <v>204</v>
      </c>
      <c r="EL156" s="228">
        <v>369.27</v>
      </c>
      <c r="EM156" s="228">
        <v>975.42</v>
      </c>
      <c r="EN156" s="228">
        <v>32.54</v>
      </c>
      <c r="EO156" s="231">
        <v>1548.69</v>
      </c>
      <c r="EP156" s="228">
        <v>467.12</v>
      </c>
      <c r="EQ156" s="231">
        <v>1081.57</v>
      </c>
      <c r="ER156" s="229">
        <v>2.3153999999999999</v>
      </c>
      <c r="ES156" s="228">
        <v>248.2</v>
      </c>
      <c r="ET156" s="228">
        <v>220.58</v>
      </c>
      <c r="EU156" s="231">
        <v>1363.55</v>
      </c>
      <c r="EV156" s="231">
        <v>955549</v>
      </c>
      <c r="EW156" s="231">
        <v>1832.33</v>
      </c>
      <c r="EX156" s="231">
        <v>1857.86</v>
      </c>
      <c r="EY156" s="228">
        <v>-25.53</v>
      </c>
      <c r="EZ156" s="229">
        <v>-1.37E-2</v>
      </c>
      <c r="FA156" s="229">
        <v>0.51300000000000001</v>
      </c>
      <c r="FB156" s="227" t="s">
        <v>555</v>
      </c>
      <c r="FC156">
        <f t="shared" si="3"/>
        <v>0</v>
      </c>
    </row>
    <row r="157" spans="1:159" ht="17.25" thickBot="1" x14ac:dyDescent="0.3">
      <c r="A157" s="226">
        <v>46135</v>
      </c>
      <c r="B157" s="227" t="s">
        <v>168</v>
      </c>
      <c r="C157" s="227" t="s">
        <v>664</v>
      </c>
      <c r="D157" s="228">
        <v>900</v>
      </c>
      <c r="E157" s="228">
        <v>5</v>
      </c>
      <c r="F157" s="228">
        <v>468.1</v>
      </c>
      <c r="G157" s="228">
        <v>470.9</v>
      </c>
      <c r="H157" s="228">
        <v>-2.8</v>
      </c>
      <c r="I157" s="229">
        <v>-5.8999999999999999E-3</v>
      </c>
      <c r="J157" s="228">
        <v>469.25</v>
      </c>
      <c r="K157" s="228">
        <v>472.1</v>
      </c>
      <c r="L157" s="228">
        <v>-2.85</v>
      </c>
      <c r="M157" s="229">
        <v>-6.0000000000000001E-3</v>
      </c>
      <c r="N157" s="228">
        <v>468.1</v>
      </c>
      <c r="O157" s="228">
        <v>470.9</v>
      </c>
      <c r="P157" s="228">
        <v>-2.8</v>
      </c>
      <c r="Q157" s="229">
        <v>-5.8999999999999999E-3</v>
      </c>
      <c r="R157" s="228">
        <v>470.5</v>
      </c>
      <c r="S157" s="228">
        <v>473.15</v>
      </c>
      <c r="T157" s="228">
        <v>-2.65</v>
      </c>
      <c r="U157" s="229">
        <v>-5.5999999999999999E-3</v>
      </c>
      <c r="V157" s="228">
        <v>474.2</v>
      </c>
      <c r="W157" s="228">
        <v>476.05</v>
      </c>
      <c r="X157" s="228">
        <v>-1.85</v>
      </c>
      <c r="Y157" s="229">
        <v>-3.8999999999999998E-3</v>
      </c>
      <c r="Z157" s="228">
        <v>-1.1499999999999999</v>
      </c>
      <c r="AA157" s="228">
        <v>-1.2</v>
      </c>
      <c r="AB157" s="228">
        <v>0.05</v>
      </c>
      <c r="AC157" s="229">
        <v>-2.5000000000000001E-3</v>
      </c>
      <c r="AD157" s="228">
        <v>-1.1499999999999999</v>
      </c>
      <c r="AE157" s="228">
        <v>-1.2</v>
      </c>
      <c r="AF157" s="228">
        <v>0.05</v>
      </c>
      <c r="AG157" s="229">
        <v>-2.5000000000000001E-3</v>
      </c>
      <c r="AH157" s="228">
        <v>1.25</v>
      </c>
      <c r="AI157" s="228">
        <v>1.05</v>
      </c>
      <c r="AJ157" s="228">
        <v>0.2</v>
      </c>
      <c r="AK157" s="229">
        <v>2.7000000000000001E-3</v>
      </c>
      <c r="AL157" s="228">
        <v>4.95</v>
      </c>
      <c r="AM157" s="228">
        <v>3.95</v>
      </c>
      <c r="AN157" s="228">
        <v>1</v>
      </c>
      <c r="AO157" s="229">
        <v>1.0500000000000001E-2</v>
      </c>
      <c r="AP157" s="228">
        <v>467.92</v>
      </c>
      <c r="AQ157" s="228">
        <v>469.98</v>
      </c>
      <c r="AR157" s="228">
        <v>0</v>
      </c>
      <c r="AS157" s="228">
        <v>708</v>
      </c>
      <c r="AT157" s="228">
        <v>268</v>
      </c>
      <c r="AU157" s="228">
        <v>440</v>
      </c>
      <c r="AV157" s="229">
        <v>1.6433</v>
      </c>
      <c r="AW157" s="228">
        <v>361</v>
      </c>
      <c r="AX157" s="228">
        <v>187</v>
      </c>
      <c r="AY157" s="228">
        <v>175</v>
      </c>
      <c r="AZ157" s="229">
        <v>0.9365</v>
      </c>
      <c r="BA157" s="228">
        <v>346</v>
      </c>
      <c r="BB157" s="228">
        <v>80</v>
      </c>
      <c r="BC157" s="228">
        <v>266</v>
      </c>
      <c r="BD157" s="229">
        <v>3.3210999999999999</v>
      </c>
      <c r="BE157" s="228">
        <v>0</v>
      </c>
      <c r="BF157" s="228">
        <v>1</v>
      </c>
      <c r="BG157" s="228">
        <v>-1</v>
      </c>
      <c r="BH157" s="229">
        <v>-0.64290000000000003</v>
      </c>
      <c r="BI157" s="228">
        <v>321</v>
      </c>
      <c r="BJ157" s="228">
        <v>506</v>
      </c>
      <c r="BK157" s="228">
        <v>-185</v>
      </c>
      <c r="BL157" s="229">
        <v>-0.36580000000000001</v>
      </c>
      <c r="BM157" s="228">
        <v>57</v>
      </c>
      <c r="BN157" s="228">
        <v>117</v>
      </c>
      <c r="BO157" s="228">
        <v>-60</v>
      </c>
      <c r="BP157" s="229">
        <v>-0.50990000000000002</v>
      </c>
      <c r="BQ157" s="230">
        <v>1086</v>
      </c>
      <c r="BR157" s="228">
        <v>891</v>
      </c>
      <c r="BS157" s="228">
        <v>195</v>
      </c>
      <c r="BT157" s="229">
        <v>0.2195</v>
      </c>
      <c r="BU157" s="230">
        <v>820450</v>
      </c>
      <c r="BV157" s="230">
        <v>1946855</v>
      </c>
      <c r="BW157" s="230">
        <v>-1126405</v>
      </c>
      <c r="BX157" s="229">
        <v>-0.5786</v>
      </c>
      <c r="BY157" s="230">
        <v>1694</v>
      </c>
      <c r="BZ157" s="230">
        <v>1708</v>
      </c>
      <c r="CA157" s="228">
        <v>-15</v>
      </c>
      <c r="CB157" s="229">
        <v>-8.5000000000000006E-3</v>
      </c>
      <c r="CC157" s="230">
        <v>1347</v>
      </c>
      <c r="CD157" s="230">
        <v>1621</v>
      </c>
      <c r="CE157" s="228">
        <v>-274</v>
      </c>
      <c r="CF157" s="229">
        <v>-0.16880000000000001</v>
      </c>
      <c r="CG157" s="228">
        <v>342</v>
      </c>
      <c r="CH157" s="228">
        <v>84</v>
      </c>
      <c r="CI157" s="228">
        <v>259</v>
      </c>
      <c r="CJ157" s="229">
        <v>3.0962999999999998</v>
      </c>
      <c r="CK157" s="228">
        <v>4</v>
      </c>
      <c r="CL157" s="228">
        <v>4</v>
      </c>
      <c r="CM157" s="228">
        <v>0</v>
      </c>
      <c r="CN157" s="229">
        <v>7.22E-2</v>
      </c>
      <c r="CO157" s="228">
        <v>265</v>
      </c>
      <c r="CP157" s="228">
        <v>307</v>
      </c>
      <c r="CQ157" s="228">
        <v>-41</v>
      </c>
      <c r="CR157" s="229">
        <v>-0.13519999999999999</v>
      </c>
      <c r="CS157" s="228">
        <v>180</v>
      </c>
      <c r="CT157" s="228">
        <v>174</v>
      </c>
      <c r="CU157" s="228">
        <v>6</v>
      </c>
      <c r="CV157" s="229">
        <v>3.4200000000000001E-2</v>
      </c>
      <c r="CW157" s="230">
        <v>2139</v>
      </c>
      <c r="CX157" s="230">
        <v>2189</v>
      </c>
      <c r="CY157" s="228">
        <v>-50</v>
      </c>
      <c r="CZ157" s="229">
        <v>-2.29E-2</v>
      </c>
      <c r="DA157" s="228">
        <v>34.04</v>
      </c>
      <c r="DB157" s="228">
        <v>30.08</v>
      </c>
      <c r="DC157" s="228">
        <v>3.96</v>
      </c>
      <c r="DD157" s="228">
        <v>3.96</v>
      </c>
      <c r="DE157" s="228">
        <v>32.15</v>
      </c>
      <c r="DF157" s="228">
        <v>32.22</v>
      </c>
      <c r="DG157" s="228">
        <v>1.89</v>
      </c>
      <c r="DH157" s="228">
        <v>-7.0000000000000007E-2</v>
      </c>
      <c r="DI157" s="228">
        <v>33.83</v>
      </c>
      <c r="DJ157" s="228">
        <v>30.41</v>
      </c>
      <c r="DK157" s="228">
        <v>3.42</v>
      </c>
      <c r="DL157" s="228">
        <v>3.42</v>
      </c>
      <c r="DM157" s="228">
        <v>34.96</v>
      </c>
      <c r="DN157" s="228">
        <v>28.63</v>
      </c>
      <c r="DO157" s="228">
        <v>6.33</v>
      </c>
      <c r="DP157" s="228">
        <v>6.33</v>
      </c>
      <c r="DQ157" s="228">
        <v>0.68</v>
      </c>
      <c r="DR157" s="228">
        <v>0.56999999999999995</v>
      </c>
      <c r="DS157" s="228">
        <v>0.11</v>
      </c>
      <c r="DT157" s="229">
        <v>0.193</v>
      </c>
      <c r="DU157" s="228">
        <v>480</v>
      </c>
      <c r="DV157" s="228">
        <v>510</v>
      </c>
      <c r="DW157" s="228">
        <v>0.18</v>
      </c>
      <c r="DX157" s="228">
        <v>0.23</v>
      </c>
      <c r="DY157" s="228">
        <v>-0.05</v>
      </c>
      <c r="DZ157" s="229">
        <v>-0.21740000000000001</v>
      </c>
      <c r="EA157" s="229">
        <v>0.2046</v>
      </c>
      <c r="EB157" s="230">
        <v>1872000</v>
      </c>
      <c r="EC157" s="229">
        <v>5.1000000000000004E-3</v>
      </c>
      <c r="ED157" s="229">
        <v>0.2046</v>
      </c>
      <c r="EE157" s="228">
        <v>2.06</v>
      </c>
      <c r="EF157" s="229">
        <v>4.4000000000000003E-3</v>
      </c>
      <c r="EG157" s="230">
        <v>295337</v>
      </c>
      <c r="EH157" s="230">
        <v>741325</v>
      </c>
      <c r="EI157" s="229">
        <v>-0.60160000000000002</v>
      </c>
      <c r="EJ157" s="229">
        <v>0.36</v>
      </c>
      <c r="EK157" s="228">
        <v>333.26</v>
      </c>
      <c r="EL157" s="228">
        <v>57.59</v>
      </c>
      <c r="EM157" s="228">
        <v>709.27</v>
      </c>
      <c r="EN157" s="228">
        <v>57.32</v>
      </c>
      <c r="EO157" s="231">
        <v>1100.1199999999999</v>
      </c>
      <c r="EP157" s="228">
        <v>914.28</v>
      </c>
      <c r="EQ157" s="228">
        <v>185.84</v>
      </c>
      <c r="ER157" s="229">
        <v>0.20330000000000001</v>
      </c>
      <c r="ES157" s="228">
        <v>276.72000000000003</v>
      </c>
      <c r="ET157" s="228">
        <v>183.93</v>
      </c>
      <c r="EU157" s="231">
        <v>1695.57</v>
      </c>
      <c r="EV157" s="231">
        <v>51786533</v>
      </c>
      <c r="EW157" s="231">
        <v>2156.21</v>
      </c>
      <c r="EX157" s="231">
        <v>2216.86</v>
      </c>
      <c r="EY157" s="228">
        <v>-60.65</v>
      </c>
      <c r="EZ157" s="229">
        <v>-2.7400000000000001E-2</v>
      </c>
      <c r="FA157" s="229">
        <v>0.88239999999999996</v>
      </c>
      <c r="FB157" s="227" t="s">
        <v>567</v>
      </c>
      <c r="FC157">
        <f t="shared" si="3"/>
        <v>0</v>
      </c>
    </row>
    <row r="158" spans="1:159" ht="17.25" thickBot="1" x14ac:dyDescent="0.3">
      <c r="A158" s="226">
        <v>46135</v>
      </c>
      <c r="B158" s="227" t="s">
        <v>614</v>
      </c>
      <c r="C158" s="227" t="s">
        <v>574</v>
      </c>
      <c r="D158" s="228">
        <v>725</v>
      </c>
      <c r="E158" s="228">
        <v>5</v>
      </c>
      <c r="F158" s="231">
        <v>1157.05</v>
      </c>
      <c r="G158" s="231">
        <v>1163.7</v>
      </c>
      <c r="H158" s="228">
        <v>-6.65</v>
      </c>
      <c r="I158" s="229">
        <v>-5.7000000000000002E-3</v>
      </c>
      <c r="J158" s="231">
        <v>1159.55</v>
      </c>
      <c r="K158" s="231">
        <v>1162.1500000000001</v>
      </c>
      <c r="L158" s="228">
        <v>-2.6</v>
      </c>
      <c r="M158" s="229">
        <v>-2.2000000000000001E-3</v>
      </c>
      <c r="N158" s="231">
        <v>1157.05</v>
      </c>
      <c r="O158" s="231">
        <v>1163.7</v>
      </c>
      <c r="P158" s="228">
        <v>-6.65</v>
      </c>
      <c r="Q158" s="229">
        <v>-5.7000000000000002E-3</v>
      </c>
      <c r="R158" s="231">
        <v>1162.7</v>
      </c>
      <c r="S158" s="231">
        <v>1169.45</v>
      </c>
      <c r="T158" s="228">
        <v>-6.75</v>
      </c>
      <c r="U158" s="229">
        <v>-5.7999999999999996E-3</v>
      </c>
      <c r="V158" s="231">
        <v>1166.0999999999999</v>
      </c>
      <c r="W158" s="231">
        <v>1176.95</v>
      </c>
      <c r="X158" s="228">
        <v>-10.85</v>
      </c>
      <c r="Y158" s="229">
        <v>-9.1999999999999998E-3</v>
      </c>
      <c r="Z158" s="228">
        <v>-2.5</v>
      </c>
      <c r="AA158" s="228">
        <v>1.55</v>
      </c>
      <c r="AB158" s="228">
        <v>-4.05</v>
      </c>
      <c r="AC158" s="229">
        <v>-2.2000000000000001E-3</v>
      </c>
      <c r="AD158" s="228">
        <v>-2.5</v>
      </c>
      <c r="AE158" s="228">
        <v>1.55</v>
      </c>
      <c r="AF158" s="228">
        <v>-4.05</v>
      </c>
      <c r="AG158" s="229">
        <v>-2.2000000000000001E-3</v>
      </c>
      <c r="AH158" s="228">
        <v>3.15</v>
      </c>
      <c r="AI158" s="228">
        <v>7.3</v>
      </c>
      <c r="AJ158" s="228">
        <v>-4.1500000000000004</v>
      </c>
      <c r="AK158" s="229">
        <v>2.7000000000000001E-3</v>
      </c>
      <c r="AL158" s="228">
        <v>6.55</v>
      </c>
      <c r="AM158" s="228">
        <v>14.8</v>
      </c>
      <c r="AN158" s="228">
        <v>-8.25</v>
      </c>
      <c r="AO158" s="229">
        <v>5.5999999999999999E-3</v>
      </c>
      <c r="AP158" s="231">
        <v>1151.72</v>
      </c>
      <c r="AQ158" s="231">
        <v>1157.5999999999999</v>
      </c>
      <c r="AR158" s="228">
        <v>0</v>
      </c>
      <c r="AS158" s="228">
        <v>937</v>
      </c>
      <c r="AT158" s="228">
        <v>389</v>
      </c>
      <c r="AU158" s="228">
        <v>548</v>
      </c>
      <c r="AV158" s="229">
        <v>1.4104000000000001</v>
      </c>
      <c r="AW158" s="228">
        <v>490</v>
      </c>
      <c r="AX158" s="228">
        <v>238</v>
      </c>
      <c r="AY158" s="228">
        <v>252</v>
      </c>
      <c r="AZ158" s="229">
        <v>1.0564</v>
      </c>
      <c r="BA158" s="228">
        <v>446</v>
      </c>
      <c r="BB158" s="228">
        <v>145</v>
      </c>
      <c r="BC158" s="228">
        <v>301</v>
      </c>
      <c r="BD158" s="229">
        <v>2.0781999999999998</v>
      </c>
      <c r="BE158" s="228">
        <v>1</v>
      </c>
      <c r="BF158" s="228">
        <v>6</v>
      </c>
      <c r="BG158" s="228">
        <v>-4</v>
      </c>
      <c r="BH158" s="229">
        <v>-0.76470000000000005</v>
      </c>
      <c r="BI158" s="228">
        <v>647</v>
      </c>
      <c r="BJ158" s="228">
        <v>580</v>
      </c>
      <c r="BK158" s="228">
        <v>67</v>
      </c>
      <c r="BL158" s="229">
        <v>0.1152</v>
      </c>
      <c r="BM158" s="228">
        <v>403</v>
      </c>
      <c r="BN158" s="228">
        <v>687</v>
      </c>
      <c r="BO158" s="228">
        <v>-284</v>
      </c>
      <c r="BP158" s="229">
        <v>-0.4128</v>
      </c>
      <c r="BQ158" s="230">
        <v>1988</v>
      </c>
      <c r="BR158" s="230">
        <v>1656</v>
      </c>
      <c r="BS158" s="228">
        <v>331</v>
      </c>
      <c r="BT158" s="229">
        <v>0.2001</v>
      </c>
      <c r="BU158" s="230">
        <v>1178146</v>
      </c>
      <c r="BV158" s="230">
        <v>976125</v>
      </c>
      <c r="BW158" s="230">
        <v>202021</v>
      </c>
      <c r="BX158" s="229">
        <v>0.20699999999999999</v>
      </c>
      <c r="BY158" s="230">
        <v>1761</v>
      </c>
      <c r="BZ158" s="230">
        <v>1769</v>
      </c>
      <c r="CA158" s="228">
        <v>-8</v>
      </c>
      <c r="CB158" s="229">
        <v>-4.4999999999999997E-3</v>
      </c>
      <c r="CC158" s="230">
        <v>1082</v>
      </c>
      <c r="CD158" s="230">
        <v>1448</v>
      </c>
      <c r="CE158" s="228">
        <v>-366</v>
      </c>
      <c r="CF158" s="229">
        <v>-0.25280000000000002</v>
      </c>
      <c r="CG158" s="228">
        <v>669</v>
      </c>
      <c r="CH158" s="228">
        <v>311</v>
      </c>
      <c r="CI158" s="228">
        <v>358</v>
      </c>
      <c r="CJ158" s="229">
        <v>1.1496999999999999</v>
      </c>
      <c r="CK158" s="228">
        <v>11</v>
      </c>
      <c r="CL158" s="228">
        <v>10</v>
      </c>
      <c r="CM158" s="228">
        <v>0</v>
      </c>
      <c r="CN158" s="229">
        <v>4.1300000000000003E-2</v>
      </c>
      <c r="CO158" s="228">
        <v>740</v>
      </c>
      <c r="CP158" s="228">
        <v>780</v>
      </c>
      <c r="CQ158" s="228">
        <v>-40</v>
      </c>
      <c r="CR158" s="229">
        <v>-5.0700000000000002E-2</v>
      </c>
      <c r="CS158" s="228">
        <v>581</v>
      </c>
      <c r="CT158" s="228">
        <v>633</v>
      </c>
      <c r="CU158" s="228">
        <v>-52</v>
      </c>
      <c r="CV158" s="229">
        <v>-8.2600000000000007E-2</v>
      </c>
      <c r="CW158" s="230">
        <v>3082</v>
      </c>
      <c r="CX158" s="230">
        <v>3182</v>
      </c>
      <c r="CY158" s="228">
        <v>-100</v>
      </c>
      <c r="CZ158" s="229">
        <v>-3.1399999999999997E-2</v>
      </c>
      <c r="DA158" s="228">
        <v>40.04</v>
      </c>
      <c r="DB158" s="228">
        <v>36.78</v>
      </c>
      <c r="DC158" s="228">
        <v>3.26</v>
      </c>
      <c r="DD158" s="228">
        <v>3.26</v>
      </c>
      <c r="DE158" s="228">
        <v>52.23</v>
      </c>
      <c r="DF158" s="228">
        <v>52.35</v>
      </c>
      <c r="DG158" s="228">
        <v>-12.19</v>
      </c>
      <c r="DH158" s="228">
        <v>-0.12</v>
      </c>
      <c r="DI158" s="228">
        <v>39.19</v>
      </c>
      <c r="DJ158" s="228">
        <v>32.869999999999997</v>
      </c>
      <c r="DK158" s="228">
        <v>6.32</v>
      </c>
      <c r="DL158" s="228">
        <v>6.32</v>
      </c>
      <c r="DM158" s="228">
        <v>41.5</v>
      </c>
      <c r="DN158" s="228">
        <v>40.07</v>
      </c>
      <c r="DO158" s="228">
        <v>1.43</v>
      </c>
      <c r="DP158" s="228">
        <v>1.43</v>
      </c>
      <c r="DQ158" s="228">
        <v>0.78</v>
      </c>
      <c r="DR158" s="228">
        <v>0.81</v>
      </c>
      <c r="DS158" s="228">
        <v>-0.03</v>
      </c>
      <c r="DT158" s="229">
        <v>-3.6999999999999998E-2</v>
      </c>
      <c r="DU158" s="231">
        <v>1100</v>
      </c>
      <c r="DV158" s="231">
        <v>1100</v>
      </c>
      <c r="DW158" s="228">
        <v>0.62</v>
      </c>
      <c r="DX158" s="228">
        <v>1.18</v>
      </c>
      <c r="DY158" s="228">
        <v>-0.56000000000000005</v>
      </c>
      <c r="DZ158" s="229">
        <v>-0.47460000000000002</v>
      </c>
      <c r="EA158" s="229">
        <v>0.38569999999999999</v>
      </c>
      <c r="EB158" s="230">
        <v>2776025</v>
      </c>
      <c r="EC158" s="229">
        <v>4.8999999999999998E-3</v>
      </c>
      <c r="ED158" s="229">
        <v>0.38569999999999999</v>
      </c>
      <c r="EE158" s="228">
        <v>5.88</v>
      </c>
      <c r="EF158" s="229">
        <v>5.1000000000000004E-3</v>
      </c>
      <c r="EG158" s="230">
        <v>419557</v>
      </c>
      <c r="EH158" s="230">
        <v>364054</v>
      </c>
      <c r="EI158" s="229">
        <v>0.1525</v>
      </c>
      <c r="EJ158" s="229">
        <v>0.35610000000000003</v>
      </c>
      <c r="EK158" s="228">
        <v>665.28</v>
      </c>
      <c r="EL158" s="228">
        <v>394.03</v>
      </c>
      <c r="EM158" s="228">
        <v>934.97</v>
      </c>
      <c r="EN158" s="228">
        <v>36.79</v>
      </c>
      <c r="EO158" s="231">
        <v>1994.29</v>
      </c>
      <c r="EP158" s="231">
        <v>1656.26</v>
      </c>
      <c r="EQ158" s="228">
        <v>338.03</v>
      </c>
      <c r="ER158" s="229">
        <v>0.2041</v>
      </c>
      <c r="ES158" s="228">
        <v>725.36</v>
      </c>
      <c r="ET158" s="228">
        <v>536.55999999999995</v>
      </c>
      <c r="EU158" s="231">
        <v>1764.37</v>
      </c>
      <c r="EV158" s="231">
        <v>95930888</v>
      </c>
      <c r="EW158" s="231">
        <v>3026.29</v>
      </c>
      <c r="EX158" s="231">
        <v>3132.37</v>
      </c>
      <c r="EY158" s="228">
        <v>-106.08</v>
      </c>
      <c r="EZ158" s="229">
        <v>-3.39E-2</v>
      </c>
      <c r="FA158" s="229">
        <v>0.2777</v>
      </c>
      <c r="FB158" s="227" t="s">
        <v>567</v>
      </c>
      <c r="FC158">
        <f t="shared" si="3"/>
        <v>0</v>
      </c>
    </row>
    <row r="159" spans="1:159" ht="17.25" thickBot="1" x14ac:dyDescent="0.3">
      <c r="A159" s="226">
        <v>46135</v>
      </c>
      <c r="B159" s="227" t="s">
        <v>221</v>
      </c>
      <c r="C159" s="227" t="s">
        <v>529</v>
      </c>
      <c r="D159" s="228">
        <v>100</v>
      </c>
      <c r="E159" s="228">
        <v>5</v>
      </c>
      <c r="F159" s="231">
        <v>5068.8</v>
      </c>
      <c r="G159" s="231">
        <v>5091.8</v>
      </c>
      <c r="H159" s="228">
        <v>-23</v>
      </c>
      <c r="I159" s="229">
        <v>-4.4999999999999997E-3</v>
      </c>
      <c r="J159" s="231">
        <v>5065.2</v>
      </c>
      <c r="K159" s="231">
        <v>5073.3</v>
      </c>
      <c r="L159" s="228">
        <v>-8.1</v>
      </c>
      <c r="M159" s="229">
        <v>-1.6000000000000001E-3</v>
      </c>
      <c r="N159" s="231">
        <v>5068.8</v>
      </c>
      <c r="O159" s="231">
        <v>5091.8</v>
      </c>
      <c r="P159" s="228">
        <v>-23</v>
      </c>
      <c r="Q159" s="229">
        <v>-4.4999999999999997E-3</v>
      </c>
      <c r="R159" s="231">
        <v>4991</v>
      </c>
      <c r="S159" s="231">
        <v>5032.2</v>
      </c>
      <c r="T159" s="228">
        <v>-41.2</v>
      </c>
      <c r="U159" s="229">
        <v>-8.2000000000000007E-3</v>
      </c>
      <c r="V159" s="231">
        <v>4947.5</v>
      </c>
      <c r="W159" s="231">
        <v>5022</v>
      </c>
      <c r="X159" s="228">
        <v>-74.5</v>
      </c>
      <c r="Y159" s="229">
        <v>-1.4800000000000001E-2</v>
      </c>
      <c r="Z159" s="228">
        <v>3.6</v>
      </c>
      <c r="AA159" s="228">
        <v>18.5</v>
      </c>
      <c r="AB159" s="228">
        <v>-14.9</v>
      </c>
      <c r="AC159" s="229">
        <v>6.9999999999999999E-4</v>
      </c>
      <c r="AD159" s="228">
        <v>3.6</v>
      </c>
      <c r="AE159" s="228">
        <v>18.5</v>
      </c>
      <c r="AF159" s="228">
        <v>-14.9</v>
      </c>
      <c r="AG159" s="229">
        <v>6.9999999999999999E-4</v>
      </c>
      <c r="AH159" s="228">
        <v>-74.2</v>
      </c>
      <c r="AI159" s="228">
        <v>-41.1</v>
      </c>
      <c r="AJ159" s="228">
        <v>-33.1</v>
      </c>
      <c r="AK159" s="229">
        <v>-1.46E-2</v>
      </c>
      <c r="AL159" s="228">
        <v>-117.7</v>
      </c>
      <c r="AM159" s="228">
        <v>-51.3</v>
      </c>
      <c r="AN159" s="228">
        <v>-66.400000000000006</v>
      </c>
      <c r="AO159" s="229">
        <v>-2.3199999999999998E-2</v>
      </c>
      <c r="AP159" s="231">
        <v>5069.2700000000004</v>
      </c>
      <c r="AQ159" s="231">
        <v>4992.28</v>
      </c>
      <c r="AR159" s="228">
        <v>0</v>
      </c>
      <c r="AS159" s="230">
        <v>2162</v>
      </c>
      <c r="AT159" s="230">
        <v>1575</v>
      </c>
      <c r="AU159" s="228">
        <v>587</v>
      </c>
      <c r="AV159" s="229">
        <v>0.37309999999999999</v>
      </c>
      <c r="AW159" s="230">
        <v>1110</v>
      </c>
      <c r="AX159" s="230">
        <v>1128</v>
      </c>
      <c r="AY159" s="228">
        <v>-18</v>
      </c>
      <c r="AZ159" s="229">
        <v>-1.5699999999999999E-2</v>
      </c>
      <c r="BA159" s="230">
        <v>1043</v>
      </c>
      <c r="BB159" s="228">
        <v>430</v>
      </c>
      <c r="BC159" s="228">
        <v>613</v>
      </c>
      <c r="BD159" s="229">
        <v>1.4272</v>
      </c>
      <c r="BE159" s="228">
        <v>9</v>
      </c>
      <c r="BF159" s="228">
        <v>17</v>
      </c>
      <c r="BG159" s="228">
        <v>-8</v>
      </c>
      <c r="BH159" s="229">
        <v>-0.47589999999999999</v>
      </c>
      <c r="BI159" s="230">
        <v>2874</v>
      </c>
      <c r="BJ159" s="230">
        <v>5588</v>
      </c>
      <c r="BK159" s="230">
        <v>-2714</v>
      </c>
      <c r="BL159" s="229">
        <v>-0.48559999999999998</v>
      </c>
      <c r="BM159" s="230">
        <v>1356</v>
      </c>
      <c r="BN159" s="230">
        <v>4068</v>
      </c>
      <c r="BO159" s="230">
        <v>-2712</v>
      </c>
      <c r="BP159" s="229">
        <v>-0.66669999999999996</v>
      </c>
      <c r="BQ159" s="230">
        <v>6393</v>
      </c>
      <c r="BR159" s="230">
        <v>11231</v>
      </c>
      <c r="BS159" s="230">
        <v>-4839</v>
      </c>
      <c r="BT159" s="229">
        <v>-0.43080000000000002</v>
      </c>
      <c r="BU159" s="230">
        <v>636821</v>
      </c>
      <c r="BV159" s="230">
        <v>2345900</v>
      </c>
      <c r="BW159" s="230">
        <v>-1709079</v>
      </c>
      <c r="BX159" s="229">
        <v>-0.72850000000000004</v>
      </c>
      <c r="BY159" s="230">
        <v>2861</v>
      </c>
      <c r="BZ159" s="230">
        <v>3219</v>
      </c>
      <c r="CA159" s="228">
        <v>-358</v>
      </c>
      <c r="CB159" s="229">
        <v>-0.11119999999999999</v>
      </c>
      <c r="CC159" s="230">
        <v>1641</v>
      </c>
      <c r="CD159" s="230">
        <v>2438</v>
      </c>
      <c r="CE159" s="228">
        <v>-797</v>
      </c>
      <c r="CF159" s="229">
        <v>-0.32700000000000001</v>
      </c>
      <c r="CG159" s="230">
        <v>1187</v>
      </c>
      <c r="CH159" s="228">
        <v>751</v>
      </c>
      <c r="CI159" s="228">
        <v>436</v>
      </c>
      <c r="CJ159" s="229">
        <v>0.58079999999999998</v>
      </c>
      <c r="CK159" s="228">
        <v>33</v>
      </c>
      <c r="CL159" s="228">
        <v>30</v>
      </c>
      <c r="CM159" s="228">
        <v>3</v>
      </c>
      <c r="CN159" s="229">
        <v>0.11</v>
      </c>
      <c r="CO159" s="230">
        <v>1322</v>
      </c>
      <c r="CP159" s="230">
        <v>1436</v>
      </c>
      <c r="CQ159" s="228">
        <v>-114</v>
      </c>
      <c r="CR159" s="229">
        <v>-7.9600000000000004E-2</v>
      </c>
      <c r="CS159" s="228">
        <v>700</v>
      </c>
      <c r="CT159" s="228">
        <v>736</v>
      </c>
      <c r="CU159" s="228">
        <v>-36</v>
      </c>
      <c r="CV159" s="229">
        <v>-4.8500000000000001E-2</v>
      </c>
      <c r="CW159" s="230">
        <v>4883</v>
      </c>
      <c r="CX159" s="230">
        <v>5391</v>
      </c>
      <c r="CY159" s="228">
        <v>-508</v>
      </c>
      <c r="CZ159" s="229">
        <v>-9.4200000000000006E-2</v>
      </c>
      <c r="DA159" s="228">
        <v>38.950000000000003</v>
      </c>
      <c r="DB159" s="228">
        <v>46.04</v>
      </c>
      <c r="DC159" s="228">
        <v>-7.09</v>
      </c>
      <c r="DD159" s="228">
        <v>-7.09</v>
      </c>
      <c r="DE159" s="228">
        <v>40.369999999999997</v>
      </c>
      <c r="DF159" s="228">
        <v>40.47</v>
      </c>
      <c r="DG159" s="228">
        <v>-1.42</v>
      </c>
      <c r="DH159" s="228">
        <v>-0.1</v>
      </c>
      <c r="DI159" s="228">
        <v>38.9</v>
      </c>
      <c r="DJ159" s="228">
        <v>47.1</v>
      </c>
      <c r="DK159" s="228">
        <v>-8.1999999999999993</v>
      </c>
      <c r="DL159" s="228">
        <v>-8.1999999999999993</v>
      </c>
      <c r="DM159" s="228">
        <v>39.049999999999997</v>
      </c>
      <c r="DN159" s="228">
        <v>44.59</v>
      </c>
      <c r="DO159" s="228">
        <v>-5.54</v>
      </c>
      <c r="DP159" s="228">
        <v>-5.54</v>
      </c>
      <c r="DQ159" s="228">
        <v>0.53</v>
      </c>
      <c r="DR159" s="228">
        <v>0.51</v>
      </c>
      <c r="DS159" s="228">
        <v>0.02</v>
      </c>
      <c r="DT159" s="229">
        <v>3.9199999999999999E-2</v>
      </c>
      <c r="DU159" s="231">
        <v>5500</v>
      </c>
      <c r="DV159" s="231">
        <v>5000</v>
      </c>
      <c r="DW159" s="228">
        <v>0.47</v>
      </c>
      <c r="DX159" s="228">
        <v>0.73</v>
      </c>
      <c r="DY159" s="228">
        <v>-0.26</v>
      </c>
      <c r="DZ159" s="229">
        <v>-0.35620000000000002</v>
      </c>
      <c r="EA159" s="229">
        <v>0.42649999999999999</v>
      </c>
      <c r="EB159" s="230">
        <v>1540600</v>
      </c>
      <c r="EC159" s="229">
        <v>-1.5299999999999999E-2</v>
      </c>
      <c r="ED159" s="229">
        <v>0.42649999999999999</v>
      </c>
      <c r="EE159" s="228">
        <v>-76.989999999999995</v>
      </c>
      <c r="EF159" s="229">
        <v>-1.52E-2</v>
      </c>
      <c r="EG159" s="230">
        <v>188490</v>
      </c>
      <c r="EH159" s="230">
        <v>1078092</v>
      </c>
      <c r="EI159" s="229">
        <v>-0.82520000000000004</v>
      </c>
      <c r="EJ159" s="229">
        <v>0.29599999999999999</v>
      </c>
      <c r="EK159" s="231">
        <v>3042.84</v>
      </c>
      <c r="EL159" s="231">
        <v>1344.54</v>
      </c>
      <c r="EM159" s="231">
        <v>2146.14</v>
      </c>
      <c r="EN159" s="228">
        <v>193.39</v>
      </c>
      <c r="EO159" s="231">
        <v>6533.52</v>
      </c>
      <c r="EP159" s="231">
        <v>11703.08</v>
      </c>
      <c r="EQ159" s="231">
        <v>-5169.5600000000004</v>
      </c>
      <c r="ER159" s="229">
        <v>-0.44169999999999998</v>
      </c>
      <c r="ES159" s="231">
        <v>1413.38</v>
      </c>
      <c r="ET159" s="228">
        <v>685.55</v>
      </c>
      <c r="EU159" s="231">
        <v>2841.92</v>
      </c>
      <c r="EV159" s="231">
        <v>16286398</v>
      </c>
      <c r="EW159" s="231">
        <v>4940.8500000000004</v>
      </c>
      <c r="EX159" s="231">
        <v>5482.51</v>
      </c>
      <c r="EY159" s="228">
        <v>-541.66</v>
      </c>
      <c r="EZ159" s="229">
        <v>-9.8799999999999999E-2</v>
      </c>
      <c r="FA159" s="229">
        <v>0.59150000000000003</v>
      </c>
      <c r="FB159" s="227" t="s">
        <v>567</v>
      </c>
      <c r="FC159">
        <f t="shared" si="3"/>
        <v>0</v>
      </c>
    </row>
    <row r="160" spans="1:159" ht="17.25" thickBot="1" x14ac:dyDescent="0.3">
      <c r="A160" s="226">
        <v>46135</v>
      </c>
      <c r="B160" s="227" t="s">
        <v>193</v>
      </c>
      <c r="C160" s="227" t="s">
        <v>272</v>
      </c>
      <c r="D160" s="228">
        <v>1900</v>
      </c>
      <c r="E160" s="228">
        <v>5</v>
      </c>
      <c r="F160" s="228">
        <v>275.60000000000002</v>
      </c>
      <c r="G160" s="228">
        <v>279.64</v>
      </c>
      <c r="H160" s="228">
        <v>-4.04</v>
      </c>
      <c r="I160" s="229">
        <v>-1.44E-2</v>
      </c>
      <c r="J160" s="228">
        <v>275.81</v>
      </c>
      <c r="K160" s="228">
        <v>279.55</v>
      </c>
      <c r="L160" s="228">
        <v>-3.74</v>
      </c>
      <c r="M160" s="229">
        <v>-1.34E-2</v>
      </c>
      <c r="N160" s="228">
        <v>275.60000000000002</v>
      </c>
      <c r="O160" s="228">
        <v>279.64</v>
      </c>
      <c r="P160" s="228">
        <v>-4.04</v>
      </c>
      <c r="Q160" s="229">
        <v>-1.44E-2</v>
      </c>
      <c r="R160" s="228">
        <v>274.32</v>
      </c>
      <c r="S160" s="228">
        <v>279.05</v>
      </c>
      <c r="T160" s="228">
        <v>-4.7300000000000004</v>
      </c>
      <c r="U160" s="229">
        <v>-1.7000000000000001E-2</v>
      </c>
      <c r="V160" s="228">
        <v>274.77</v>
      </c>
      <c r="W160" s="228">
        <v>279.81</v>
      </c>
      <c r="X160" s="228">
        <v>-5.04</v>
      </c>
      <c r="Y160" s="229">
        <v>-1.7999999999999999E-2</v>
      </c>
      <c r="Z160" s="228">
        <v>-0.21</v>
      </c>
      <c r="AA160" s="228">
        <v>0.09</v>
      </c>
      <c r="AB160" s="228">
        <v>-0.3</v>
      </c>
      <c r="AC160" s="229">
        <v>-8.0000000000000004E-4</v>
      </c>
      <c r="AD160" s="228">
        <v>-0.21</v>
      </c>
      <c r="AE160" s="228">
        <v>0.09</v>
      </c>
      <c r="AF160" s="228">
        <v>-0.3</v>
      </c>
      <c r="AG160" s="229">
        <v>-8.0000000000000004E-4</v>
      </c>
      <c r="AH160" s="228">
        <v>-1.49</v>
      </c>
      <c r="AI160" s="228">
        <v>-0.5</v>
      </c>
      <c r="AJ160" s="228">
        <v>-0.99</v>
      </c>
      <c r="AK160" s="229">
        <v>-5.4000000000000003E-3</v>
      </c>
      <c r="AL160" s="228">
        <v>-1.04</v>
      </c>
      <c r="AM160" s="228">
        <v>0.26</v>
      </c>
      <c r="AN160" s="228">
        <v>-1.3</v>
      </c>
      <c r="AO160" s="229">
        <v>-3.8E-3</v>
      </c>
      <c r="AP160" s="228">
        <v>276.23</v>
      </c>
      <c r="AQ160" s="228">
        <v>274.54000000000002</v>
      </c>
      <c r="AR160" s="228">
        <v>0</v>
      </c>
      <c r="AS160" s="228">
        <v>826</v>
      </c>
      <c r="AT160" s="228">
        <v>130</v>
      </c>
      <c r="AU160" s="228">
        <v>696</v>
      </c>
      <c r="AV160" s="229">
        <v>5.3555000000000001</v>
      </c>
      <c r="AW160" s="228">
        <v>418</v>
      </c>
      <c r="AX160" s="228">
        <v>84</v>
      </c>
      <c r="AY160" s="228">
        <v>334</v>
      </c>
      <c r="AZ160" s="229">
        <v>3.964</v>
      </c>
      <c r="BA160" s="228">
        <v>405</v>
      </c>
      <c r="BB160" s="228">
        <v>45</v>
      </c>
      <c r="BC160" s="228">
        <v>360</v>
      </c>
      <c r="BD160" s="229">
        <v>8.0152000000000001</v>
      </c>
      <c r="BE160" s="228">
        <v>3</v>
      </c>
      <c r="BF160" s="228">
        <v>1</v>
      </c>
      <c r="BG160" s="228">
        <v>2</v>
      </c>
      <c r="BH160" s="229">
        <v>2.5714000000000001</v>
      </c>
      <c r="BI160" s="228">
        <v>306</v>
      </c>
      <c r="BJ160" s="228">
        <v>328</v>
      </c>
      <c r="BK160" s="228">
        <v>-22</v>
      </c>
      <c r="BL160" s="229">
        <v>-6.8099999999999994E-2</v>
      </c>
      <c r="BM160" s="228">
        <v>160</v>
      </c>
      <c r="BN160" s="228">
        <v>122</v>
      </c>
      <c r="BO160" s="228">
        <v>39</v>
      </c>
      <c r="BP160" s="229">
        <v>0.31640000000000001</v>
      </c>
      <c r="BQ160" s="230">
        <v>1292</v>
      </c>
      <c r="BR160" s="228">
        <v>580</v>
      </c>
      <c r="BS160" s="228">
        <v>712</v>
      </c>
      <c r="BT160" s="229">
        <v>1.2276</v>
      </c>
      <c r="BU160" s="230">
        <v>2297691</v>
      </c>
      <c r="BV160" s="230">
        <v>1250491</v>
      </c>
      <c r="BW160" s="230">
        <v>1047200</v>
      </c>
      <c r="BX160" s="229">
        <v>0.83740000000000003</v>
      </c>
      <c r="BY160" s="228">
        <v>976</v>
      </c>
      <c r="BZ160" s="230">
        <v>1019</v>
      </c>
      <c r="CA160" s="228">
        <v>-44</v>
      </c>
      <c r="CB160" s="229">
        <v>-4.2799999999999998E-2</v>
      </c>
      <c r="CC160" s="228">
        <v>635</v>
      </c>
      <c r="CD160" s="228">
        <v>945</v>
      </c>
      <c r="CE160" s="228">
        <v>-310</v>
      </c>
      <c r="CF160" s="229">
        <v>-0.32779999999999998</v>
      </c>
      <c r="CG160" s="228">
        <v>335</v>
      </c>
      <c r="CH160" s="228">
        <v>69</v>
      </c>
      <c r="CI160" s="228">
        <v>266</v>
      </c>
      <c r="CJ160" s="229">
        <v>3.8222</v>
      </c>
      <c r="CK160" s="228">
        <v>5</v>
      </c>
      <c r="CL160" s="228">
        <v>4</v>
      </c>
      <c r="CM160" s="228">
        <v>1</v>
      </c>
      <c r="CN160" s="229">
        <v>0.15659999999999999</v>
      </c>
      <c r="CO160" s="228">
        <v>424</v>
      </c>
      <c r="CP160" s="228">
        <v>453</v>
      </c>
      <c r="CQ160" s="228">
        <v>-29</v>
      </c>
      <c r="CR160" s="229">
        <v>-6.3100000000000003E-2</v>
      </c>
      <c r="CS160" s="228">
        <v>296</v>
      </c>
      <c r="CT160" s="228">
        <v>289</v>
      </c>
      <c r="CU160" s="228">
        <v>7</v>
      </c>
      <c r="CV160" s="229">
        <v>2.4299999999999999E-2</v>
      </c>
      <c r="CW160" s="230">
        <v>1696</v>
      </c>
      <c r="CX160" s="230">
        <v>1761</v>
      </c>
      <c r="CY160" s="228">
        <v>-65</v>
      </c>
      <c r="CZ160" s="229">
        <v>-3.6999999999999998E-2</v>
      </c>
      <c r="DA160" s="228">
        <v>33.79</v>
      </c>
      <c r="DB160" s="228">
        <v>37.549999999999997</v>
      </c>
      <c r="DC160" s="228">
        <v>-3.76</v>
      </c>
      <c r="DD160" s="228">
        <v>-3.76</v>
      </c>
      <c r="DE160" s="228">
        <v>38.93</v>
      </c>
      <c r="DF160" s="228">
        <v>38.979999999999997</v>
      </c>
      <c r="DG160" s="228">
        <v>-5.14</v>
      </c>
      <c r="DH160" s="228">
        <v>-0.05</v>
      </c>
      <c r="DI160" s="228">
        <v>34.17</v>
      </c>
      <c r="DJ160" s="228">
        <v>36.6</v>
      </c>
      <c r="DK160" s="228">
        <v>-2.4300000000000002</v>
      </c>
      <c r="DL160" s="228">
        <v>-2.4300000000000002</v>
      </c>
      <c r="DM160" s="228">
        <v>33.33</v>
      </c>
      <c r="DN160" s="228">
        <v>40.11</v>
      </c>
      <c r="DO160" s="228">
        <v>-6.78</v>
      </c>
      <c r="DP160" s="228">
        <v>-6.78</v>
      </c>
      <c r="DQ160" s="228">
        <v>0.7</v>
      </c>
      <c r="DR160" s="228">
        <v>0.64</v>
      </c>
      <c r="DS160" s="228">
        <v>0.06</v>
      </c>
      <c r="DT160" s="229">
        <v>9.3700000000000006E-2</v>
      </c>
      <c r="DU160" s="228">
        <v>300</v>
      </c>
      <c r="DV160" s="228">
        <v>250</v>
      </c>
      <c r="DW160" s="228">
        <v>0.52</v>
      </c>
      <c r="DX160" s="228">
        <v>0.37</v>
      </c>
      <c r="DY160" s="228">
        <v>0.15</v>
      </c>
      <c r="DZ160" s="229">
        <v>0.40539999999999998</v>
      </c>
      <c r="EA160" s="229">
        <v>0.34860000000000002</v>
      </c>
      <c r="EB160" s="230">
        <v>2679000</v>
      </c>
      <c r="EC160" s="229">
        <v>-4.5999999999999999E-3</v>
      </c>
      <c r="ED160" s="229">
        <v>0.34860000000000002</v>
      </c>
      <c r="EE160" s="228">
        <v>-1.69</v>
      </c>
      <c r="EF160" s="229">
        <v>-6.1000000000000004E-3</v>
      </c>
      <c r="EG160" s="230">
        <v>1112478</v>
      </c>
      <c r="EH160" s="230">
        <v>512326</v>
      </c>
      <c r="EI160" s="229">
        <v>1.1714</v>
      </c>
      <c r="EJ160" s="229">
        <v>0.48420000000000002</v>
      </c>
      <c r="EK160" s="228">
        <v>321.57</v>
      </c>
      <c r="EL160" s="228">
        <v>155.83000000000001</v>
      </c>
      <c r="EM160" s="228">
        <v>825.08</v>
      </c>
      <c r="EN160" s="228">
        <v>18.559999999999999</v>
      </c>
      <c r="EO160" s="231">
        <v>1302.48</v>
      </c>
      <c r="EP160" s="228">
        <v>593.96</v>
      </c>
      <c r="EQ160" s="228">
        <v>708.52</v>
      </c>
      <c r="ER160" s="229">
        <v>1.1929000000000001</v>
      </c>
      <c r="ES160" s="228">
        <v>433.94</v>
      </c>
      <c r="ET160" s="228">
        <v>277.45</v>
      </c>
      <c r="EU160" s="228">
        <v>973.97</v>
      </c>
      <c r="EV160" s="231">
        <v>112500013</v>
      </c>
      <c r="EW160" s="231">
        <v>1685.36</v>
      </c>
      <c r="EX160" s="231">
        <v>1768.8</v>
      </c>
      <c r="EY160" s="228">
        <v>-83.44</v>
      </c>
      <c r="EZ160" s="229">
        <v>-4.7199999999999999E-2</v>
      </c>
      <c r="FA160" s="229">
        <v>0.54700000000000004</v>
      </c>
      <c r="FB160" s="227" t="s">
        <v>567</v>
      </c>
      <c r="FC160">
        <f t="shared" si="3"/>
        <v>0</v>
      </c>
    </row>
    <row r="161" spans="1:159" ht="17.25" thickBot="1" x14ac:dyDescent="0.3">
      <c r="A161" s="226">
        <v>46135</v>
      </c>
      <c r="B161" s="227" t="s">
        <v>175</v>
      </c>
      <c r="C161" s="227" t="s">
        <v>273</v>
      </c>
      <c r="D161" s="228">
        <v>1300</v>
      </c>
      <c r="E161" s="228">
        <v>5</v>
      </c>
      <c r="F161" s="228">
        <v>469</v>
      </c>
      <c r="G161" s="228">
        <v>470.85</v>
      </c>
      <c r="H161" s="228">
        <v>-1.85</v>
      </c>
      <c r="I161" s="229">
        <v>-3.8999999999999998E-3</v>
      </c>
      <c r="J161" s="228">
        <v>469.8</v>
      </c>
      <c r="K161" s="228">
        <v>470.3</v>
      </c>
      <c r="L161" s="228">
        <v>-0.5</v>
      </c>
      <c r="M161" s="229">
        <v>-1.1000000000000001E-3</v>
      </c>
      <c r="N161" s="228">
        <v>469</v>
      </c>
      <c r="O161" s="228">
        <v>470.85</v>
      </c>
      <c r="P161" s="228">
        <v>-1.85</v>
      </c>
      <c r="Q161" s="229">
        <v>-3.8999999999999998E-3</v>
      </c>
      <c r="R161" s="228">
        <v>470</v>
      </c>
      <c r="S161" s="228">
        <v>473.55</v>
      </c>
      <c r="T161" s="228">
        <v>-3.55</v>
      </c>
      <c r="U161" s="229">
        <v>-7.4999999999999997E-3</v>
      </c>
      <c r="V161" s="228">
        <v>472.05</v>
      </c>
      <c r="W161" s="228">
        <v>475.75</v>
      </c>
      <c r="X161" s="228">
        <v>-3.7</v>
      </c>
      <c r="Y161" s="229">
        <v>-7.7999999999999996E-3</v>
      </c>
      <c r="Z161" s="228">
        <v>-0.8</v>
      </c>
      <c r="AA161" s="228">
        <v>0.55000000000000004</v>
      </c>
      <c r="AB161" s="228">
        <v>-1.35</v>
      </c>
      <c r="AC161" s="229">
        <v>-1.6999999999999999E-3</v>
      </c>
      <c r="AD161" s="228">
        <v>-0.8</v>
      </c>
      <c r="AE161" s="228">
        <v>0.55000000000000004</v>
      </c>
      <c r="AF161" s="228">
        <v>-1.35</v>
      </c>
      <c r="AG161" s="229">
        <v>-1.6999999999999999E-3</v>
      </c>
      <c r="AH161" s="228">
        <v>0.2</v>
      </c>
      <c r="AI161" s="228">
        <v>3.25</v>
      </c>
      <c r="AJ161" s="228">
        <v>-3.05</v>
      </c>
      <c r="AK161" s="229">
        <v>4.0000000000000002E-4</v>
      </c>
      <c r="AL161" s="228">
        <v>2.25</v>
      </c>
      <c r="AM161" s="228">
        <v>5.45</v>
      </c>
      <c r="AN161" s="228">
        <v>-3.2</v>
      </c>
      <c r="AO161" s="229">
        <v>4.7999999999999996E-3</v>
      </c>
      <c r="AP161" s="228">
        <v>469.31</v>
      </c>
      <c r="AQ161" s="228">
        <v>470.93</v>
      </c>
      <c r="AR161" s="228">
        <v>0</v>
      </c>
      <c r="AS161" s="230">
        <v>1399</v>
      </c>
      <c r="AT161" s="228">
        <v>569</v>
      </c>
      <c r="AU161" s="228">
        <v>830</v>
      </c>
      <c r="AV161" s="229">
        <v>1.4573</v>
      </c>
      <c r="AW161" s="228">
        <v>743</v>
      </c>
      <c r="AX161" s="228">
        <v>370</v>
      </c>
      <c r="AY161" s="228">
        <v>373</v>
      </c>
      <c r="AZ161" s="229">
        <v>1.0096000000000001</v>
      </c>
      <c r="BA161" s="228">
        <v>647</v>
      </c>
      <c r="BB161" s="228">
        <v>191</v>
      </c>
      <c r="BC161" s="228">
        <v>456</v>
      </c>
      <c r="BD161" s="229">
        <v>2.3910999999999998</v>
      </c>
      <c r="BE161" s="228">
        <v>9</v>
      </c>
      <c r="BF161" s="228">
        <v>9</v>
      </c>
      <c r="BG161" s="228">
        <v>0</v>
      </c>
      <c r="BH161" s="229">
        <v>2.76E-2</v>
      </c>
      <c r="BI161" s="230">
        <v>1221</v>
      </c>
      <c r="BJ161" s="230">
        <v>1345</v>
      </c>
      <c r="BK161" s="228">
        <v>-123</v>
      </c>
      <c r="BL161" s="229">
        <v>-9.1600000000000001E-2</v>
      </c>
      <c r="BM161" s="228">
        <v>563</v>
      </c>
      <c r="BN161" s="228">
        <v>706</v>
      </c>
      <c r="BO161" s="228">
        <v>-143</v>
      </c>
      <c r="BP161" s="229">
        <v>-0.20280000000000001</v>
      </c>
      <c r="BQ161" s="230">
        <v>3184</v>
      </c>
      <c r="BR161" s="230">
        <v>2620</v>
      </c>
      <c r="BS161" s="228">
        <v>563</v>
      </c>
      <c r="BT161" s="229">
        <v>0.215</v>
      </c>
      <c r="BU161" s="230">
        <v>6830073</v>
      </c>
      <c r="BV161" s="230">
        <v>5366987</v>
      </c>
      <c r="BW161" s="230">
        <v>1463086</v>
      </c>
      <c r="BX161" s="229">
        <v>0.27260000000000001</v>
      </c>
      <c r="BY161" s="230">
        <v>2773</v>
      </c>
      <c r="BZ161" s="230">
        <v>2822</v>
      </c>
      <c r="CA161" s="228">
        <v>-50</v>
      </c>
      <c r="CB161" s="229">
        <v>-1.7600000000000001E-2</v>
      </c>
      <c r="CC161" s="230">
        <v>1602</v>
      </c>
      <c r="CD161" s="230">
        <v>2157</v>
      </c>
      <c r="CE161" s="228">
        <v>-555</v>
      </c>
      <c r="CF161" s="229">
        <v>-0.2571</v>
      </c>
      <c r="CG161" s="230">
        <v>1137</v>
      </c>
      <c r="CH161" s="228">
        <v>636</v>
      </c>
      <c r="CI161" s="228">
        <v>501</v>
      </c>
      <c r="CJ161" s="229">
        <v>0.78790000000000004</v>
      </c>
      <c r="CK161" s="228">
        <v>33</v>
      </c>
      <c r="CL161" s="228">
        <v>29</v>
      </c>
      <c r="CM161" s="228">
        <v>4</v>
      </c>
      <c r="CN161" s="229">
        <v>0.12939999999999999</v>
      </c>
      <c r="CO161" s="230">
        <v>1241</v>
      </c>
      <c r="CP161" s="230">
        <v>1256</v>
      </c>
      <c r="CQ161" s="228">
        <v>-15</v>
      </c>
      <c r="CR161" s="229">
        <v>-1.21E-2</v>
      </c>
      <c r="CS161" s="228">
        <v>961</v>
      </c>
      <c r="CT161" s="228">
        <v>972</v>
      </c>
      <c r="CU161" s="228">
        <v>-11</v>
      </c>
      <c r="CV161" s="229">
        <v>-1.0999999999999999E-2</v>
      </c>
      <c r="CW161" s="230">
        <v>4975</v>
      </c>
      <c r="CX161" s="230">
        <v>5050</v>
      </c>
      <c r="CY161" s="228">
        <v>-76</v>
      </c>
      <c r="CZ161" s="229">
        <v>-1.4999999999999999E-2</v>
      </c>
      <c r="DA161" s="228">
        <v>34.340000000000003</v>
      </c>
      <c r="DB161" s="228">
        <v>32.97</v>
      </c>
      <c r="DC161" s="228">
        <v>1.37</v>
      </c>
      <c r="DD161" s="228">
        <v>1.37</v>
      </c>
      <c r="DE161" s="228">
        <v>42.01</v>
      </c>
      <c r="DF161" s="228">
        <v>42.11</v>
      </c>
      <c r="DG161" s="228">
        <v>-7.67</v>
      </c>
      <c r="DH161" s="228">
        <v>-0.1</v>
      </c>
      <c r="DI161" s="228">
        <v>34.549999999999997</v>
      </c>
      <c r="DJ161" s="228">
        <v>31.35</v>
      </c>
      <c r="DK161" s="228">
        <v>3.2</v>
      </c>
      <c r="DL161" s="228">
        <v>3.2</v>
      </c>
      <c r="DM161" s="228">
        <v>33.9</v>
      </c>
      <c r="DN161" s="228">
        <v>36.04</v>
      </c>
      <c r="DO161" s="228">
        <v>-2.14</v>
      </c>
      <c r="DP161" s="228">
        <v>-2.14</v>
      </c>
      <c r="DQ161" s="228">
        <v>0.77</v>
      </c>
      <c r="DR161" s="228">
        <v>0.77</v>
      </c>
      <c r="DS161" s="228">
        <v>0</v>
      </c>
      <c r="DT161" s="229">
        <v>0</v>
      </c>
      <c r="DU161" s="228">
        <v>480</v>
      </c>
      <c r="DV161" s="228">
        <v>450</v>
      </c>
      <c r="DW161" s="228">
        <v>0.46</v>
      </c>
      <c r="DX161" s="228">
        <v>0.53</v>
      </c>
      <c r="DY161" s="228">
        <v>-7.0000000000000007E-2</v>
      </c>
      <c r="DZ161" s="229">
        <v>-0.1321</v>
      </c>
      <c r="EA161" s="229">
        <v>0.42199999999999999</v>
      </c>
      <c r="EB161" s="230">
        <v>14184300</v>
      </c>
      <c r="EC161" s="229">
        <v>2.0999999999999999E-3</v>
      </c>
      <c r="ED161" s="229">
        <v>0.42199999999999999</v>
      </c>
      <c r="EE161" s="228">
        <v>1.62</v>
      </c>
      <c r="EF161" s="229">
        <v>3.5000000000000001E-3</v>
      </c>
      <c r="EG161" s="230">
        <v>4086986</v>
      </c>
      <c r="EH161" s="230">
        <v>2680091</v>
      </c>
      <c r="EI161" s="229">
        <v>0.52490000000000003</v>
      </c>
      <c r="EJ161" s="229">
        <v>0.59840000000000004</v>
      </c>
      <c r="EK161" s="231">
        <v>1264.18</v>
      </c>
      <c r="EL161" s="228">
        <v>553.41</v>
      </c>
      <c r="EM161" s="231">
        <v>1402.45</v>
      </c>
      <c r="EN161" s="228">
        <v>110.84</v>
      </c>
      <c r="EO161" s="231">
        <v>3220.03</v>
      </c>
      <c r="EP161" s="231">
        <v>2663.57</v>
      </c>
      <c r="EQ161" s="228">
        <v>556.46</v>
      </c>
      <c r="ER161" s="229">
        <v>0.2089</v>
      </c>
      <c r="ES161" s="231">
        <v>1201.68</v>
      </c>
      <c r="ET161" s="228">
        <v>880.72</v>
      </c>
      <c r="EU161" s="231">
        <v>2775.25</v>
      </c>
      <c r="EV161" s="231">
        <v>217835555</v>
      </c>
      <c r="EW161" s="231">
        <v>4857.66</v>
      </c>
      <c r="EX161" s="231">
        <v>4940.3100000000004</v>
      </c>
      <c r="EY161" s="228">
        <v>-82.65</v>
      </c>
      <c r="EZ161" s="229">
        <v>-1.67E-2</v>
      </c>
      <c r="FA161" s="229">
        <v>0.4869</v>
      </c>
      <c r="FB161" s="227" t="s">
        <v>567</v>
      </c>
      <c r="FC161">
        <f t="shared" si="3"/>
        <v>0</v>
      </c>
    </row>
    <row r="162" spans="1:159" ht="17.25" thickBot="1" x14ac:dyDescent="0.3">
      <c r="A162" s="226">
        <v>46135</v>
      </c>
      <c r="B162" s="227" t="s">
        <v>184</v>
      </c>
      <c r="C162" s="227" t="s">
        <v>678</v>
      </c>
      <c r="D162" s="228">
        <v>950</v>
      </c>
      <c r="E162" s="228">
        <v>5</v>
      </c>
      <c r="F162" s="228">
        <v>552.15</v>
      </c>
      <c r="G162" s="228">
        <v>570.75</v>
      </c>
      <c r="H162" s="228">
        <v>-18.600000000000001</v>
      </c>
      <c r="I162" s="229">
        <v>-3.2599999999999997E-2</v>
      </c>
      <c r="J162" s="228">
        <v>550.5</v>
      </c>
      <c r="K162" s="228">
        <v>568.65</v>
      </c>
      <c r="L162" s="228">
        <v>-18.149999999999999</v>
      </c>
      <c r="M162" s="229">
        <v>-3.1899999999999998E-2</v>
      </c>
      <c r="N162" s="228">
        <v>552.15</v>
      </c>
      <c r="O162" s="228">
        <v>570.75</v>
      </c>
      <c r="P162" s="228">
        <v>-18.600000000000001</v>
      </c>
      <c r="Q162" s="229">
        <v>-3.2599999999999997E-2</v>
      </c>
      <c r="R162" s="228">
        <v>547.45000000000005</v>
      </c>
      <c r="S162" s="228">
        <v>562.4</v>
      </c>
      <c r="T162" s="228">
        <v>-14.95</v>
      </c>
      <c r="U162" s="229">
        <v>-2.6599999999999999E-2</v>
      </c>
      <c r="V162" s="228">
        <v>545.1</v>
      </c>
      <c r="W162" s="228">
        <v>560.9</v>
      </c>
      <c r="X162" s="228">
        <v>-15.8</v>
      </c>
      <c r="Y162" s="229">
        <v>-2.8199999999999999E-2</v>
      </c>
      <c r="Z162" s="228">
        <v>1.65</v>
      </c>
      <c r="AA162" s="228">
        <v>2.1</v>
      </c>
      <c r="AB162" s="228">
        <v>-0.45</v>
      </c>
      <c r="AC162" s="229">
        <v>3.0000000000000001E-3</v>
      </c>
      <c r="AD162" s="228">
        <v>1.65</v>
      </c>
      <c r="AE162" s="228">
        <v>2.1</v>
      </c>
      <c r="AF162" s="228">
        <v>-0.45</v>
      </c>
      <c r="AG162" s="229">
        <v>3.0000000000000001E-3</v>
      </c>
      <c r="AH162" s="228">
        <v>-3.05</v>
      </c>
      <c r="AI162" s="228">
        <v>-6.25</v>
      </c>
      <c r="AJ162" s="228">
        <v>3.2</v>
      </c>
      <c r="AK162" s="229">
        <v>-5.4999999999999997E-3</v>
      </c>
      <c r="AL162" s="228">
        <v>-5.4</v>
      </c>
      <c r="AM162" s="228">
        <v>-7.75</v>
      </c>
      <c r="AN162" s="228">
        <v>2.35</v>
      </c>
      <c r="AO162" s="229">
        <v>-9.7999999999999997E-3</v>
      </c>
      <c r="AP162" s="228">
        <v>556.07000000000005</v>
      </c>
      <c r="AQ162" s="228">
        <v>548.07000000000005</v>
      </c>
      <c r="AR162" s="228">
        <v>0</v>
      </c>
      <c r="AS162" s="228">
        <v>782</v>
      </c>
      <c r="AT162" s="228">
        <v>290</v>
      </c>
      <c r="AU162" s="228">
        <v>493</v>
      </c>
      <c r="AV162" s="229">
        <v>1.7007000000000001</v>
      </c>
      <c r="AW162" s="228">
        <v>397</v>
      </c>
      <c r="AX162" s="228">
        <v>198</v>
      </c>
      <c r="AY162" s="228">
        <v>200</v>
      </c>
      <c r="AZ162" s="229">
        <v>1.0101</v>
      </c>
      <c r="BA162" s="228">
        <v>378</v>
      </c>
      <c r="BB162" s="228">
        <v>82</v>
      </c>
      <c r="BC162" s="228">
        <v>296</v>
      </c>
      <c r="BD162" s="229">
        <v>3.6168999999999998</v>
      </c>
      <c r="BE162" s="228">
        <v>7</v>
      </c>
      <c r="BF162" s="228">
        <v>10</v>
      </c>
      <c r="BG162" s="228">
        <v>-3</v>
      </c>
      <c r="BH162" s="229">
        <v>-0.30409999999999998</v>
      </c>
      <c r="BI162" s="228">
        <v>638</v>
      </c>
      <c r="BJ162" s="228">
        <v>742</v>
      </c>
      <c r="BK162" s="228">
        <v>-104</v>
      </c>
      <c r="BL162" s="229">
        <v>-0.14019999999999999</v>
      </c>
      <c r="BM162" s="228">
        <v>638</v>
      </c>
      <c r="BN162" s="228">
        <v>516</v>
      </c>
      <c r="BO162" s="228">
        <v>121</v>
      </c>
      <c r="BP162" s="229">
        <v>0.23480000000000001</v>
      </c>
      <c r="BQ162" s="230">
        <v>2058</v>
      </c>
      <c r="BR162" s="230">
        <v>1548</v>
      </c>
      <c r="BS162" s="228">
        <v>510</v>
      </c>
      <c r="BT162" s="229">
        <v>0.32929999999999998</v>
      </c>
      <c r="BU162" s="230">
        <v>3107621</v>
      </c>
      <c r="BV162" s="230">
        <v>3345964</v>
      </c>
      <c r="BW162" s="230">
        <v>-238343</v>
      </c>
      <c r="BX162" s="229">
        <v>-7.1199999999999999E-2</v>
      </c>
      <c r="BY162" s="228">
        <v>864</v>
      </c>
      <c r="BZ162" s="228">
        <v>923</v>
      </c>
      <c r="CA162" s="228">
        <v>-60</v>
      </c>
      <c r="CB162" s="229">
        <v>-6.4799999999999996E-2</v>
      </c>
      <c r="CC162" s="228">
        <v>542</v>
      </c>
      <c r="CD162" s="228">
        <v>749</v>
      </c>
      <c r="CE162" s="228">
        <v>-207</v>
      </c>
      <c r="CF162" s="229">
        <v>-0.27629999999999999</v>
      </c>
      <c r="CG162" s="228">
        <v>292</v>
      </c>
      <c r="CH162" s="228">
        <v>148</v>
      </c>
      <c r="CI162" s="228">
        <v>145</v>
      </c>
      <c r="CJ162" s="229">
        <v>0.98009999999999997</v>
      </c>
      <c r="CK162" s="228">
        <v>29</v>
      </c>
      <c r="CL162" s="228">
        <v>27</v>
      </c>
      <c r="CM162" s="228">
        <v>3</v>
      </c>
      <c r="CN162" s="229">
        <v>9.5899999999999999E-2</v>
      </c>
      <c r="CO162" s="228">
        <v>468</v>
      </c>
      <c r="CP162" s="228">
        <v>465</v>
      </c>
      <c r="CQ162" s="228">
        <v>3</v>
      </c>
      <c r="CR162" s="229">
        <v>5.4999999999999997E-3</v>
      </c>
      <c r="CS162" s="228">
        <v>457</v>
      </c>
      <c r="CT162" s="228">
        <v>489</v>
      </c>
      <c r="CU162" s="228">
        <v>-32</v>
      </c>
      <c r="CV162" s="229">
        <v>-6.4500000000000002E-2</v>
      </c>
      <c r="CW162" s="230">
        <v>1789</v>
      </c>
      <c r="CX162" s="230">
        <v>1877</v>
      </c>
      <c r="CY162" s="228">
        <v>-89</v>
      </c>
      <c r="CZ162" s="229">
        <v>-4.7300000000000002E-2</v>
      </c>
      <c r="DA162" s="228">
        <v>58.47</v>
      </c>
      <c r="DB162" s="228">
        <v>42.79</v>
      </c>
      <c r="DC162" s="228">
        <v>15.68</v>
      </c>
      <c r="DD162" s="228">
        <v>15.68</v>
      </c>
      <c r="DE162" s="228">
        <v>67.709999999999994</v>
      </c>
      <c r="DF162" s="228">
        <v>67.73</v>
      </c>
      <c r="DG162" s="228">
        <v>-9.24</v>
      </c>
      <c r="DH162" s="228">
        <v>-0.02</v>
      </c>
      <c r="DI162" s="228">
        <v>58.49</v>
      </c>
      <c r="DJ162" s="228">
        <v>40.369999999999997</v>
      </c>
      <c r="DK162" s="228">
        <v>18.12</v>
      </c>
      <c r="DL162" s="228">
        <v>18.12</v>
      </c>
      <c r="DM162" s="228">
        <v>58.42</v>
      </c>
      <c r="DN162" s="228">
        <v>46.28</v>
      </c>
      <c r="DO162" s="228">
        <v>12.14</v>
      </c>
      <c r="DP162" s="228">
        <v>12.14</v>
      </c>
      <c r="DQ162" s="228">
        <v>0.98</v>
      </c>
      <c r="DR162" s="228">
        <v>1.05</v>
      </c>
      <c r="DS162" s="228">
        <v>-7.0000000000000007E-2</v>
      </c>
      <c r="DT162" s="229">
        <v>-6.6699999999999995E-2</v>
      </c>
      <c r="DU162" s="228">
        <v>560</v>
      </c>
      <c r="DV162" s="228">
        <v>540</v>
      </c>
      <c r="DW162" s="228">
        <v>1</v>
      </c>
      <c r="DX162" s="228">
        <v>0.7</v>
      </c>
      <c r="DY162" s="228">
        <v>0.3</v>
      </c>
      <c r="DZ162" s="229">
        <v>0.42859999999999998</v>
      </c>
      <c r="EA162" s="229">
        <v>0.37230000000000002</v>
      </c>
      <c r="EB162" s="230">
        <v>3157800</v>
      </c>
      <c r="EC162" s="229">
        <v>-8.5000000000000006E-3</v>
      </c>
      <c r="ED162" s="229">
        <v>0.37230000000000002</v>
      </c>
      <c r="EE162" s="228">
        <v>-8</v>
      </c>
      <c r="EF162" s="229">
        <v>-1.44E-2</v>
      </c>
      <c r="EG162" s="230">
        <v>942796</v>
      </c>
      <c r="EH162" s="230">
        <v>1431423</v>
      </c>
      <c r="EI162" s="229">
        <v>-0.34139999999999998</v>
      </c>
      <c r="EJ162" s="229">
        <v>0.3034</v>
      </c>
      <c r="EK162" s="228">
        <v>675.77</v>
      </c>
      <c r="EL162" s="228">
        <v>616.11</v>
      </c>
      <c r="EM162" s="228">
        <v>782.36</v>
      </c>
      <c r="EN162" s="228">
        <v>47.14</v>
      </c>
      <c r="EO162" s="231">
        <v>2074.2399999999998</v>
      </c>
      <c r="EP162" s="231">
        <v>1595.97</v>
      </c>
      <c r="EQ162" s="228">
        <v>478.28</v>
      </c>
      <c r="ER162" s="229">
        <v>0.29970000000000002</v>
      </c>
      <c r="ES162" s="228">
        <v>458.47</v>
      </c>
      <c r="ET162" s="228">
        <v>408.13</v>
      </c>
      <c r="EU162" s="228">
        <v>860.74</v>
      </c>
      <c r="EV162" s="231">
        <v>24101986</v>
      </c>
      <c r="EW162" s="231">
        <v>1727.34</v>
      </c>
      <c r="EX162" s="231">
        <v>1844.58</v>
      </c>
      <c r="EY162" s="228">
        <v>-117.24</v>
      </c>
      <c r="EZ162" s="229">
        <v>-6.3600000000000004E-2</v>
      </c>
      <c r="FA162" s="229">
        <v>1.3440000000000001</v>
      </c>
      <c r="FB162" s="227" t="s">
        <v>567</v>
      </c>
      <c r="FC162">
        <f t="shared" si="3"/>
        <v>0</v>
      </c>
    </row>
    <row r="163" spans="1:159" ht="17.25" thickBot="1" x14ac:dyDescent="0.3">
      <c r="A163" s="226">
        <v>46135</v>
      </c>
      <c r="B163" s="227" t="s">
        <v>206</v>
      </c>
      <c r="C163" s="227" t="s">
        <v>644</v>
      </c>
      <c r="D163" s="228">
        <v>350</v>
      </c>
      <c r="E163" s="228">
        <v>5</v>
      </c>
      <c r="F163" s="231">
        <v>1786.2</v>
      </c>
      <c r="G163" s="231">
        <v>1810.4</v>
      </c>
      <c r="H163" s="228">
        <v>-24.2</v>
      </c>
      <c r="I163" s="229">
        <v>-1.34E-2</v>
      </c>
      <c r="J163" s="231">
        <v>1785.3</v>
      </c>
      <c r="K163" s="231">
        <v>1809.4</v>
      </c>
      <c r="L163" s="228">
        <v>-24.1</v>
      </c>
      <c r="M163" s="229">
        <v>-1.3299999999999999E-2</v>
      </c>
      <c r="N163" s="231">
        <v>1786.2</v>
      </c>
      <c r="O163" s="231">
        <v>1810.4</v>
      </c>
      <c r="P163" s="228">
        <v>-24.2</v>
      </c>
      <c r="Q163" s="229">
        <v>-1.34E-2</v>
      </c>
      <c r="R163" s="231">
        <v>1796.4</v>
      </c>
      <c r="S163" s="231">
        <v>1819.8</v>
      </c>
      <c r="T163" s="228">
        <v>-23.4</v>
      </c>
      <c r="U163" s="229">
        <v>-1.29E-2</v>
      </c>
      <c r="V163" s="231">
        <v>1809</v>
      </c>
      <c r="W163" s="231">
        <v>1801.7</v>
      </c>
      <c r="X163" s="228">
        <v>7.3</v>
      </c>
      <c r="Y163" s="229">
        <v>4.1000000000000003E-3</v>
      </c>
      <c r="Z163" s="228">
        <v>0.9</v>
      </c>
      <c r="AA163" s="228">
        <v>1</v>
      </c>
      <c r="AB163" s="228">
        <v>-0.1</v>
      </c>
      <c r="AC163" s="229">
        <v>5.0000000000000001E-4</v>
      </c>
      <c r="AD163" s="228">
        <v>0.9</v>
      </c>
      <c r="AE163" s="228">
        <v>1</v>
      </c>
      <c r="AF163" s="228">
        <v>-0.1</v>
      </c>
      <c r="AG163" s="229">
        <v>5.0000000000000001E-4</v>
      </c>
      <c r="AH163" s="228">
        <v>11.1</v>
      </c>
      <c r="AI163" s="228">
        <v>10.4</v>
      </c>
      <c r="AJ163" s="228">
        <v>0.7</v>
      </c>
      <c r="AK163" s="229">
        <v>6.1999999999999998E-3</v>
      </c>
      <c r="AL163" s="228">
        <v>23.7</v>
      </c>
      <c r="AM163" s="228">
        <v>-7.7</v>
      </c>
      <c r="AN163" s="228">
        <v>31.4</v>
      </c>
      <c r="AO163" s="229">
        <v>1.3299999999999999E-2</v>
      </c>
      <c r="AP163" s="231">
        <v>1794.14</v>
      </c>
      <c r="AQ163" s="231">
        <v>1804.21</v>
      </c>
      <c r="AR163" s="228">
        <v>0</v>
      </c>
      <c r="AS163" s="228">
        <v>442</v>
      </c>
      <c r="AT163" s="228">
        <v>50</v>
      </c>
      <c r="AU163" s="228">
        <v>391</v>
      </c>
      <c r="AV163" s="229">
        <v>7.7739000000000003</v>
      </c>
      <c r="AW163" s="228">
        <v>220</v>
      </c>
      <c r="AX163" s="228">
        <v>38</v>
      </c>
      <c r="AY163" s="228">
        <v>182</v>
      </c>
      <c r="AZ163" s="229">
        <v>4.7973999999999997</v>
      </c>
      <c r="BA163" s="228">
        <v>221</v>
      </c>
      <c r="BB163" s="228">
        <v>12</v>
      </c>
      <c r="BC163" s="228">
        <v>209</v>
      </c>
      <c r="BD163" s="229">
        <v>16.893899999999999</v>
      </c>
      <c r="BE163" s="228">
        <v>0</v>
      </c>
      <c r="BF163" s="228">
        <v>0</v>
      </c>
      <c r="BG163" s="228">
        <v>0</v>
      </c>
      <c r="BH163" s="229">
        <v>0</v>
      </c>
      <c r="BI163" s="228">
        <v>155</v>
      </c>
      <c r="BJ163" s="228">
        <v>163</v>
      </c>
      <c r="BK163" s="228">
        <v>-7</v>
      </c>
      <c r="BL163" s="229">
        <v>-4.5699999999999998E-2</v>
      </c>
      <c r="BM163" s="228">
        <v>353</v>
      </c>
      <c r="BN163" s="228">
        <v>58</v>
      </c>
      <c r="BO163" s="228">
        <v>295</v>
      </c>
      <c r="BP163" s="229">
        <v>5.0753000000000004</v>
      </c>
      <c r="BQ163" s="228">
        <v>950</v>
      </c>
      <c r="BR163" s="228">
        <v>271</v>
      </c>
      <c r="BS163" s="228">
        <v>679</v>
      </c>
      <c r="BT163" s="229">
        <v>2.5021</v>
      </c>
      <c r="BU163" s="230">
        <v>494738</v>
      </c>
      <c r="BV163" s="230">
        <v>166344</v>
      </c>
      <c r="BW163" s="230">
        <v>328394</v>
      </c>
      <c r="BX163" s="229">
        <v>1.9742</v>
      </c>
      <c r="BY163" s="228">
        <v>718</v>
      </c>
      <c r="BZ163" s="228">
        <v>708</v>
      </c>
      <c r="CA163" s="228">
        <v>10</v>
      </c>
      <c r="CB163" s="229">
        <v>1.4E-2</v>
      </c>
      <c r="CC163" s="228">
        <v>452</v>
      </c>
      <c r="CD163" s="228">
        <v>608</v>
      </c>
      <c r="CE163" s="228">
        <v>-156</v>
      </c>
      <c r="CF163" s="229">
        <v>-0.2571</v>
      </c>
      <c r="CG163" s="228">
        <v>203</v>
      </c>
      <c r="CH163" s="228">
        <v>37</v>
      </c>
      <c r="CI163" s="228">
        <v>166</v>
      </c>
      <c r="CJ163" s="229">
        <v>4.5126999999999997</v>
      </c>
      <c r="CK163" s="228">
        <v>63</v>
      </c>
      <c r="CL163" s="228">
        <v>63</v>
      </c>
      <c r="CM163" s="228">
        <v>0</v>
      </c>
      <c r="CN163" s="229">
        <v>1E-3</v>
      </c>
      <c r="CO163" s="228">
        <v>241</v>
      </c>
      <c r="CP163" s="228">
        <v>225</v>
      </c>
      <c r="CQ163" s="228">
        <v>15</v>
      </c>
      <c r="CR163" s="229">
        <v>6.7699999999999996E-2</v>
      </c>
      <c r="CS163" s="228">
        <v>191</v>
      </c>
      <c r="CT163" s="228">
        <v>178</v>
      </c>
      <c r="CU163" s="228">
        <v>13</v>
      </c>
      <c r="CV163" s="229">
        <v>7.5200000000000003E-2</v>
      </c>
      <c r="CW163" s="230">
        <v>1150</v>
      </c>
      <c r="CX163" s="230">
        <v>1111</v>
      </c>
      <c r="CY163" s="228">
        <v>39</v>
      </c>
      <c r="CZ163" s="229">
        <v>3.4700000000000002E-2</v>
      </c>
      <c r="DA163" s="228">
        <v>32.33</v>
      </c>
      <c r="DB163" s="228">
        <v>34.130000000000003</v>
      </c>
      <c r="DC163" s="228">
        <v>-1.8</v>
      </c>
      <c r="DD163" s="228">
        <v>-1.8</v>
      </c>
      <c r="DE163" s="228">
        <v>39.82</v>
      </c>
      <c r="DF163" s="228">
        <v>39.880000000000003</v>
      </c>
      <c r="DG163" s="228">
        <v>-7.49</v>
      </c>
      <c r="DH163" s="228">
        <v>-0.06</v>
      </c>
      <c r="DI163" s="228">
        <v>30.97</v>
      </c>
      <c r="DJ163" s="228">
        <v>32.549999999999997</v>
      </c>
      <c r="DK163" s="228">
        <v>-1.58</v>
      </c>
      <c r="DL163" s="228">
        <v>-1.58</v>
      </c>
      <c r="DM163" s="228">
        <v>36.659999999999997</v>
      </c>
      <c r="DN163" s="228">
        <v>38.549999999999997</v>
      </c>
      <c r="DO163" s="228">
        <v>-1.89</v>
      </c>
      <c r="DP163" s="228">
        <v>-1.89</v>
      </c>
      <c r="DQ163" s="228">
        <v>0.79</v>
      </c>
      <c r="DR163" s="228">
        <v>0.79</v>
      </c>
      <c r="DS163" s="228">
        <v>0</v>
      </c>
      <c r="DT163" s="229">
        <v>0</v>
      </c>
      <c r="DU163" s="231">
        <v>1900</v>
      </c>
      <c r="DV163" s="231">
        <v>1500</v>
      </c>
      <c r="DW163" s="228">
        <v>2.27</v>
      </c>
      <c r="DX163" s="228">
        <v>0.36</v>
      </c>
      <c r="DY163" s="228">
        <v>1.91</v>
      </c>
      <c r="DZ163" s="229">
        <v>5.3056000000000001</v>
      </c>
      <c r="EA163" s="229">
        <v>0.37069999999999997</v>
      </c>
      <c r="EB163" s="230">
        <v>558950</v>
      </c>
      <c r="EC163" s="229">
        <v>5.7000000000000002E-3</v>
      </c>
      <c r="ED163" s="229">
        <v>0.37069999999999997</v>
      </c>
      <c r="EE163" s="228">
        <v>10.07</v>
      </c>
      <c r="EF163" s="229">
        <v>5.5999999999999999E-3</v>
      </c>
      <c r="EG163" s="230">
        <v>340334</v>
      </c>
      <c r="EH163" s="230">
        <v>85875</v>
      </c>
      <c r="EI163" s="229">
        <v>2.9630999999999998</v>
      </c>
      <c r="EJ163" s="229">
        <v>0.68789999999999996</v>
      </c>
      <c r="EK163" s="228">
        <v>161.68</v>
      </c>
      <c r="EL163" s="228">
        <v>310.72000000000003</v>
      </c>
      <c r="EM163" s="228">
        <v>444.77</v>
      </c>
      <c r="EN163" s="228">
        <v>16.22</v>
      </c>
      <c r="EO163" s="228">
        <v>917.17</v>
      </c>
      <c r="EP163" s="228">
        <v>279.33</v>
      </c>
      <c r="EQ163" s="228">
        <v>637.84</v>
      </c>
      <c r="ER163" s="229">
        <v>2.2833999999999999</v>
      </c>
      <c r="ES163" s="228">
        <v>242.61</v>
      </c>
      <c r="ET163" s="228">
        <v>174.34</v>
      </c>
      <c r="EU163" s="228">
        <v>719.66</v>
      </c>
      <c r="EV163" s="231">
        <v>21502901</v>
      </c>
      <c r="EW163" s="231">
        <v>1136.6099999999999</v>
      </c>
      <c r="EX163" s="231">
        <v>1105.9100000000001</v>
      </c>
      <c r="EY163" s="228">
        <v>30.7</v>
      </c>
      <c r="EZ163" s="229">
        <v>2.7799999999999998E-2</v>
      </c>
      <c r="FA163" s="229">
        <v>0.29930000000000001</v>
      </c>
      <c r="FB163" s="227" t="s">
        <v>566</v>
      </c>
      <c r="FC163">
        <f t="shared" si="3"/>
        <v>0</v>
      </c>
    </row>
    <row r="164" spans="1:159" ht="17.25" thickBot="1" x14ac:dyDescent="0.3">
      <c r="A164" s="226">
        <v>46135</v>
      </c>
      <c r="B164" s="227" t="s">
        <v>168</v>
      </c>
      <c r="C164" s="227" t="s">
        <v>274</v>
      </c>
      <c r="D164" s="228">
        <v>500</v>
      </c>
      <c r="E164" s="228">
        <v>5</v>
      </c>
      <c r="F164" s="231">
        <v>1400.9</v>
      </c>
      <c r="G164" s="231">
        <v>1420.8</v>
      </c>
      <c r="H164" s="228">
        <v>-19.899999999999999</v>
      </c>
      <c r="I164" s="229">
        <v>-1.4E-2</v>
      </c>
      <c r="J164" s="231">
        <v>1402.1</v>
      </c>
      <c r="K164" s="231">
        <v>1419</v>
      </c>
      <c r="L164" s="228">
        <v>-16.899999999999999</v>
      </c>
      <c r="M164" s="229">
        <v>-1.1900000000000001E-2</v>
      </c>
      <c r="N164" s="231">
        <v>1400.9</v>
      </c>
      <c r="O164" s="231">
        <v>1420.8</v>
      </c>
      <c r="P164" s="228">
        <v>-19.899999999999999</v>
      </c>
      <c r="Q164" s="229">
        <v>-1.4E-2</v>
      </c>
      <c r="R164" s="231">
        <v>1406.8</v>
      </c>
      <c r="S164" s="231">
        <v>1426.2</v>
      </c>
      <c r="T164" s="228">
        <v>-19.399999999999999</v>
      </c>
      <c r="U164" s="229">
        <v>-1.3599999999999999E-2</v>
      </c>
      <c r="V164" s="231">
        <v>1415</v>
      </c>
      <c r="W164" s="231">
        <v>1431.9</v>
      </c>
      <c r="X164" s="228">
        <v>-16.899999999999999</v>
      </c>
      <c r="Y164" s="229">
        <v>-1.18E-2</v>
      </c>
      <c r="Z164" s="228">
        <v>-1.2</v>
      </c>
      <c r="AA164" s="228">
        <v>1.8</v>
      </c>
      <c r="AB164" s="228">
        <v>-3</v>
      </c>
      <c r="AC164" s="229">
        <v>-8.9999999999999998E-4</v>
      </c>
      <c r="AD164" s="228">
        <v>-1.2</v>
      </c>
      <c r="AE164" s="228">
        <v>1.8</v>
      </c>
      <c r="AF164" s="228">
        <v>-3</v>
      </c>
      <c r="AG164" s="229">
        <v>-8.9999999999999998E-4</v>
      </c>
      <c r="AH164" s="228">
        <v>4.7</v>
      </c>
      <c r="AI164" s="228">
        <v>7.2</v>
      </c>
      <c r="AJ164" s="228">
        <v>-2.5</v>
      </c>
      <c r="AK164" s="229">
        <v>3.3999999999999998E-3</v>
      </c>
      <c r="AL164" s="228">
        <v>12.9</v>
      </c>
      <c r="AM164" s="228">
        <v>12.9</v>
      </c>
      <c r="AN164" s="228">
        <v>0</v>
      </c>
      <c r="AO164" s="229">
        <v>9.1999999999999998E-3</v>
      </c>
      <c r="AP164" s="231">
        <v>1404.45</v>
      </c>
      <c r="AQ164" s="231">
        <v>1409.86</v>
      </c>
      <c r="AR164" s="228">
        <v>0</v>
      </c>
      <c r="AS164" s="228">
        <v>841</v>
      </c>
      <c r="AT164" s="228">
        <v>144</v>
      </c>
      <c r="AU164" s="228">
        <v>697</v>
      </c>
      <c r="AV164" s="229">
        <v>4.8300999999999998</v>
      </c>
      <c r="AW164" s="228">
        <v>438</v>
      </c>
      <c r="AX164" s="228">
        <v>121</v>
      </c>
      <c r="AY164" s="228">
        <v>317</v>
      </c>
      <c r="AZ164" s="229">
        <v>2.6185999999999998</v>
      </c>
      <c r="BA164" s="228">
        <v>402</v>
      </c>
      <c r="BB164" s="228">
        <v>22</v>
      </c>
      <c r="BC164" s="228">
        <v>380</v>
      </c>
      <c r="BD164" s="229">
        <v>17.012499999999999</v>
      </c>
      <c r="BE164" s="228">
        <v>1</v>
      </c>
      <c r="BF164" s="228">
        <v>1</v>
      </c>
      <c r="BG164" s="228">
        <v>0</v>
      </c>
      <c r="BH164" s="229">
        <v>-0.15379999999999999</v>
      </c>
      <c r="BI164" s="228">
        <v>198</v>
      </c>
      <c r="BJ164" s="228">
        <v>267</v>
      </c>
      <c r="BK164" s="228">
        <v>-70</v>
      </c>
      <c r="BL164" s="229">
        <v>-0.2606</v>
      </c>
      <c r="BM164" s="228">
        <v>135</v>
      </c>
      <c r="BN164" s="228">
        <v>158</v>
      </c>
      <c r="BO164" s="228">
        <v>-22</v>
      </c>
      <c r="BP164" s="229">
        <v>-0.14219999999999999</v>
      </c>
      <c r="BQ164" s="230">
        <v>1174</v>
      </c>
      <c r="BR164" s="228">
        <v>569</v>
      </c>
      <c r="BS164" s="228">
        <v>605</v>
      </c>
      <c r="BT164" s="229">
        <v>1.0629</v>
      </c>
      <c r="BU164" s="230">
        <v>342878</v>
      </c>
      <c r="BV164" s="230">
        <v>643125</v>
      </c>
      <c r="BW164" s="230">
        <v>-300247</v>
      </c>
      <c r="BX164" s="229">
        <v>-0.46689999999999998</v>
      </c>
      <c r="BY164" s="230">
        <v>1130</v>
      </c>
      <c r="BZ164" s="230">
        <v>1164</v>
      </c>
      <c r="CA164" s="228">
        <v>-35</v>
      </c>
      <c r="CB164" s="229">
        <v>-2.9700000000000001E-2</v>
      </c>
      <c r="CC164" s="228">
        <v>745</v>
      </c>
      <c r="CD164" s="230">
        <v>1105</v>
      </c>
      <c r="CE164" s="228">
        <v>-361</v>
      </c>
      <c r="CF164" s="229">
        <v>-0.32619999999999999</v>
      </c>
      <c r="CG164" s="228">
        <v>381</v>
      </c>
      <c r="CH164" s="228">
        <v>55</v>
      </c>
      <c r="CI164" s="228">
        <v>325</v>
      </c>
      <c r="CJ164" s="229">
        <v>5.8959000000000001</v>
      </c>
      <c r="CK164" s="228">
        <v>4</v>
      </c>
      <c r="CL164" s="228">
        <v>4</v>
      </c>
      <c r="CM164" s="228">
        <v>1</v>
      </c>
      <c r="CN164" s="229">
        <v>0.1731</v>
      </c>
      <c r="CO164" s="228">
        <v>243</v>
      </c>
      <c r="CP164" s="228">
        <v>244</v>
      </c>
      <c r="CQ164" s="228">
        <v>-1</v>
      </c>
      <c r="CR164" s="229">
        <v>-3.7000000000000002E-3</v>
      </c>
      <c r="CS164" s="228">
        <v>191</v>
      </c>
      <c r="CT164" s="228">
        <v>188</v>
      </c>
      <c r="CU164" s="228">
        <v>4</v>
      </c>
      <c r="CV164" s="229">
        <v>1.9E-2</v>
      </c>
      <c r="CW164" s="230">
        <v>1564</v>
      </c>
      <c r="CX164" s="230">
        <v>1596</v>
      </c>
      <c r="CY164" s="228">
        <v>-32</v>
      </c>
      <c r="CZ164" s="229">
        <v>-0.02</v>
      </c>
      <c r="DA164" s="228">
        <v>25.22</v>
      </c>
      <c r="DB164" s="228">
        <v>26.66</v>
      </c>
      <c r="DC164" s="228">
        <v>-1.44</v>
      </c>
      <c r="DD164" s="228">
        <v>-1.44</v>
      </c>
      <c r="DE164" s="228">
        <v>26.1</v>
      </c>
      <c r="DF164" s="228">
        <v>26.1</v>
      </c>
      <c r="DG164" s="228">
        <v>-0.88</v>
      </c>
      <c r="DH164" s="228">
        <v>0</v>
      </c>
      <c r="DI164" s="228">
        <v>25.48</v>
      </c>
      <c r="DJ164" s="228">
        <v>25.53</v>
      </c>
      <c r="DK164" s="228">
        <v>-0.05</v>
      </c>
      <c r="DL164" s="228">
        <v>-0.05</v>
      </c>
      <c r="DM164" s="228">
        <v>24.89</v>
      </c>
      <c r="DN164" s="228">
        <v>28.58</v>
      </c>
      <c r="DO164" s="228">
        <v>-3.69</v>
      </c>
      <c r="DP164" s="228">
        <v>-3.69</v>
      </c>
      <c r="DQ164" s="228">
        <v>0.79</v>
      </c>
      <c r="DR164" s="228">
        <v>0.77</v>
      </c>
      <c r="DS164" s="228">
        <v>0.02</v>
      </c>
      <c r="DT164" s="229">
        <v>2.5999999999999999E-2</v>
      </c>
      <c r="DU164" s="231">
        <v>1460</v>
      </c>
      <c r="DV164" s="231">
        <v>1340</v>
      </c>
      <c r="DW164" s="228">
        <v>0.68</v>
      </c>
      <c r="DX164" s="228">
        <v>0.59</v>
      </c>
      <c r="DY164" s="228">
        <v>0.09</v>
      </c>
      <c r="DZ164" s="229">
        <v>0.1525</v>
      </c>
      <c r="EA164" s="229">
        <v>0.3407</v>
      </c>
      <c r="EB164" s="230">
        <v>420000</v>
      </c>
      <c r="EC164" s="229">
        <v>4.1999999999999997E-3</v>
      </c>
      <c r="ED164" s="229">
        <v>0.3407</v>
      </c>
      <c r="EE164" s="228">
        <v>5.41</v>
      </c>
      <c r="EF164" s="229">
        <v>3.8999999999999998E-3</v>
      </c>
      <c r="EG164" s="230">
        <v>175128</v>
      </c>
      <c r="EH164" s="230">
        <v>290110</v>
      </c>
      <c r="EI164" s="229">
        <v>-0.39629999999999999</v>
      </c>
      <c r="EJ164" s="229">
        <v>0.51080000000000003</v>
      </c>
      <c r="EK164" s="228">
        <v>204.3</v>
      </c>
      <c r="EL164" s="228">
        <v>133.26</v>
      </c>
      <c r="EM164" s="228">
        <v>844.93</v>
      </c>
      <c r="EN164" s="228">
        <v>33.200000000000003</v>
      </c>
      <c r="EO164" s="231">
        <v>1182.49</v>
      </c>
      <c r="EP164" s="228">
        <v>577.16999999999996</v>
      </c>
      <c r="EQ164" s="228">
        <v>605.33000000000004</v>
      </c>
      <c r="ER164" s="229">
        <v>1.0488</v>
      </c>
      <c r="ES164" s="228">
        <v>246.98</v>
      </c>
      <c r="ET164" s="228">
        <v>181.86</v>
      </c>
      <c r="EU164" s="231">
        <v>1131.26</v>
      </c>
      <c r="EV164" s="231">
        <v>31214205</v>
      </c>
      <c r="EW164" s="231">
        <v>1560.1</v>
      </c>
      <c r="EX164" s="231">
        <v>1606.89</v>
      </c>
      <c r="EY164" s="228">
        <v>-46.79</v>
      </c>
      <c r="EZ164" s="229">
        <v>-2.9100000000000001E-2</v>
      </c>
      <c r="FA164" s="229">
        <v>0.35770000000000002</v>
      </c>
      <c r="FB164" s="227" t="s">
        <v>567</v>
      </c>
      <c r="FC164">
        <f t="shared" si="3"/>
        <v>0</v>
      </c>
    </row>
    <row r="165" spans="1:159" ht="17.25" thickBot="1" x14ac:dyDescent="0.3">
      <c r="A165" s="226">
        <v>46135</v>
      </c>
      <c r="B165" s="227" t="s">
        <v>498</v>
      </c>
      <c r="C165" s="227" t="s">
        <v>483</v>
      </c>
      <c r="D165" s="228">
        <v>175</v>
      </c>
      <c r="E165" s="228">
        <v>5</v>
      </c>
      <c r="F165" s="231">
        <v>3077.9</v>
      </c>
      <c r="G165" s="231">
        <v>3068.1</v>
      </c>
      <c r="H165" s="228">
        <v>9.8000000000000007</v>
      </c>
      <c r="I165" s="229">
        <v>3.2000000000000002E-3</v>
      </c>
      <c r="J165" s="231">
        <v>3069.6</v>
      </c>
      <c r="K165" s="231">
        <v>3057.3</v>
      </c>
      <c r="L165" s="228">
        <v>12.3</v>
      </c>
      <c r="M165" s="229">
        <v>4.0000000000000001E-3</v>
      </c>
      <c r="N165" s="231">
        <v>3077.9</v>
      </c>
      <c r="O165" s="231">
        <v>3068.1</v>
      </c>
      <c r="P165" s="228">
        <v>9.8000000000000007</v>
      </c>
      <c r="Q165" s="229">
        <v>3.2000000000000002E-3</v>
      </c>
      <c r="R165" s="231">
        <v>3039.4</v>
      </c>
      <c r="S165" s="231">
        <v>3045</v>
      </c>
      <c r="T165" s="228">
        <v>-5.6</v>
      </c>
      <c r="U165" s="229">
        <v>-1.8E-3</v>
      </c>
      <c r="V165" s="231">
        <v>3027.5</v>
      </c>
      <c r="W165" s="231">
        <v>3039.7</v>
      </c>
      <c r="X165" s="228">
        <v>-12.2</v>
      </c>
      <c r="Y165" s="229">
        <v>-4.0000000000000001E-3</v>
      </c>
      <c r="Z165" s="228">
        <v>8.3000000000000007</v>
      </c>
      <c r="AA165" s="228">
        <v>10.8</v>
      </c>
      <c r="AB165" s="228">
        <v>-2.5</v>
      </c>
      <c r="AC165" s="229">
        <v>2.7000000000000001E-3</v>
      </c>
      <c r="AD165" s="228">
        <v>8.3000000000000007</v>
      </c>
      <c r="AE165" s="228">
        <v>10.8</v>
      </c>
      <c r="AF165" s="228">
        <v>-2.5</v>
      </c>
      <c r="AG165" s="229">
        <v>2.7000000000000001E-3</v>
      </c>
      <c r="AH165" s="228">
        <v>-30.2</v>
      </c>
      <c r="AI165" s="228">
        <v>-12.3</v>
      </c>
      <c r="AJ165" s="228">
        <v>-17.899999999999999</v>
      </c>
      <c r="AK165" s="229">
        <v>-9.7999999999999997E-3</v>
      </c>
      <c r="AL165" s="228">
        <v>-42.1</v>
      </c>
      <c r="AM165" s="228">
        <v>-17.600000000000001</v>
      </c>
      <c r="AN165" s="228">
        <v>-24.5</v>
      </c>
      <c r="AO165" s="229">
        <v>-1.37E-2</v>
      </c>
      <c r="AP165" s="231">
        <v>3082.5</v>
      </c>
      <c r="AQ165" s="231">
        <v>3045.43</v>
      </c>
      <c r="AR165" s="228">
        <v>0</v>
      </c>
      <c r="AS165" s="228">
        <v>680</v>
      </c>
      <c r="AT165" s="228">
        <v>112</v>
      </c>
      <c r="AU165" s="228">
        <v>568</v>
      </c>
      <c r="AV165" s="229">
        <v>5.0951000000000004</v>
      </c>
      <c r="AW165" s="228">
        <v>353</v>
      </c>
      <c r="AX165" s="228">
        <v>75</v>
      </c>
      <c r="AY165" s="228">
        <v>278</v>
      </c>
      <c r="AZ165" s="229">
        <v>3.7021000000000002</v>
      </c>
      <c r="BA165" s="228">
        <v>326</v>
      </c>
      <c r="BB165" s="228">
        <v>35</v>
      </c>
      <c r="BC165" s="228">
        <v>290</v>
      </c>
      <c r="BD165" s="229">
        <v>8.2698999999999998</v>
      </c>
      <c r="BE165" s="228">
        <v>2</v>
      </c>
      <c r="BF165" s="228">
        <v>1</v>
      </c>
      <c r="BG165" s="228">
        <v>0</v>
      </c>
      <c r="BH165" s="229">
        <v>0.1154</v>
      </c>
      <c r="BI165" s="228">
        <v>360</v>
      </c>
      <c r="BJ165" s="228">
        <v>231</v>
      </c>
      <c r="BK165" s="228">
        <v>129</v>
      </c>
      <c r="BL165" s="229">
        <v>0.55549999999999999</v>
      </c>
      <c r="BM165" s="228">
        <v>169</v>
      </c>
      <c r="BN165" s="228">
        <v>112</v>
      </c>
      <c r="BO165" s="228">
        <v>58</v>
      </c>
      <c r="BP165" s="229">
        <v>0.51470000000000005</v>
      </c>
      <c r="BQ165" s="230">
        <v>1209</v>
      </c>
      <c r="BR165" s="228">
        <v>455</v>
      </c>
      <c r="BS165" s="228">
        <v>754</v>
      </c>
      <c r="BT165" s="229">
        <v>1.659</v>
      </c>
      <c r="BU165" s="230">
        <v>150161</v>
      </c>
      <c r="BV165" s="230">
        <v>231526</v>
      </c>
      <c r="BW165" s="230">
        <v>-81365</v>
      </c>
      <c r="BX165" s="229">
        <v>-0.35139999999999999</v>
      </c>
      <c r="BY165" s="228">
        <v>805</v>
      </c>
      <c r="BZ165" s="228">
        <v>862</v>
      </c>
      <c r="CA165" s="228">
        <v>-57</v>
      </c>
      <c r="CB165" s="229">
        <v>-6.6299999999999998E-2</v>
      </c>
      <c r="CC165" s="228">
        <v>510</v>
      </c>
      <c r="CD165" s="228">
        <v>766</v>
      </c>
      <c r="CE165" s="228">
        <v>-256</v>
      </c>
      <c r="CF165" s="229">
        <v>-0.3342</v>
      </c>
      <c r="CG165" s="228">
        <v>287</v>
      </c>
      <c r="CH165" s="228">
        <v>89</v>
      </c>
      <c r="CI165" s="228">
        <v>198</v>
      </c>
      <c r="CJ165" s="229">
        <v>2.2319</v>
      </c>
      <c r="CK165" s="228">
        <v>9</v>
      </c>
      <c r="CL165" s="228">
        <v>8</v>
      </c>
      <c r="CM165" s="228">
        <v>1</v>
      </c>
      <c r="CN165" s="229">
        <v>0.1027</v>
      </c>
      <c r="CO165" s="228">
        <v>278</v>
      </c>
      <c r="CP165" s="228">
        <v>239</v>
      </c>
      <c r="CQ165" s="228">
        <v>39</v>
      </c>
      <c r="CR165" s="229">
        <v>0.16309999999999999</v>
      </c>
      <c r="CS165" s="228">
        <v>208</v>
      </c>
      <c r="CT165" s="228">
        <v>195</v>
      </c>
      <c r="CU165" s="228">
        <v>13</v>
      </c>
      <c r="CV165" s="229">
        <v>6.6199999999999995E-2</v>
      </c>
      <c r="CW165" s="230">
        <v>1292</v>
      </c>
      <c r="CX165" s="230">
        <v>1297</v>
      </c>
      <c r="CY165" s="228">
        <v>-5</v>
      </c>
      <c r="CZ165" s="229">
        <v>-4.0000000000000001E-3</v>
      </c>
      <c r="DA165" s="228">
        <v>34.76</v>
      </c>
      <c r="DB165" s="228">
        <v>30.1</v>
      </c>
      <c r="DC165" s="228">
        <v>4.66</v>
      </c>
      <c r="DD165" s="228">
        <v>4.66</v>
      </c>
      <c r="DE165" s="228">
        <v>31.64</v>
      </c>
      <c r="DF165" s="228">
        <v>31.71</v>
      </c>
      <c r="DG165" s="228">
        <v>3.12</v>
      </c>
      <c r="DH165" s="228">
        <v>-7.0000000000000007E-2</v>
      </c>
      <c r="DI165" s="228">
        <v>34.590000000000003</v>
      </c>
      <c r="DJ165" s="228">
        <v>28.16</v>
      </c>
      <c r="DK165" s="228">
        <v>6.43</v>
      </c>
      <c r="DL165" s="228">
        <v>6.43</v>
      </c>
      <c r="DM165" s="228">
        <v>34.97</v>
      </c>
      <c r="DN165" s="228">
        <v>34.130000000000003</v>
      </c>
      <c r="DO165" s="228">
        <v>0.84</v>
      </c>
      <c r="DP165" s="228">
        <v>0.84</v>
      </c>
      <c r="DQ165" s="228">
        <v>0.75</v>
      </c>
      <c r="DR165" s="228">
        <v>0.82</v>
      </c>
      <c r="DS165" s="228">
        <v>-7.0000000000000007E-2</v>
      </c>
      <c r="DT165" s="229">
        <v>-8.5400000000000004E-2</v>
      </c>
      <c r="DU165" s="231">
        <v>3100</v>
      </c>
      <c r="DV165" s="231">
        <v>2700</v>
      </c>
      <c r="DW165" s="228">
        <v>0.47</v>
      </c>
      <c r="DX165" s="228">
        <v>0.48</v>
      </c>
      <c r="DY165" s="228">
        <v>-0.01</v>
      </c>
      <c r="DZ165" s="229">
        <v>-2.0799999999999999E-2</v>
      </c>
      <c r="EA165" s="229">
        <v>0.36680000000000001</v>
      </c>
      <c r="EB165" s="230">
        <v>313775</v>
      </c>
      <c r="EC165" s="229">
        <v>-1.2500000000000001E-2</v>
      </c>
      <c r="ED165" s="229">
        <v>0.36680000000000001</v>
      </c>
      <c r="EE165" s="228">
        <v>-37.07</v>
      </c>
      <c r="EF165" s="229">
        <v>-1.2E-2</v>
      </c>
      <c r="EG165" s="230">
        <v>64152</v>
      </c>
      <c r="EH165" s="230">
        <v>103196</v>
      </c>
      <c r="EI165" s="229">
        <v>-0.37830000000000003</v>
      </c>
      <c r="EJ165" s="229">
        <v>0.42720000000000002</v>
      </c>
      <c r="EK165" s="228">
        <v>369.46</v>
      </c>
      <c r="EL165" s="228">
        <v>163.79</v>
      </c>
      <c r="EM165" s="228">
        <v>676.98</v>
      </c>
      <c r="EN165" s="228">
        <v>29.78</v>
      </c>
      <c r="EO165" s="231">
        <v>1210.23</v>
      </c>
      <c r="EP165" s="228">
        <v>454</v>
      </c>
      <c r="EQ165" s="228">
        <v>756.23</v>
      </c>
      <c r="ER165" s="229">
        <v>1.6657</v>
      </c>
      <c r="ES165" s="228">
        <v>280.83999999999997</v>
      </c>
      <c r="ET165" s="228">
        <v>195.18</v>
      </c>
      <c r="EU165" s="228">
        <v>801.47</v>
      </c>
      <c r="EV165" s="231">
        <v>8178275</v>
      </c>
      <c r="EW165" s="231">
        <v>1277.5</v>
      </c>
      <c r="EX165" s="231">
        <v>1282.29</v>
      </c>
      <c r="EY165" s="228">
        <v>-4.79</v>
      </c>
      <c r="EZ165" s="229">
        <v>-3.7000000000000002E-3</v>
      </c>
      <c r="FA165" s="229">
        <v>0.5131</v>
      </c>
      <c r="FB165" s="227" t="s">
        <v>693</v>
      </c>
      <c r="FC165">
        <f t="shared" si="3"/>
        <v>0</v>
      </c>
    </row>
    <row r="166" spans="1:159" ht="17.25" thickBot="1" x14ac:dyDescent="0.3">
      <c r="A166" s="226">
        <v>46135</v>
      </c>
      <c r="B166" s="227" t="s">
        <v>172</v>
      </c>
      <c r="C166" s="227" t="s">
        <v>275</v>
      </c>
      <c r="D166" s="228">
        <v>8000</v>
      </c>
      <c r="E166" s="228">
        <v>5</v>
      </c>
      <c r="F166" s="228">
        <v>112.76</v>
      </c>
      <c r="G166" s="228">
        <v>114.68</v>
      </c>
      <c r="H166" s="228">
        <v>-1.92</v>
      </c>
      <c r="I166" s="229">
        <v>-1.67E-2</v>
      </c>
      <c r="J166" s="228">
        <v>112.71</v>
      </c>
      <c r="K166" s="228">
        <v>114.67</v>
      </c>
      <c r="L166" s="228">
        <v>-1.96</v>
      </c>
      <c r="M166" s="229">
        <v>-1.7100000000000001E-2</v>
      </c>
      <c r="N166" s="228">
        <v>112.76</v>
      </c>
      <c r="O166" s="228">
        <v>114.68</v>
      </c>
      <c r="P166" s="228">
        <v>-1.92</v>
      </c>
      <c r="Q166" s="229">
        <v>-1.67E-2</v>
      </c>
      <c r="R166" s="228">
        <v>113.33</v>
      </c>
      <c r="S166" s="228">
        <v>115.36</v>
      </c>
      <c r="T166" s="228">
        <v>-2.0299999999999998</v>
      </c>
      <c r="U166" s="229">
        <v>-1.7600000000000001E-2</v>
      </c>
      <c r="V166" s="228">
        <v>113.9</v>
      </c>
      <c r="W166" s="228">
        <v>116.04</v>
      </c>
      <c r="X166" s="228">
        <v>-2.14</v>
      </c>
      <c r="Y166" s="229">
        <v>-1.84E-2</v>
      </c>
      <c r="Z166" s="228">
        <v>0.05</v>
      </c>
      <c r="AA166" s="228">
        <v>0.01</v>
      </c>
      <c r="AB166" s="228">
        <v>0.04</v>
      </c>
      <c r="AC166" s="229">
        <v>4.0000000000000002E-4</v>
      </c>
      <c r="AD166" s="228">
        <v>0.05</v>
      </c>
      <c r="AE166" s="228">
        <v>0.01</v>
      </c>
      <c r="AF166" s="228">
        <v>0.04</v>
      </c>
      <c r="AG166" s="229">
        <v>4.0000000000000002E-4</v>
      </c>
      <c r="AH166" s="228">
        <v>0.62</v>
      </c>
      <c r="AI166" s="228">
        <v>0.69</v>
      </c>
      <c r="AJ166" s="228">
        <v>-7.0000000000000007E-2</v>
      </c>
      <c r="AK166" s="229">
        <v>5.4999999999999997E-3</v>
      </c>
      <c r="AL166" s="228">
        <v>1.19</v>
      </c>
      <c r="AM166" s="228">
        <v>1.37</v>
      </c>
      <c r="AN166" s="228">
        <v>-0.18</v>
      </c>
      <c r="AO166" s="229">
        <v>1.06E-2</v>
      </c>
      <c r="AP166" s="228">
        <v>113.09</v>
      </c>
      <c r="AQ166" s="228">
        <v>113.69</v>
      </c>
      <c r="AR166" s="228">
        <v>0</v>
      </c>
      <c r="AS166" s="230">
        <v>1531</v>
      </c>
      <c r="AT166" s="228">
        <v>555</v>
      </c>
      <c r="AU166" s="228">
        <v>977</v>
      </c>
      <c r="AV166" s="229">
        <v>1.7605999999999999</v>
      </c>
      <c r="AW166" s="228">
        <v>793</v>
      </c>
      <c r="AX166" s="228">
        <v>328</v>
      </c>
      <c r="AY166" s="228">
        <v>465</v>
      </c>
      <c r="AZ166" s="229">
        <v>1.4177999999999999</v>
      </c>
      <c r="BA166" s="228">
        <v>722</v>
      </c>
      <c r="BB166" s="228">
        <v>210</v>
      </c>
      <c r="BC166" s="228">
        <v>512</v>
      </c>
      <c r="BD166" s="229">
        <v>2.4401000000000002</v>
      </c>
      <c r="BE166" s="228">
        <v>16</v>
      </c>
      <c r="BF166" s="228">
        <v>17</v>
      </c>
      <c r="BG166" s="228">
        <v>-1</v>
      </c>
      <c r="BH166" s="229">
        <v>-3.7600000000000001E-2</v>
      </c>
      <c r="BI166" s="230">
        <v>1405</v>
      </c>
      <c r="BJ166" s="230">
        <v>1222</v>
      </c>
      <c r="BK166" s="228">
        <v>183</v>
      </c>
      <c r="BL166" s="229">
        <v>0.1497</v>
      </c>
      <c r="BM166" s="228">
        <v>965</v>
      </c>
      <c r="BN166" s="228">
        <v>716</v>
      </c>
      <c r="BO166" s="228">
        <v>249</v>
      </c>
      <c r="BP166" s="229">
        <v>0.3483</v>
      </c>
      <c r="BQ166" s="230">
        <v>3902</v>
      </c>
      <c r="BR166" s="230">
        <v>2493</v>
      </c>
      <c r="BS166" s="230">
        <v>1409</v>
      </c>
      <c r="BT166" s="229">
        <v>0.56510000000000005</v>
      </c>
      <c r="BU166" s="230">
        <v>18561887</v>
      </c>
      <c r="BV166" s="230">
        <v>21491484</v>
      </c>
      <c r="BW166" s="230">
        <v>-2929597</v>
      </c>
      <c r="BX166" s="229">
        <v>-0.1363</v>
      </c>
      <c r="BY166" s="230">
        <v>3094</v>
      </c>
      <c r="BZ166" s="230">
        <v>3021</v>
      </c>
      <c r="CA166" s="228">
        <v>73</v>
      </c>
      <c r="CB166" s="229">
        <v>2.4E-2</v>
      </c>
      <c r="CC166" s="230">
        <v>1826</v>
      </c>
      <c r="CD166" s="230">
        <v>2296</v>
      </c>
      <c r="CE166" s="228">
        <v>-470</v>
      </c>
      <c r="CF166" s="229">
        <v>-0.2046</v>
      </c>
      <c r="CG166" s="230">
        <v>1130</v>
      </c>
      <c r="CH166" s="228">
        <v>596</v>
      </c>
      <c r="CI166" s="228">
        <v>534</v>
      </c>
      <c r="CJ166" s="229">
        <v>0.89529999999999998</v>
      </c>
      <c r="CK166" s="228">
        <v>138</v>
      </c>
      <c r="CL166" s="228">
        <v>129</v>
      </c>
      <c r="CM166" s="228">
        <v>9</v>
      </c>
      <c r="CN166" s="229">
        <v>6.7000000000000004E-2</v>
      </c>
      <c r="CO166" s="228">
        <v>993</v>
      </c>
      <c r="CP166" s="228">
        <v>990</v>
      </c>
      <c r="CQ166" s="228">
        <v>3</v>
      </c>
      <c r="CR166" s="229">
        <v>2.8E-3</v>
      </c>
      <c r="CS166" s="228">
        <v>877</v>
      </c>
      <c r="CT166" s="228">
        <v>901</v>
      </c>
      <c r="CU166" s="228">
        <v>-24</v>
      </c>
      <c r="CV166" s="229">
        <v>-2.6499999999999999E-2</v>
      </c>
      <c r="CW166" s="230">
        <v>4963</v>
      </c>
      <c r="CX166" s="230">
        <v>4912</v>
      </c>
      <c r="CY166" s="228">
        <v>51</v>
      </c>
      <c r="CZ166" s="229">
        <v>1.0500000000000001E-2</v>
      </c>
      <c r="DA166" s="228">
        <v>34.299999999999997</v>
      </c>
      <c r="DB166" s="228">
        <v>32.729999999999997</v>
      </c>
      <c r="DC166" s="228">
        <v>1.57</v>
      </c>
      <c r="DD166" s="228">
        <v>1.57</v>
      </c>
      <c r="DE166" s="228">
        <v>37.68</v>
      </c>
      <c r="DF166" s="228">
        <v>37.71</v>
      </c>
      <c r="DG166" s="228">
        <v>-3.38</v>
      </c>
      <c r="DH166" s="228">
        <v>-0.03</v>
      </c>
      <c r="DI166" s="228">
        <v>34.200000000000003</v>
      </c>
      <c r="DJ166" s="228">
        <v>31.2</v>
      </c>
      <c r="DK166" s="228">
        <v>3</v>
      </c>
      <c r="DL166" s="228">
        <v>3</v>
      </c>
      <c r="DM166" s="228">
        <v>34.450000000000003</v>
      </c>
      <c r="DN166" s="228">
        <v>35.33</v>
      </c>
      <c r="DO166" s="228">
        <v>-0.88</v>
      </c>
      <c r="DP166" s="228">
        <v>-0.88</v>
      </c>
      <c r="DQ166" s="228">
        <v>0.88</v>
      </c>
      <c r="DR166" s="228">
        <v>0.91</v>
      </c>
      <c r="DS166" s="228">
        <v>-0.03</v>
      </c>
      <c r="DT166" s="229">
        <v>-3.3000000000000002E-2</v>
      </c>
      <c r="DU166" s="228">
        <v>115</v>
      </c>
      <c r="DV166" s="228">
        <v>110</v>
      </c>
      <c r="DW166" s="228">
        <v>0.69</v>
      </c>
      <c r="DX166" s="228">
        <v>0.59</v>
      </c>
      <c r="DY166" s="228">
        <v>0.1</v>
      </c>
      <c r="DZ166" s="229">
        <v>0.16950000000000001</v>
      </c>
      <c r="EA166" s="229">
        <v>0.40970000000000001</v>
      </c>
      <c r="EB166" s="230">
        <v>64328000</v>
      </c>
      <c r="EC166" s="229">
        <v>5.1000000000000004E-3</v>
      </c>
      <c r="ED166" s="229">
        <v>0.40970000000000001</v>
      </c>
      <c r="EE166" s="228">
        <v>0.6</v>
      </c>
      <c r="EF166" s="229">
        <v>5.3E-3</v>
      </c>
      <c r="EG166" s="230">
        <v>7218854</v>
      </c>
      <c r="EH166" s="230">
        <v>10677944</v>
      </c>
      <c r="EI166" s="229">
        <v>-0.32390000000000002</v>
      </c>
      <c r="EJ166" s="229">
        <v>0.38890000000000002</v>
      </c>
      <c r="EK166" s="231">
        <v>1461.89</v>
      </c>
      <c r="EL166" s="228">
        <v>955.39</v>
      </c>
      <c r="EM166" s="231">
        <v>1539.78</v>
      </c>
      <c r="EN166" s="228">
        <v>59.9</v>
      </c>
      <c r="EO166" s="231">
        <v>3957.06</v>
      </c>
      <c r="EP166" s="231">
        <v>2578.2600000000002</v>
      </c>
      <c r="EQ166" s="231">
        <v>1378.8</v>
      </c>
      <c r="ER166" s="229">
        <v>0.53480000000000005</v>
      </c>
      <c r="ES166" s="231">
        <v>1025.43</v>
      </c>
      <c r="ET166" s="228">
        <v>850.5</v>
      </c>
      <c r="EU166" s="231">
        <v>3100.97</v>
      </c>
      <c r="EV166" s="231">
        <v>515822637</v>
      </c>
      <c r="EW166" s="231">
        <v>4976.8999999999996</v>
      </c>
      <c r="EX166" s="231">
        <v>4976.6899999999996</v>
      </c>
      <c r="EY166" s="228">
        <v>0.21</v>
      </c>
      <c r="EZ166" s="229">
        <v>0</v>
      </c>
      <c r="FA166" s="229">
        <v>0.85329999999999995</v>
      </c>
      <c r="FB166" s="227" t="s">
        <v>566</v>
      </c>
      <c r="FC166">
        <f t="shared" si="3"/>
        <v>0</v>
      </c>
    </row>
    <row r="167" spans="1:159" ht="17.25" thickBot="1" x14ac:dyDescent="0.3">
      <c r="A167" s="226">
        <v>46135</v>
      </c>
      <c r="B167" s="227" t="s">
        <v>175</v>
      </c>
      <c r="C167" s="227" t="s">
        <v>668</v>
      </c>
      <c r="D167" s="228">
        <v>650</v>
      </c>
      <c r="E167" s="228">
        <v>5</v>
      </c>
      <c r="F167" s="231">
        <v>1008.9</v>
      </c>
      <c r="G167" s="228">
        <v>992.45</v>
      </c>
      <c r="H167" s="228">
        <v>16.45</v>
      </c>
      <c r="I167" s="229">
        <v>1.66E-2</v>
      </c>
      <c r="J167" s="231">
        <v>1007.75</v>
      </c>
      <c r="K167" s="228">
        <v>990.25</v>
      </c>
      <c r="L167" s="228">
        <v>17.5</v>
      </c>
      <c r="M167" s="229">
        <v>1.77E-2</v>
      </c>
      <c r="N167" s="231">
        <v>1008.9</v>
      </c>
      <c r="O167" s="228">
        <v>992.45</v>
      </c>
      <c r="P167" s="228">
        <v>16.45</v>
      </c>
      <c r="Q167" s="229">
        <v>1.66E-2</v>
      </c>
      <c r="R167" s="231">
        <v>1014.2</v>
      </c>
      <c r="S167" s="228">
        <v>997.1</v>
      </c>
      <c r="T167" s="228">
        <v>17.100000000000001</v>
      </c>
      <c r="U167" s="229">
        <v>1.7100000000000001E-2</v>
      </c>
      <c r="V167" s="231">
        <v>1016.15</v>
      </c>
      <c r="W167" s="231">
        <v>1002.8</v>
      </c>
      <c r="X167" s="228">
        <v>13.35</v>
      </c>
      <c r="Y167" s="229">
        <v>1.3299999999999999E-2</v>
      </c>
      <c r="Z167" s="228">
        <v>1.1499999999999999</v>
      </c>
      <c r="AA167" s="228">
        <v>2.2000000000000002</v>
      </c>
      <c r="AB167" s="228">
        <v>-1.05</v>
      </c>
      <c r="AC167" s="229">
        <v>1.1000000000000001E-3</v>
      </c>
      <c r="AD167" s="228">
        <v>1.1499999999999999</v>
      </c>
      <c r="AE167" s="228">
        <v>2.2000000000000002</v>
      </c>
      <c r="AF167" s="228">
        <v>-1.05</v>
      </c>
      <c r="AG167" s="229">
        <v>1.1000000000000001E-3</v>
      </c>
      <c r="AH167" s="228">
        <v>6.45</v>
      </c>
      <c r="AI167" s="228">
        <v>6.85</v>
      </c>
      <c r="AJ167" s="228">
        <v>-0.4</v>
      </c>
      <c r="AK167" s="229">
        <v>6.4000000000000003E-3</v>
      </c>
      <c r="AL167" s="228">
        <v>8.4</v>
      </c>
      <c r="AM167" s="228">
        <v>12.55</v>
      </c>
      <c r="AN167" s="228">
        <v>-4.1500000000000004</v>
      </c>
      <c r="AO167" s="229">
        <v>8.3000000000000001E-3</v>
      </c>
      <c r="AP167" s="231">
        <v>1001.51</v>
      </c>
      <c r="AQ167" s="231">
        <v>1006.95</v>
      </c>
      <c r="AR167" s="228">
        <v>0</v>
      </c>
      <c r="AS167" s="230">
        <v>1023</v>
      </c>
      <c r="AT167" s="228">
        <v>512</v>
      </c>
      <c r="AU167" s="228">
        <v>511</v>
      </c>
      <c r="AV167" s="229">
        <v>0.99739999999999995</v>
      </c>
      <c r="AW167" s="228">
        <v>561</v>
      </c>
      <c r="AX167" s="228">
        <v>365</v>
      </c>
      <c r="AY167" s="228">
        <v>196</v>
      </c>
      <c r="AZ167" s="229">
        <v>0.53680000000000005</v>
      </c>
      <c r="BA167" s="228">
        <v>460</v>
      </c>
      <c r="BB167" s="228">
        <v>145</v>
      </c>
      <c r="BC167" s="228">
        <v>315</v>
      </c>
      <c r="BD167" s="229">
        <v>2.1640999999999999</v>
      </c>
      <c r="BE167" s="228">
        <v>2</v>
      </c>
      <c r="BF167" s="228">
        <v>2</v>
      </c>
      <c r="BG167" s="228">
        <v>0</v>
      </c>
      <c r="BH167" s="229">
        <v>8.3299999999999999E-2</v>
      </c>
      <c r="BI167" s="230">
        <v>1627</v>
      </c>
      <c r="BJ167" s="230">
        <v>1879</v>
      </c>
      <c r="BK167" s="228">
        <v>-251</v>
      </c>
      <c r="BL167" s="229">
        <v>-0.13370000000000001</v>
      </c>
      <c r="BM167" s="228">
        <v>896</v>
      </c>
      <c r="BN167" s="228">
        <v>945</v>
      </c>
      <c r="BO167" s="228">
        <v>-49</v>
      </c>
      <c r="BP167" s="229">
        <v>-5.1400000000000001E-2</v>
      </c>
      <c r="BQ167" s="230">
        <v>3547</v>
      </c>
      <c r="BR167" s="230">
        <v>3336</v>
      </c>
      <c r="BS167" s="228">
        <v>211</v>
      </c>
      <c r="BT167" s="229">
        <v>6.3299999999999995E-2</v>
      </c>
      <c r="BU167" s="230">
        <v>1773443</v>
      </c>
      <c r="BV167" s="230">
        <v>4095693</v>
      </c>
      <c r="BW167" s="230">
        <v>-2322250</v>
      </c>
      <c r="BX167" s="229">
        <v>-0.56699999999999995</v>
      </c>
      <c r="BY167" s="230">
        <v>1270</v>
      </c>
      <c r="BZ167" s="230">
        <v>1235</v>
      </c>
      <c r="CA167" s="228">
        <v>34</v>
      </c>
      <c r="CB167" s="229">
        <v>2.7799999999999998E-2</v>
      </c>
      <c r="CC167" s="228">
        <v>770</v>
      </c>
      <c r="CD167" s="230">
        <v>1075</v>
      </c>
      <c r="CE167" s="228">
        <v>-305</v>
      </c>
      <c r="CF167" s="229">
        <v>-0.28399999999999997</v>
      </c>
      <c r="CG167" s="228">
        <v>496</v>
      </c>
      <c r="CH167" s="228">
        <v>156</v>
      </c>
      <c r="CI167" s="228">
        <v>340</v>
      </c>
      <c r="CJ167" s="229">
        <v>2.1751</v>
      </c>
      <c r="CK167" s="228">
        <v>4</v>
      </c>
      <c r="CL167" s="228">
        <v>4</v>
      </c>
      <c r="CM167" s="228">
        <v>0</v>
      </c>
      <c r="CN167" s="229">
        <v>-3.39E-2</v>
      </c>
      <c r="CO167" s="228">
        <v>547</v>
      </c>
      <c r="CP167" s="228">
        <v>633</v>
      </c>
      <c r="CQ167" s="228">
        <v>-86</v>
      </c>
      <c r="CR167" s="229">
        <v>-0.13539999999999999</v>
      </c>
      <c r="CS167" s="228">
        <v>576</v>
      </c>
      <c r="CT167" s="228">
        <v>553</v>
      </c>
      <c r="CU167" s="228">
        <v>23</v>
      </c>
      <c r="CV167" s="229">
        <v>4.0800000000000003E-2</v>
      </c>
      <c r="CW167" s="230">
        <v>2393</v>
      </c>
      <c r="CX167" s="230">
        <v>2421</v>
      </c>
      <c r="CY167" s="228">
        <v>-29</v>
      </c>
      <c r="CZ167" s="229">
        <v>-1.1900000000000001E-2</v>
      </c>
      <c r="DA167" s="228">
        <v>34.159999999999997</v>
      </c>
      <c r="DB167" s="228">
        <v>37.86</v>
      </c>
      <c r="DC167" s="228">
        <v>-3.7</v>
      </c>
      <c r="DD167" s="228">
        <v>-3.7</v>
      </c>
      <c r="DE167" s="228">
        <v>48.06</v>
      </c>
      <c r="DF167" s="228">
        <v>48.13</v>
      </c>
      <c r="DG167" s="228">
        <v>-13.9</v>
      </c>
      <c r="DH167" s="228">
        <v>-7.0000000000000007E-2</v>
      </c>
      <c r="DI167" s="228">
        <v>33.64</v>
      </c>
      <c r="DJ167" s="228">
        <v>37.08</v>
      </c>
      <c r="DK167" s="228">
        <v>-3.44</v>
      </c>
      <c r="DL167" s="228">
        <v>-3.44</v>
      </c>
      <c r="DM167" s="228">
        <v>35.9</v>
      </c>
      <c r="DN167" s="228">
        <v>39.409999999999997</v>
      </c>
      <c r="DO167" s="228">
        <v>-3.51</v>
      </c>
      <c r="DP167" s="228">
        <v>-3.51</v>
      </c>
      <c r="DQ167" s="228">
        <v>1.05</v>
      </c>
      <c r="DR167" s="228">
        <v>0.87</v>
      </c>
      <c r="DS167" s="228">
        <v>0.18</v>
      </c>
      <c r="DT167" s="229">
        <v>0.2069</v>
      </c>
      <c r="DU167" s="231">
        <v>1000</v>
      </c>
      <c r="DV167" s="231">
        <v>1000</v>
      </c>
      <c r="DW167" s="228">
        <v>0.55000000000000004</v>
      </c>
      <c r="DX167" s="228">
        <v>0.5</v>
      </c>
      <c r="DY167" s="228">
        <v>0.05</v>
      </c>
      <c r="DZ167" s="229">
        <v>0.1</v>
      </c>
      <c r="EA167" s="229">
        <v>0.39360000000000001</v>
      </c>
      <c r="EB167" s="230">
        <v>1586650</v>
      </c>
      <c r="EC167" s="229">
        <v>5.3E-3</v>
      </c>
      <c r="ED167" s="229">
        <v>0.39360000000000001</v>
      </c>
      <c r="EE167" s="228">
        <v>5.44</v>
      </c>
      <c r="EF167" s="229">
        <v>5.4000000000000003E-3</v>
      </c>
      <c r="EG167" s="230">
        <v>541935</v>
      </c>
      <c r="EH167" s="230">
        <v>1692106</v>
      </c>
      <c r="EI167" s="229">
        <v>-0.67969999999999997</v>
      </c>
      <c r="EJ167" s="229">
        <v>0.30559999999999998</v>
      </c>
      <c r="EK167" s="231">
        <v>1665.43</v>
      </c>
      <c r="EL167" s="228">
        <v>856.22</v>
      </c>
      <c r="EM167" s="231">
        <v>1018.29</v>
      </c>
      <c r="EN167" s="228">
        <v>95.18</v>
      </c>
      <c r="EO167" s="231">
        <v>3539.94</v>
      </c>
      <c r="EP167" s="231">
        <v>3319.28</v>
      </c>
      <c r="EQ167" s="228">
        <v>220.66</v>
      </c>
      <c r="ER167" s="229">
        <v>6.6500000000000004E-2</v>
      </c>
      <c r="ES167" s="228">
        <v>533.15</v>
      </c>
      <c r="ET167" s="228">
        <v>518.70000000000005</v>
      </c>
      <c r="EU167" s="231">
        <v>1272.17</v>
      </c>
      <c r="EV167" s="231">
        <v>28118603</v>
      </c>
      <c r="EW167" s="231">
        <v>2324.0100000000002</v>
      </c>
      <c r="EX167" s="231">
        <v>2327.54</v>
      </c>
      <c r="EY167" s="228">
        <v>-3.53</v>
      </c>
      <c r="EZ167" s="229">
        <v>-1.5E-3</v>
      </c>
      <c r="FA167" s="229">
        <v>0.84340000000000004</v>
      </c>
      <c r="FB167" s="227" t="s">
        <v>555</v>
      </c>
      <c r="FC167">
        <f t="shared" si="3"/>
        <v>0</v>
      </c>
    </row>
    <row r="168" spans="1:159" ht="17.25" thickBot="1" x14ac:dyDescent="0.3">
      <c r="A168" s="226">
        <v>46135</v>
      </c>
      <c r="B168" s="227" t="s">
        <v>614</v>
      </c>
      <c r="C168" s="227" t="s">
        <v>572</v>
      </c>
      <c r="D168" s="228">
        <v>350</v>
      </c>
      <c r="E168" s="228">
        <v>5</v>
      </c>
      <c r="F168" s="231">
        <v>1671.9</v>
      </c>
      <c r="G168" s="231">
        <v>1623.9</v>
      </c>
      <c r="H168" s="228">
        <v>48</v>
      </c>
      <c r="I168" s="229">
        <v>2.9600000000000001E-2</v>
      </c>
      <c r="J168" s="231">
        <v>1670.8</v>
      </c>
      <c r="K168" s="231">
        <v>1625.8</v>
      </c>
      <c r="L168" s="228">
        <v>45</v>
      </c>
      <c r="M168" s="229">
        <v>2.7699999999999999E-2</v>
      </c>
      <c r="N168" s="231">
        <v>1671.9</v>
      </c>
      <c r="O168" s="231">
        <v>1623.9</v>
      </c>
      <c r="P168" s="228">
        <v>48</v>
      </c>
      <c r="Q168" s="229">
        <v>2.9600000000000001E-2</v>
      </c>
      <c r="R168" s="231">
        <v>1679.5</v>
      </c>
      <c r="S168" s="231">
        <v>1632.3</v>
      </c>
      <c r="T168" s="228">
        <v>47.2</v>
      </c>
      <c r="U168" s="229">
        <v>2.8899999999999999E-2</v>
      </c>
      <c r="V168" s="231">
        <v>1689.6</v>
      </c>
      <c r="W168" s="231">
        <v>1639.4</v>
      </c>
      <c r="X168" s="228">
        <v>50.2</v>
      </c>
      <c r="Y168" s="229">
        <v>3.0599999999999999E-2</v>
      </c>
      <c r="Z168" s="228">
        <v>1.1000000000000001</v>
      </c>
      <c r="AA168" s="228">
        <v>-1.9</v>
      </c>
      <c r="AB168" s="228">
        <v>3</v>
      </c>
      <c r="AC168" s="229">
        <v>6.9999999999999999E-4</v>
      </c>
      <c r="AD168" s="228">
        <v>1.1000000000000001</v>
      </c>
      <c r="AE168" s="228">
        <v>-1.9</v>
      </c>
      <c r="AF168" s="228">
        <v>3</v>
      </c>
      <c r="AG168" s="229">
        <v>6.9999999999999999E-4</v>
      </c>
      <c r="AH168" s="228">
        <v>8.6999999999999993</v>
      </c>
      <c r="AI168" s="228">
        <v>6.5</v>
      </c>
      <c r="AJ168" s="228">
        <v>2.2000000000000002</v>
      </c>
      <c r="AK168" s="229">
        <v>5.1999999999999998E-3</v>
      </c>
      <c r="AL168" s="228">
        <v>18.8</v>
      </c>
      <c r="AM168" s="228">
        <v>13.6</v>
      </c>
      <c r="AN168" s="228">
        <v>5.2</v>
      </c>
      <c r="AO168" s="229">
        <v>1.1299999999999999E-2</v>
      </c>
      <c r="AP168" s="231">
        <v>1663.73</v>
      </c>
      <c r="AQ168" s="231">
        <v>1674.65</v>
      </c>
      <c r="AR168" s="228">
        <v>0</v>
      </c>
      <c r="AS168" s="230">
        <v>1041</v>
      </c>
      <c r="AT168" s="228">
        <v>459</v>
      </c>
      <c r="AU168" s="228">
        <v>582</v>
      </c>
      <c r="AV168" s="229">
        <v>1.2668999999999999</v>
      </c>
      <c r="AW168" s="228">
        <v>490</v>
      </c>
      <c r="AX168" s="228">
        <v>313</v>
      </c>
      <c r="AY168" s="228">
        <v>177</v>
      </c>
      <c r="AZ168" s="229">
        <v>0.56640000000000001</v>
      </c>
      <c r="BA168" s="228">
        <v>527</v>
      </c>
      <c r="BB168" s="228">
        <v>145</v>
      </c>
      <c r="BC168" s="228">
        <v>382</v>
      </c>
      <c r="BD168" s="229">
        <v>2.6255999999999999</v>
      </c>
      <c r="BE168" s="228">
        <v>24</v>
      </c>
      <c r="BF168" s="228">
        <v>1</v>
      </c>
      <c r="BG168" s="228">
        <v>23</v>
      </c>
      <c r="BH168" s="229">
        <v>24.375</v>
      </c>
      <c r="BI168" s="230">
        <v>1276</v>
      </c>
      <c r="BJ168" s="228">
        <v>582</v>
      </c>
      <c r="BK168" s="228">
        <v>694</v>
      </c>
      <c r="BL168" s="229">
        <v>1.1931</v>
      </c>
      <c r="BM168" s="228">
        <v>604</v>
      </c>
      <c r="BN168" s="228">
        <v>312</v>
      </c>
      <c r="BO168" s="228">
        <v>292</v>
      </c>
      <c r="BP168" s="229">
        <v>0.93400000000000005</v>
      </c>
      <c r="BQ168" s="230">
        <v>2920</v>
      </c>
      <c r="BR168" s="230">
        <v>1353</v>
      </c>
      <c r="BS168" s="230">
        <v>1567</v>
      </c>
      <c r="BT168" s="229">
        <v>1.1584000000000001</v>
      </c>
      <c r="BU168" s="230">
        <v>2396300</v>
      </c>
      <c r="BV168" s="230">
        <v>1901042</v>
      </c>
      <c r="BW168" s="230">
        <v>495258</v>
      </c>
      <c r="BX168" s="229">
        <v>0.26050000000000001</v>
      </c>
      <c r="BY168" s="230">
        <v>1404</v>
      </c>
      <c r="BZ168" s="230">
        <v>1298</v>
      </c>
      <c r="CA168" s="228">
        <v>106</v>
      </c>
      <c r="CB168" s="229">
        <v>8.1600000000000006E-2</v>
      </c>
      <c r="CC168" s="228">
        <v>708</v>
      </c>
      <c r="CD168" s="230">
        <v>1028</v>
      </c>
      <c r="CE168" s="228">
        <v>-320</v>
      </c>
      <c r="CF168" s="229">
        <v>-0.31130000000000002</v>
      </c>
      <c r="CG168" s="228">
        <v>672</v>
      </c>
      <c r="CH168" s="228">
        <v>268</v>
      </c>
      <c r="CI168" s="228">
        <v>405</v>
      </c>
      <c r="CJ168" s="229">
        <v>1.5114000000000001</v>
      </c>
      <c r="CK168" s="228">
        <v>24</v>
      </c>
      <c r="CL168" s="228">
        <v>3</v>
      </c>
      <c r="CM168" s="228">
        <v>21</v>
      </c>
      <c r="CN168" s="229">
        <v>8.2727000000000004</v>
      </c>
      <c r="CO168" s="228">
        <v>359</v>
      </c>
      <c r="CP168" s="228">
        <v>380</v>
      </c>
      <c r="CQ168" s="228">
        <v>-22</v>
      </c>
      <c r="CR168" s="229">
        <v>-5.67E-2</v>
      </c>
      <c r="CS168" s="228">
        <v>324</v>
      </c>
      <c r="CT168" s="228">
        <v>271</v>
      </c>
      <c r="CU168" s="228">
        <v>53</v>
      </c>
      <c r="CV168" s="229">
        <v>0.19639999999999999</v>
      </c>
      <c r="CW168" s="230">
        <v>2087</v>
      </c>
      <c r="CX168" s="230">
        <v>1949</v>
      </c>
      <c r="CY168" s="228">
        <v>138</v>
      </c>
      <c r="CZ168" s="229">
        <v>7.0599999999999996E-2</v>
      </c>
      <c r="DA168" s="228">
        <v>40.090000000000003</v>
      </c>
      <c r="DB168" s="228">
        <v>34.08</v>
      </c>
      <c r="DC168" s="228">
        <v>6.01</v>
      </c>
      <c r="DD168" s="228">
        <v>6.01</v>
      </c>
      <c r="DE168" s="228">
        <v>45.61</v>
      </c>
      <c r="DF168" s="228">
        <v>45.57</v>
      </c>
      <c r="DG168" s="228">
        <v>-5.52</v>
      </c>
      <c r="DH168" s="228">
        <v>0.04</v>
      </c>
      <c r="DI168" s="228">
        <v>39.840000000000003</v>
      </c>
      <c r="DJ168" s="228">
        <v>32.81</v>
      </c>
      <c r="DK168" s="228">
        <v>7.03</v>
      </c>
      <c r="DL168" s="228">
        <v>7.03</v>
      </c>
      <c r="DM168" s="228">
        <v>40.56</v>
      </c>
      <c r="DN168" s="228">
        <v>36.42</v>
      </c>
      <c r="DO168" s="228">
        <v>4.1399999999999997</v>
      </c>
      <c r="DP168" s="228">
        <v>4.1399999999999997</v>
      </c>
      <c r="DQ168" s="228">
        <v>0.9</v>
      </c>
      <c r="DR168" s="228">
        <v>0.71</v>
      </c>
      <c r="DS168" s="228">
        <v>0.19</v>
      </c>
      <c r="DT168" s="229">
        <v>0.2676</v>
      </c>
      <c r="DU168" s="231">
        <v>1720</v>
      </c>
      <c r="DV168" s="231">
        <v>1500</v>
      </c>
      <c r="DW168" s="228">
        <v>0.47</v>
      </c>
      <c r="DX168" s="228">
        <v>0.54</v>
      </c>
      <c r="DY168" s="228">
        <v>-7.0000000000000007E-2</v>
      </c>
      <c r="DZ168" s="229">
        <v>-0.12959999999999999</v>
      </c>
      <c r="EA168" s="229">
        <v>0.49590000000000001</v>
      </c>
      <c r="EB168" s="230">
        <v>1616300</v>
      </c>
      <c r="EC168" s="229">
        <v>4.4999999999999997E-3</v>
      </c>
      <c r="ED168" s="229">
        <v>0.49590000000000001</v>
      </c>
      <c r="EE168" s="228">
        <v>10.92</v>
      </c>
      <c r="EF168" s="229">
        <v>6.6E-3</v>
      </c>
      <c r="EG168" s="230">
        <v>1347815</v>
      </c>
      <c r="EH168" s="230">
        <v>1214036</v>
      </c>
      <c r="EI168" s="229">
        <v>0.11020000000000001</v>
      </c>
      <c r="EJ168" s="229">
        <v>0.5625</v>
      </c>
      <c r="EK168" s="231">
        <v>1305.6099999999999</v>
      </c>
      <c r="EL168" s="228">
        <v>578.66</v>
      </c>
      <c r="EM168" s="231">
        <v>1039.54</v>
      </c>
      <c r="EN168" s="228">
        <v>76.400000000000006</v>
      </c>
      <c r="EO168" s="231">
        <v>2923.81</v>
      </c>
      <c r="EP168" s="231">
        <v>1325.23</v>
      </c>
      <c r="EQ168" s="231">
        <v>1598.58</v>
      </c>
      <c r="ER168" s="229">
        <v>1.2062999999999999</v>
      </c>
      <c r="ES168" s="228">
        <v>345.92</v>
      </c>
      <c r="ET168" s="228">
        <v>298.74</v>
      </c>
      <c r="EU168" s="231">
        <v>1407.06</v>
      </c>
      <c r="EV168" s="231">
        <v>69300607</v>
      </c>
      <c r="EW168" s="231">
        <v>2051.7199999999998</v>
      </c>
      <c r="EX168" s="231">
        <v>1870.9</v>
      </c>
      <c r="EY168" s="228">
        <v>180.82</v>
      </c>
      <c r="EZ168" s="229">
        <v>9.6600000000000005E-2</v>
      </c>
      <c r="FA168" s="229">
        <v>0.18010000000000001</v>
      </c>
      <c r="FB168" s="227" t="s">
        <v>555</v>
      </c>
      <c r="FC168">
        <f t="shared" si="3"/>
        <v>0</v>
      </c>
    </row>
    <row r="169" spans="1:159" ht="17.25" thickBot="1" x14ac:dyDescent="0.3">
      <c r="A169" s="226">
        <v>46135</v>
      </c>
      <c r="B169" s="227" t="s">
        <v>184</v>
      </c>
      <c r="C169" s="227" t="s">
        <v>519</v>
      </c>
      <c r="D169" s="228">
        <v>125</v>
      </c>
      <c r="E169" s="228">
        <v>5</v>
      </c>
      <c r="F169" s="231">
        <v>7995.5</v>
      </c>
      <c r="G169" s="231">
        <v>8060</v>
      </c>
      <c r="H169" s="228">
        <v>-64.5</v>
      </c>
      <c r="I169" s="229">
        <v>-8.0000000000000002E-3</v>
      </c>
      <c r="J169" s="231">
        <v>7963.5</v>
      </c>
      <c r="K169" s="231">
        <v>8038</v>
      </c>
      <c r="L169" s="228">
        <v>-74.5</v>
      </c>
      <c r="M169" s="229">
        <v>-9.2999999999999992E-3</v>
      </c>
      <c r="N169" s="231">
        <v>7995.5</v>
      </c>
      <c r="O169" s="231">
        <v>8060</v>
      </c>
      <c r="P169" s="228">
        <v>-64.5</v>
      </c>
      <c r="Q169" s="229">
        <v>-8.0000000000000002E-3</v>
      </c>
      <c r="R169" s="231">
        <v>8010.5</v>
      </c>
      <c r="S169" s="231">
        <v>8065</v>
      </c>
      <c r="T169" s="228">
        <v>-54.5</v>
      </c>
      <c r="U169" s="229">
        <v>-6.7999999999999996E-3</v>
      </c>
      <c r="V169" s="231">
        <v>8019</v>
      </c>
      <c r="W169" s="231">
        <v>8044.5</v>
      </c>
      <c r="X169" s="228">
        <v>-25.5</v>
      </c>
      <c r="Y169" s="229">
        <v>-3.2000000000000002E-3</v>
      </c>
      <c r="Z169" s="228">
        <v>32</v>
      </c>
      <c r="AA169" s="228">
        <v>22</v>
      </c>
      <c r="AB169" s="228">
        <v>10</v>
      </c>
      <c r="AC169" s="229">
        <v>4.0000000000000001E-3</v>
      </c>
      <c r="AD169" s="228">
        <v>32</v>
      </c>
      <c r="AE169" s="228">
        <v>22</v>
      </c>
      <c r="AF169" s="228">
        <v>10</v>
      </c>
      <c r="AG169" s="229">
        <v>4.0000000000000001E-3</v>
      </c>
      <c r="AH169" s="228">
        <v>47</v>
      </c>
      <c r="AI169" s="228">
        <v>27</v>
      </c>
      <c r="AJ169" s="228">
        <v>20</v>
      </c>
      <c r="AK169" s="229">
        <v>5.8999999999999999E-3</v>
      </c>
      <c r="AL169" s="228">
        <v>55.5</v>
      </c>
      <c r="AM169" s="228">
        <v>6.5</v>
      </c>
      <c r="AN169" s="228">
        <v>49</v>
      </c>
      <c r="AO169" s="229">
        <v>7.0000000000000001E-3</v>
      </c>
      <c r="AP169" s="231">
        <v>8075.63</v>
      </c>
      <c r="AQ169" s="231">
        <v>8080.27</v>
      </c>
      <c r="AR169" s="228">
        <v>0</v>
      </c>
      <c r="AS169" s="230">
        <v>1102</v>
      </c>
      <c r="AT169" s="228">
        <v>699</v>
      </c>
      <c r="AU169" s="228">
        <v>403</v>
      </c>
      <c r="AV169" s="229">
        <v>0.57630000000000003</v>
      </c>
      <c r="AW169" s="228">
        <v>608</v>
      </c>
      <c r="AX169" s="228">
        <v>518</v>
      </c>
      <c r="AY169" s="228">
        <v>90</v>
      </c>
      <c r="AZ169" s="229">
        <v>0.1731</v>
      </c>
      <c r="BA169" s="228">
        <v>487</v>
      </c>
      <c r="BB169" s="228">
        <v>173</v>
      </c>
      <c r="BC169" s="228">
        <v>315</v>
      </c>
      <c r="BD169" s="229">
        <v>1.8233999999999999</v>
      </c>
      <c r="BE169" s="228">
        <v>7</v>
      </c>
      <c r="BF169" s="228">
        <v>8</v>
      </c>
      <c r="BG169" s="228">
        <v>-1</v>
      </c>
      <c r="BH169" s="229">
        <v>-0.17649999999999999</v>
      </c>
      <c r="BI169" s="230">
        <v>2058</v>
      </c>
      <c r="BJ169" s="230">
        <v>3162</v>
      </c>
      <c r="BK169" s="230">
        <v>-1104</v>
      </c>
      <c r="BL169" s="229">
        <v>-0.3493</v>
      </c>
      <c r="BM169" s="230">
        <v>1752</v>
      </c>
      <c r="BN169" s="230">
        <v>1768</v>
      </c>
      <c r="BO169" s="228">
        <v>-16</v>
      </c>
      <c r="BP169" s="229">
        <v>-8.9999999999999993E-3</v>
      </c>
      <c r="BQ169" s="230">
        <v>4912</v>
      </c>
      <c r="BR169" s="230">
        <v>5629</v>
      </c>
      <c r="BS169" s="228">
        <v>-717</v>
      </c>
      <c r="BT169" s="229">
        <v>-0.1275</v>
      </c>
      <c r="BU169" s="230">
        <v>493758</v>
      </c>
      <c r="BV169" s="230">
        <v>490405</v>
      </c>
      <c r="BW169" s="230">
        <v>3353</v>
      </c>
      <c r="BX169" s="229">
        <v>6.7999999999999996E-3</v>
      </c>
      <c r="BY169" s="230">
        <v>1531</v>
      </c>
      <c r="BZ169" s="230">
        <v>1546</v>
      </c>
      <c r="CA169" s="228">
        <v>-15</v>
      </c>
      <c r="CB169" s="229">
        <v>-0.01</v>
      </c>
      <c r="CC169" s="230">
        <v>1092</v>
      </c>
      <c r="CD169" s="230">
        <v>1365</v>
      </c>
      <c r="CE169" s="228">
        <v>-273</v>
      </c>
      <c r="CF169" s="229">
        <v>-0.19980000000000001</v>
      </c>
      <c r="CG169" s="228">
        <v>424</v>
      </c>
      <c r="CH169" s="228">
        <v>171</v>
      </c>
      <c r="CI169" s="228">
        <v>253</v>
      </c>
      <c r="CJ169" s="229">
        <v>1.4816</v>
      </c>
      <c r="CK169" s="228">
        <v>15</v>
      </c>
      <c r="CL169" s="228">
        <v>11</v>
      </c>
      <c r="CM169" s="228">
        <v>4</v>
      </c>
      <c r="CN169" s="229">
        <v>0.3962</v>
      </c>
      <c r="CO169" s="230">
        <v>1166</v>
      </c>
      <c r="CP169" s="230">
        <v>1128</v>
      </c>
      <c r="CQ169" s="228">
        <v>39</v>
      </c>
      <c r="CR169" s="229">
        <v>3.4200000000000001E-2</v>
      </c>
      <c r="CS169" s="228">
        <v>876</v>
      </c>
      <c r="CT169" s="228">
        <v>945</v>
      </c>
      <c r="CU169" s="228">
        <v>-69</v>
      </c>
      <c r="CV169" s="229">
        <v>-7.3300000000000004E-2</v>
      </c>
      <c r="CW169" s="230">
        <v>3573</v>
      </c>
      <c r="CX169" s="230">
        <v>3619</v>
      </c>
      <c r="CY169" s="228">
        <v>-46</v>
      </c>
      <c r="CZ169" s="229">
        <v>-1.2800000000000001E-2</v>
      </c>
      <c r="DA169" s="228">
        <v>39.36</v>
      </c>
      <c r="DB169" s="228">
        <v>37.979999999999997</v>
      </c>
      <c r="DC169" s="228">
        <v>1.38</v>
      </c>
      <c r="DD169" s="228">
        <v>1.38</v>
      </c>
      <c r="DE169" s="228">
        <v>41.54</v>
      </c>
      <c r="DF169" s="228">
        <v>41.63</v>
      </c>
      <c r="DG169" s="228">
        <v>-2.1800000000000002</v>
      </c>
      <c r="DH169" s="228">
        <v>-0.09</v>
      </c>
      <c r="DI169" s="228">
        <v>36.57</v>
      </c>
      <c r="DJ169" s="228">
        <v>35.44</v>
      </c>
      <c r="DK169" s="228">
        <v>1.1299999999999999</v>
      </c>
      <c r="DL169" s="228">
        <v>1.1299999999999999</v>
      </c>
      <c r="DM169" s="228">
        <v>41.32</v>
      </c>
      <c r="DN169" s="228">
        <v>42.53</v>
      </c>
      <c r="DO169" s="228">
        <v>-1.21</v>
      </c>
      <c r="DP169" s="228">
        <v>-1.21</v>
      </c>
      <c r="DQ169" s="228">
        <v>0.75</v>
      </c>
      <c r="DR169" s="228">
        <v>0.84</v>
      </c>
      <c r="DS169" s="228">
        <v>-0.09</v>
      </c>
      <c r="DT169" s="229">
        <v>-0.1071</v>
      </c>
      <c r="DU169" s="231">
        <v>8300</v>
      </c>
      <c r="DV169" s="231">
        <v>8000</v>
      </c>
      <c r="DW169" s="228">
        <v>0.85</v>
      </c>
      <c r="DX169" s="228">
        <v>0.56000000000000005</v>
      </c>
      <c r="DY169" s="228">
        <v>0.28999999999999998</v>
      </c>
      <c r="DZ169" s="229">
        <v>0.51790000000000003</v>
      </c>
      <c r="EA169" s="229">
        <v>0.28649999999999998</v>
      </c>
      <c r="EB169" s="230">
        <v>226875</v>
      </c>
      <c r="EC169" s="229">
        <v>1.9E-3</v>
      </c>
      <c r="ED169" s="229">
        <v>0.28649999999999998</v>
      </c>
      <c r="EE169" s="228">
        <v>4.6399999999999997</v>
      </c>
      <c r="EF169" s="229">
        <v>5.9999999999999995E-4</v>
      </c>
      <c r="EG169" s="230">
        <v>278696</v>
      </c>
      <c r="EH169" s="230">
        <v>214489</v>
      </c>
      <c r="EI169" s="229">
        <v>0.29930000000000001</v>
      </c>
      <c r="EJ169" s="229">
        <v>0.56440000000000001</v>
      </c>
      <c r="EK169" s="231">
        <v>2153.4899999999998</v>
      </c>
      <c r="EL169" s="231">
        <v>1715.75</v>
      </c>
      <c r="EM169" s="231">
        <v>1113.32</v>
      </c>
      <c r="EN169" s="228">
        <v>53.28</v>
      </c>
      <c r="EO169" s="231">
        <v>4982.57</v>
      </c>
      <c r="EP169" s="231">
        <v>5691.52</v>
      </c>
      <c r="EQ169" s="228">
        <v>-708.95</v>
      </c>
      <c r="ER169" s="229">
        <v>-0.1246</v>
      </c>
      <c r="ES169" s="231">
        <v>1183.73</v>
      </c>
      <c r="ET169" s="228">
        <v>815</v>
      </c>
      <c r="EU169" s="231">
        <v>1531.68</v>
      </c>
      <c r="EV169" s="231">
        <v>8693344</v>
      </c>
      <c r="EW169" s="231">
        <v>3530.41</v>
      </c>
      <c r="EX169" s="231">
        <v>3587.74</v>
      </c>
      <c r="EY169" s="228">
        <v>-57.33</v>
      </c>
      <c r="EZ169" s="229">
        <v>-1.6E-2</v>
      </c>
      <c r="FA169" s="229">
        <v>0.51400000000000001</v>
      </c>
      <c r="FB169" s="227" t="s">
        <v>567</v>
      </c>
      <c r="FC169">
        <f t="shared" si="3"/>
        <v>0</v>
      </c>
    </row>
    <row r="170" spans="1:159" ht="17.25" thickBot="1" x14ac:dyDescent="0.3">
      <c r="A170" s="226">
        <v>46135</v>
      </c>
      <c r="B170" s="227" t="s">
        <v>161</v>
      </c>
      <c r="C170" s="227" t="s">
        <v>276</v>
      </c>
      <c r="D170" s="228">
        <v>1900</v>
      </c>
      <c r="E170" s="228">
        <v>5</v>
      </c>
      <c r="F170" s="228">
        <v>318.25</v>
      </c>
      <c r="G170" s="228">
        <v>319.8</v>
      </c>
      <c r="H170" s="228">
        <v>-1.55</v>
      </c>
      <c r="I170" s="229">
        <v>-4.7999999999999996E-3</v>
      </c>
      <c r="J170" s="228">
        <v>319.14999999999998</v>
      </c>
      <c r="K170" s="228">
        <v>319.75</v>
      </c>
      <c r="L170" s="228">
        <v>-0.6</v>
      </c>
      <c r="M170" s="229">
        <v>-1.9E-3</v>
      </c>
      <c r="N170" s="228">
        <v>318.25</v>
      </c>
      <c r="O170" s="228">
        <v>319.8</v>
      </c>
      <c r="P170" s="228">
        <v>-1.55</v>
      </c>
      <c r="Q170" s="229">
        <v>-4.7999999999999996E-3</v>
      </c>
      <c r="R170" s="228">
        <v>319.85000000000002</v>
      </c>
      <c r="S170" s="228">
        <v>321.7</v>
      </c>
      <c r="T170" s="228">
        <v>-1.85</v>
      </c>
      <c r="U170" s="229">
        <v>-5.7999999999999996E-3</v>
      </c>
      <c r="V170" s="228">
        <v>322.10000000000002</v>
      </c>
      <c r="W170" s="228">
        <v>323.85000000000002</v>
      </c>
      <c r="X170" s="228">
        <v>-1.75</v>
      </c>
      <c r="Y170" s="229">
        <v>-5.4000000000000003E-3</v>
      </c>
      <c r="Z170" s="228">
        <v>-0.9</v>
      </c>
      <c r="AA170" s="228">
        <v>0.05</v>
      </c>
      <c r="AB170" s="228">
        <v>-0.95</v>
      </c>
      <c r="AC170" s="229">
        <v>-2.8E-3</v>
      </c>
      <c r="AD170" s="228">
        <v>-0.9</v>
      </c>
      <c r="AE170" s="228">
        <v>0.05</v>
      </c>
      <c r="AF170" s="228">
        <v>-0.95</v>
      </c>
      <c r="AG170" s="229">
        <v>-2.8E-3</v>
      </c>
      <c r="AH170" s="228">
        <v>0.7</v>
      </c>
      <c r="AI170" s="228">
        <v>1.95</v>
      </c>
      <c r="AJ170" s="228">
        <v>-1.25</v>
      </c>
      <c r="AK170" s="229">
        <v>2.2000000000000001E-3</v>
      </c>
      <c r="AL170" s="228">
        <v>2.95</v>
      </c>
      <c r="AM170" s="228">
        <v>4.0999999999999996</v>
      </c>
      <c r="AN170" s="228">
        <v>-1.1499999999999999</v>
      </c>
      <c r="AO170" s="229">
        <v>9.1999999999999998E-3</v>
      </c>
      <c r="AP170" s="228">
        <v>319.33999999999997</v>
      </c>
      <c r="AQ170" s="228">
        <v>321.01</v>
      </c>
      <c r="AR170" s="228">
        <v>0</v>
      </c>
      <c r="AS170" s="230">
        <v>1507</v>
      </c>
      <c r="AT170" s="228">
        <v>358</v>
      </c>
      <c r="AU170" s="230">
        <v>1149</v>
      </c>
      <c r="AV170" s="229">
        <v>3.2088999999999999</v>
      </c>
      <c r="AW170" s="228">
        <v>772</v>
      </c>
      <c r="AX170" s="228">
        <v>227</v>
      </c>
      <c r="AY170" s="228">
        <v>545</v>
      </c>
      <c r="AZ170" s="229">
        <v>2.4001000000000001</v>
      </c>
      <c r="BA170" s="228">
        <v>723</v>
      </c>
      <c r="BB170" s="228">
        <v>119</v>
      </c>
      <c r="BC170" s="228">
        <v>604</v>
      </c>
      <c r="BD170" s="229">
        <v>5.0788000000000002</v>
      </c>
      <c r="BE170" s="228">
        <v>11</v>
      </c>
      <c r="BF170" s="228">
        <v>12</v>
      </c>
      <c r="BG170" s="228">
        <v>0</v>
      </c>
      <c r="BH170" s="229">
        <v>-3.5499999999999997E-2</v>
      </c>
      <c r="BI170" s="230">
        <v>1527</v>
      </c>
      <c r="BJ170" s="230">
        <v>1627</v>
      </c>
      <c r="BK170" s="228">
        <v>-101</v>
      </c>
      <c r="BL170" s="229">
        <v>-6.1800000000000001E-2</v>
      </c>
      <c r="BM170" s="228">
        <v>633</v>
      </c>
      <c r="BN170" s="228">
        <v>656</v>
      </c>
      <c r="BO170" s="228">
        <v>-22</v>
      </c>
      <c r="BP170" s="229">
        <v>-3.3799999999999997E-2</v>
      </c>
      <c r="BQ170" s="230">
        <v>3667</v>
      </c>
      <c r="BR170" s="230">
        <v>2641</v>
      </c>
      <c r="BS170" s="230">
        <v>1026</v>
      </c>
      <c r="BT170" s="229">
        <v>0.3886</v>
      </c>
      <c r="BU170" s="230">
        <v>7544903</v>
      </c>
      <c r="BV170" s="230">
        <v>7264687</v>
      </c>
      <c r="BW170" s="230">
        <v>280216</v>
      </c>
      <c r="BX170" s="229">
        <v>3.8600000000000002E-2</v>
      </c>
      <c r="BY170" s="230">
        <v>2537</v>
      </c>
      <c r="BZ170" s="230">
        <v>2597</v>
      </c>
      <c r="CA170" s="228">
        <v>-60</v>
      </c>
      <c r="CB170" s="229">
        <v>-2.3E-2</v>
      </c>
      <c r="CC170" s="230">
        <v>1394</v>
      </c>
      <c r="CD170" s="230">
        <v>2032</v>
      </c>
      <c r="CE170" s="228">
        <v>-638</v>
      </c>
      <c r="CF170" s="229">
        <v>-0.31419999999999998</v>
      </c>
      <c r="CG170" s="228">
        <v>919</v>
      </c>
      <c r="CH170" s="228">
        <v>349</v>
      </c>
      <c r="CI170" s="228">
        <v>570</v>
      </c>
      <c r="CJ170" s="229">
        <v>1.6335</v>
      </c>
      <c r="CK170" s="228">
        <v>224</v>
      </c>
      <c r="CL170" s="228">
        <v>215</v>
      </c>
      <c r="CM170" s="228">
        <v>9</v>
      </c>
      <c r="CN170" s="229">
        <v>3.9899999999999998E-2</v>
      </c>
      <c r="CO170" s="230">
        <v>1317</v>
      </c>
      <c r="CP170" s="230">
        <v>1318</v>
      </c>
      <c r="CQ170" s="228">
        <v>-1</v>
      </c>
      <c r="CR170" s="229">
        <v>-6.9999999999999999E-4</v>
      </c>
      <c r="CS170" s="228">
        <v>824</v>
      </c>
      <c r="CT170" s="228">
        <v>837</v>
      </c>
      <c r="CU170" s="228">
        <v>-12</v>
      </c>
      <c r="CV170" s="229">
        <v>-1.4800000000000001E-2</v>
      </c>
      <c r="CW170" s="230">
        <v>4678</v>
      </c>
      <c r="CX170" s="230">
        <v>4751</v>
      </c>
      <c r="CY170" s="228">
        <v>-73</v>
      </c>
      <c r="CZ170" s="229">
        <v>-1.5299999999999999E-2</v>
      </c>
      <c r="DA170" s="228">
        <v>28.65</v>
      </c>
      <c r="DB170" s="228">
        <v>21.5</v>
      </c>
      <c r="DC170" s="228">
        <v>7.15</v>
      </c>
      <c r="DD170" s="228">
        <v>7.15</v>
      </c>
      <c r="DE170" s="228">
        <v>28.75</v>
      </c>
      <c r="DF170" s="228">
        <v>28.82</v>
      </c>
      <c r="DG170" s="228">
        <v>-0.1</v>
      </c>
      <c r="DH170" s="228">
        <v>-7.0000000000000007E-2</v>
      </c>
      <c r="DI170" s="228">
        <v>28.77</v>
      </c>
      <c r="DJ170" s="228">
        <v>20.74</v>
      </c>
      <c r="DK170" s="228">
        <v>8.0299999999999994</v>
      </c>
      <c r="DL170" s="228">
        <v>8.0299999999999994</v>
      </c>
      <c r="DM170" s="228">
        <v>28.37</v>
      </c>
      <c r="DN170" s="228">
        <v>23.4</v>
      </c>
      <c r="DO170" s="228">
        <v>4.97</v>
      </c>
      <c r="DP170" s="228">
        <v>4.97</v>
      </c>
      <c r="DQ170" s="228">
        <v>0.63</v>
      </c>
      <c r="DR170" s="228">
        <v>0.63</v>
      </c>
      <c r="DS170" s="228">
        <v>0</v>
      </c>
      <c r="DT170" s="229">
        <v>0</v>
      </c>
      <c r="DU170" s="228">
        <v>315</v>
      </c>
      <c r="DV170" s="228">
        <v>300</v>
      </c>
      <c r="DW170" s="228">
        <v>0.41</v>
      </c>
      <c r="DX170" s="228">
        <v>0.4</v>
      </c>
      <c r="DY170" s="228">
        <v>0.01</v>
      </c>
      <c r="DZ170" s="229">
        <v>2.5000000000000001E-2</v>
      </c>
      <c r="EA170" s="229">
        <v>0.4506</v>
      </c>
      <c r="EB170" s="230">
        <v>17732700</v>
      </c>
      <c r="EC170" s="229">
        <v>5.0000000000000001E-3</v>
      </c>
      <c r="ED170" s="229">
        <v>0.4506</v>
      </c>
      <c r="EE170" s="228">
        <v>1.67</v>
      </c>
      <c r="EF170" s="229">
        <v>5.1999999999999998E-3</v>
      </c>
      <c r="EG170" s="230">
        <v>4782414</v>
      </c>
      <c r="EH170" s="230">
        <v>4087341</v>
      </c>
      <c r="EI170" s="229">
        <v>0.1701</v>
      </c>
      <c r="EJ170" s="229">
        <v>0.63390000000000002</v>
      </c>
      <c r="EK170" s="231">
        <v>1562.08</v>
      </c>
      <c r="EL170" s="228">
        <v>625.77</v>
      </c>
      <c r="EM170" s="231">
        <v>1516</v>
      </c>
      <c r="EN170" s="228">
        <v>85.42</v>
      </c>
      <c r="EO170" s="231">
        <v>3703.85</v>
      </c>
      <c r="EP170" s="231">
        <v>2679.24</v>
      </c>
      <c r="EQ170" s="231">
        <v>1024.6099999999999</v>
      </c>
      <c r="ER170" s="229">
        <v>0.38240000000000002</v>
      </c>
      <c r="ES170" s="231">
        <v>1322.08</v>
      </c>
      <c r="ET170" s="228">
        <v>774.94</v>
      </c>
      <c r="EU170" s="231">
        <v>2544.2399999999998</v>
      </c>
      <c r="EV170" s="231">
        <v>660840864</v>
      </c>
      <c r="EW170" s="231">
        <v>4641.2700000000004</v>
      </c>
      <c r="EX170" s="231">
        <v>4720.57</v>
      </c>
      <c r="EY170" s="228">
        <v>-79.3</v>
      </c>
      <c r="EZ170" s="229">
        <v>-1.6799999999999999E-2</v>
      </c>
      <c r="FA170" s="229">
        <v>0.22239999999999999</v>
      </c>
      <c r="FB170" s="227" t="s">
        <v>567</v>
      </c>
      <c r="FC170">
        <f t="shared" si="3"/>
        <v>0</v>
      </c>
    </row>
    <row r="171" spans="1:159" ht="17.25" thickBot="1" x14ac:dyDescent="0.3">
      <c r="A171" s="226">
        <v>46135</v>
      </c>
      <c r="B171" s="227" t="s">
        <v>184</v>
      </c>
      <c r="C171" s="227" t="s">
        <v>685</v>
      </c>
      <c r="D171" s="228">
        <v>50</v>
      </c>
      <c r="E171" s="228">
        <v>5</v>
      </c>
      <c r="F171" s="231">
        <v>31715</v>
      </c>
      <c r="G171" s="231">
        <v>30415</v>
      </c>
      <c r="H171" s="231">
        <v>1300</v>
      </c>
      <c r="I171" s="229">
        <v>4.2700000000000002E-2</v>
      </c>
      <c r="J171" s="231">
        <v>31720</v>
      </c>
      <c r="K171" s="231">
        <v>30335</v>
      </c>
      <c r="L171" s="231">
        <v>1385</v>
      </c>
      <c r="M171" s="229">
        <v>4.5699999999999998E-2</v>
      </c>
      <c r="N171" s="231">
        <v>31715</v>
      </c>
      <c r="O171" s="231">
        <v>30415</v>
      </c>
      <c r="P171" s="231">
        <v>1300</v>
      </c>
      <c r="Q171" s="229">
        <v>4.2700000000000002E-2</v>
      </c>
      <c r="R171" s="231">
        <v>31810</v>
      </c>
      <c r="S171" s="231">
        <v>30485</v>
      </c>
      <c r="T171" s="231">
        <v>1325</v>
      </c>
      <c r="U171" s="229">
        <v>4.3499999999999997E-2</v>
      </c>
      <c r="V171" s="231">
        <v>31875</v>
      </c>
      <c r="W171" s="231">
        <v>30510</v>
      </c>
      <c r="X171" s="231">
        <v>1365</v>
      </c>
      <c r="Y171" s="229">
        <v>4.4699999999999997E-2</v>
      </c>
      <c r="Z171" s="228">
        <v>-5</v>
      </c>
      <c r="AA171" s="228">
        <v>80</v>
      </c>
      <c r="AB171" s="228">
        <v>-85</v>
      </c>
      <c r="AC171" s="229">
        <v>-2.0000000000000001E-4</v>
      </c>
      <c r="AD171" s="228">
        <v>-5</v>
      </c>
      <c r="AE171" s="228">
        <v>80</v>
      </c>
      <c r="AF171" s="228">
        <v>-85</v>
      </c>
      <c r="AG171" s="229">
        <v>-2.0000000000000001E-4</v>
      </c>
      <c r="AH171" s="228">
        <v>90</v>
      </c>
      <c r="AI171" s="228">
        <v>150</v>
      </c>
      <c r="AJ171" s="228">
        <v>-60</v>
      </c>
      <c r="AK171" s="229">
        <v>2.8E-3</v>
      </c>
      <c r="AL171" s="228">
        <v>155</v>
      </c>
      <c r="AM171" s="228">
        <v>175</v>
      </c>
      <c r="AN171" s="228">
        <v>-20</v>
      </c>
      <c r="AO171" s="229">
        <v>4.8999999999999998E-3</v>
      </c>
      <c r="AP171" s="231">
        <v>31390.33</v>
      </c>
      <c r="AQ171" s="231">
        <v>31523.57</v>
      </c>
      <c r="AR171" s="228">
        <v>0</v>
      </c>
      <c r="AS171" s="230">
        <v>1364</v>
      </c>
      <c r="AT171" s="228">
        <v>388</v>
      </c>
      <c r="AU171" s="228">
        <v>976</v>
      </c>
      <c r="AV171" s="229">
        <v>2.5173999999999999</v>
      </c>
      <c r="AW171" s="228">
        <v>775</v>
      </c>
      <c r="AX171" s="228">
        <v>272</v>
      </c>
      <c r="AY171" s="228">
        <v>503</v>
      </c>
      <c r="AZ171" s="229">
        <v>1.8484</v>
      </c>
      <c r="BA171" s="228">
        <v>580</v>
      </c>
      <c r="BB171" s="228">
        <v>111</v>
      </c>
      <c r="BC171" s="228">
        <v>468</v>
      </c>
      <c r="BD171" s="229">
        <v>4.2140000000000004</v>
      </c>
      <c r="BE171" s="228">
        <v>10</v>
      </c>
      <c r="BF171" s="228">
        <v>5</v>
      </c>
      <c r="BG171" s="228">
        <v>5</v>
      </c>
      <c r="BH171" s="229">
        <v>1.069</v>
      </c>
      <c r="BI171" s="230">
        <v>6449</v>
      </c>
      <c r="BJ171" s="230">
        <v>2222</v>
      </c>
      <c r="BK171" s="230">
        <v>4227</v>
      </c>
      <c r="BL171" s="229">
        <v>1.9024000000000001</v>
      </c>
      <c r="BM171" s="230">
        <v>4901</v>
      </c>
      <c r="BN171" s="230">
        <v>3405</v>
      </c>
      <c r="BO171" s="230">
        <v>1496</v>
      </c>
      <c r="BP171" s="229">
        <v>0.43930000000000002</v>
      </c>
      <c r="BQ171" s="230">
        <v>12714</v>
      </c>
      <c r="BR171" s="230">
        <v>6015</v>
      </c>
      <c r="BS171" s="230">
        <v>6699</v>
      </c>
      <c r="BT171" s="229">
        <v>1.1137999999999999</v>
      </c>
      <c r="BU171" s="230">
        <v>210697</v>
      </c>
      <c r="BV171" s="230">
        <v>118414</v>
      </c>
      <c r="BW171" s="230">
        <v>92283</v>
      </c>
      <c r="BX171" s="229">
        <v>0.77929999999999999</v>
      </c>
      <c r="BY171" s="230">
        <v>1345</v>
      </c>
      <c r="BZ171" s="230">
        <v>1286</v>
      </c>
      <c r="CA171" s="228">
        <v>59</v>
      </c>
      <c r="CB171" s="229">
        <v>4.5999999999999999E-2</v>
      </c>
      <c r="CC171" s="228">
        <v>851</v>
      </c>
      <c r="CD171" s="230">
        <v>1148</v>
      </c>
      <c r="CE171" s="228">
        <v>-296</v>
      </c>
      <c r="CF171" s="229">
        <v>-0.2581</v>
      </c>
      <c r="CG171" s="228">
        <v>474</v>
      </c>
      <c r="CH171" s="228">
        <v>122</v>
      </c>
      <c r="CI171" s="228">
        <v>352</v>
      </c>
      <c r="CJ171" s="229">
        <v>2.8969999999999998</v>
      </c>
      <c r="CK171" s="228">
        <v>20</v>
      </c>
      <c r="CL171" s="228">
        <v>17</v>
      </c>
      <c r="CM171" s="228">
        <v>3</v>
      </c>
      <c r="CN171" s="229">
        <v>0.1792</v>
      </c>
      <c r="CO171" s="230">
        <v>1149</v>
      </c>
      <c r="CP171" s="228">
        <v>989</v>
      </c>
      <c r="CQ171" s="228">
        <v>160</v>
      </c>
      <c r="CR171" s="229">
        <v>0.16200000000000001</v>
      </c>
      <c r="CS171" s="230">
        <v>1625</v>
      </c>
      <c r="CT171" s="230">
        <v>1316</v>
      </c>
      <c r="CU171" s="228">
        <v>309</v>
      </c>
      <c r="CV171" s="229">
        <v>0.23469999999999999</v>
      </c>
      <c r="CW171" s="230">
        <v>4119</v>
      </c>
      <c r="CX171" s="230">
        <v>3591</v>
      </c>
      <c r="CY171" s="228">
        <v>528</v>
      </c>
      <c r="CZ171" s="229">
        <v>0.14710000000000001</v>
      </c>
      <c r="DA171" s="228">
        <v>44.51</v>
      </c>
      <c r="DB171" s="228">
        <v>43.41</v>
      </c>
      <c r="DC171" s="228">
        <v>1.1000000000000001</v>
      </c>
      <c r="DD171" s="228">
        <v>1.1000000000000001</v>
      </c>
      <c r="DE171" s="228">
        <v>57.36</v>
      </c>
      <c r="DF171" s="228">
        <v>57.19</v>
      </c>
      <c r="DG171" s="228">
        <v>-12.85</v>
      </c>
      <c r="DH171" s="228">
        <v>0.17</v>
      </c>
      <c r="DI171" s="228">
        <v>43.06</v>
      </c>
      <c r="DJ171" s="228">
        <v>35.61</v>
      </c>
      <c r="DK171" s="228">
        <v>7.45</v>
      </c>
      <c r="DL171" s="228">
        <v>7.45</v>
      </c>
      <c r="DM171" s="228">
        <v>46.68</v>
      </c>
      <c r="DN171" s="228">
        <v>48.51</v>
      </c>
      <c r="DO171" s="228">
        <v>-1.83</v>
      </c>
      <c r="DP171" s="228">
        <v>-1.83</v>
      </c>
      <c r="DQ171" s="228">
        <v>1.41</v>
      </c>
      <c r="DR171" s="228">
        <v>1.33</v>
      </c>
      <c r="DS171" s="228">
        <v>0.08</v>
      </c>
      <c r="DT171" s="229">
        <v>6.0199999999999997E-2</v>
      </c>
      <c r="DU171" s="231">
        <v>33000</v>
      </c>
      <c r="DV171" s="231">
        <v>30000</v>
      </c>
      <c r="DW171" s="228">
        <v>0.76</v>
      </c>
      <c r="DX171" s="228">
        <v>1.53</v>
      </c>
      <c r="DY171" s="228">
        <v>-0.77</v>
      </c>
      <c r="DZ171" s="229">
        <v>-0.50329999999999997</v>
      </c>
      <c r="EA171" s="229">
        <v>0.36709999999999998</v>
      </c>
      <c r="EB171" s="230">
        <v>43650</v>
      </c>
      <c r="EC171" s="229">
        <v>3.0000000000000001E-3</v>
      </c>
      <c r="ED171" s="229">
        <v>0.36709999999999998</v>
      </c>
      <c r="EE171" s="228">
        <v>133.24</v>
      </c>
      <c r="EF171" s="229">
        <v>4.1999999999999997E-3</v>
      </c>
      <c r="EG171" s="230">
        <v>49830</v>
      </c>
      <c r="EH171" s="230">
        <v>34483</v>
      </c>
      <c r="EI171" s="229">
        <v>0.4451</v>
      </c>
      <c r="EJ171" s="229">
        <v>0.23649999999999999</v>
      </c>
      <c r="EK171" s="231">
        <v>6646.76</v>
      </c>
      <c r="EL171" s="231">
        <v>4518.71</v>
      </c>
      <c r="EM171" s="231">
        <v>1352.22</v>
      </c>
      <c r="EN171" s="228">
        <v>24.58</v>
      </c>
      <c r="EO171" s="231">
        <v>12517.69</v>
      </c>
      <c r="EP171" s="231">
        <v>5479.21</v>
      </c>
      <c r="EQ171" s="231">
        <v>7038.48</v>
      </c>
      <c r="ER171" s="229">
        <v>1.2846</v>
      </c>
      <c r="ES171" s="231">
        <v>1106.52</v>
      </c>
      <c r="ET171" s="231">
        <v>1433.08</v>
      </c>
      <c r="EU171" s="231">
        <v>1346.71</v>
      </c>
      <c r="EV171" s="231">
        <v>1917916</v>
      </c>
      <c r="EW171" s="231">
        <v>3886.31</v>
      </c>
      <c r="EX171" s="231">
        <v>3284.06</v>
      </c>
      <c r="EY171" s="228">
        <v>602.25</v>
      </c>
      <c r="EZ171" s="229">
        <v>0.18340000000000001</v>
      </c>
      <c r="FA171" s="229">
        <v>0.67720000000000002</v>
      </c>
      <c r="FB171" s="227" t="s">
        <v>555</v>
      </c>
      <c r="FC171">
        <f t="shared" si="3"/>
        <v>0</v>
      </c>
    </row>
    <row r="172" spans="1:159" ht="17.25" thickBot="1" x14ac:dyDescent="0.3">
      <c r="A172" s="226">
        <v>46135</v>
      </c>
      <c r="B172" s="227" t="s">
        <v>170</v>
      </c>
      <c r="C172" s="227" t="s">
        <v>676</v>
      </c>
      <c r="D172" s="228">
        <v>2625</v>
      </c>
      <c r="E172" s="228">
        <v>5</v>
      </c>
      <c r="F172" s="228">
        <v>163.41</v>
      </c>
      <c r="G172" s="228">
        <v>152.43</v>
      </c>
      <c r="H172" s="228">
        <v>10.98</v>
      </c>
      <c r="I172" s="229">
        <v>7.1999999999999995E-2</v>
      </c>
      <c r="J172" s="228">
        <v>163.87</v>
      </c>
      <c r="K172" s="228">
        <v>153.81</v>
      </c>
      <c r="L172" s="228">
        <v>10.06</v>
      </c>
      <c r="M172" s="229">
        <v>6.54E-2</v>
      </c>
      <c r="N172" s="228">
        <v>163.41</v>
      </c>
      <c r="O172" s="228">
        <v>152.43</v>
      </c>
      <c r="P172" s="228">
        <v>10.98</v>
      </c>
      <c r="Q172" s="229">
        <v>7.1999999999999995E-2</v>
      </c>
      <c r="R172" s="228">
        <v>0</v>
      </c>
      <c r="S172" s="228">
        <v>0</v>
      </c>
      <c r="T172" s="228">
        <v>0</v>
      </c>
      <c r="U172" s="229">
        <v>0</v>
      </c>
      <c r="V172" s="228">
        <v>0</v>
      </c>
      <c r="W172" s="228">
        <v>0</v>
      </c>
      <c r="X172" s="228">
        <v>0</v>
      </c>
      <c r="Y172" s="229">
        <v>0</v>
      </c>
      <c r="Z172" s="228">
        <v>-0.46</v>
      </c>
      <c r="AA172" s="228">
        <v>-1.38</v>
      </c>
      <c r="AB172" s="228">
        <v>0.92</v>
      </c>
      <c r="AC172" s="229">
        <v>-2.8E-3</v>
      </c>
      <c r="AD172" s="228">
        <v>-0.46</v>
      </c>
      <c r="AE172" s="228">
        <v>-1.38</v>
      </c>
      <c r="AF172" s="228">
        <v>0.92</v>
      </c>
      <c r="AG172" s="229">
        <v>-2.8E-3</v>
      </c>
      <c r="AH172" s="228">
        <v>0</v>
      </c>
      <c r="AI172" s="228">
        <v>0</v>
      </c>
      <c r="AJ172" s="228">
        <v>0</v>
      </c>
      <c r="AK172" s="229">
        <v>0</v>
      </c>
      <c r="AL172" s="228">
        <v>0</v>
      </c>
      <c r="AM172" s="228">
        <v>0</v>
      </c>
      <c r="AN172" s="228">
        <v>0</v>
      </c>
      <c r="AO172" s="229">
        <v>0</v>
      </c>
      <c r="AP172" s="228">
        <v>161.5</v>
      </c>
      <c r="AQ172" s="228">
        <v>0</v>
      </c>
      <c r="AR172" s="228">
        <v>0</v>
      </c>
      <c r="AS172" s="228">
        <v>181</v>
      </c>
      <c r="AT172" s="228">
        <v>28</v>
      </c>
      <c r="AU172" s="228">
        <v>153</v>
      </c>
      <c r="AV172" s="229">
        <v>5.3811999999999998</v>
      </c>
      <c r="AW172" s="228">
        <v>181</v>
      </c>
      <c r="AX172" s="228">
        <v>28</v>
      </c>
      <c r="AY172" s="228">
        <v>153</v>
      </c>
      <c r="AZ172" s="229">
        <v>5.3811999999999998</v>
      </c>
      <c r="BA172" s="228">
        <v>0</v>
      </c>
      <c r="BB172" s="228">
        <v>0</v>
      </c>
      <c r="BC172" s="228">
        <v>0</v>
      </c>
      <c r="BD172" s="229">
        <v>0</v>
      </c>
      <c r="BE172" s="228">
        <v>0</v>
      </c>
      <c r="BF172" s="228">
        <v>0</v>
      </c>
      <c r="BG172" s="228">
        <v>0</v>
      </c>
      <c r="BH172" s="229">
        <v>0</v>
      </c>
      <c r="BI172" s="230">
        <v>2113</v>
      </c>
      <c r="BJ172" s="228">
        <v>173</v>
      </c>
      <c r="BK172" s="230">
        <v>1940</v>
      </c>
      <c r="BL172" s="229">
        <v>11.2186</v>
      </c>
      <c r="BM172" s="228">
        <v>516</v>
      </c>
      <c r="BN172" s="228">
        <v>28</v>
      </c>
      <c r="BO172" s="228">
        <v>489</v>
      </c>
      <c r="BP172" s="229">
        <v>17.577200000000001</v>
      </c>
      <c r="BQ172" s="230">
        <v>2810</v>
      </c>
      <c r="BR172" s="228">
        <v>229</v>
      </c>
      <c r="BS172" s="230">
        <v>2581</v>
      </c>
      <c r="BT172" s="229">
        <v>11.2676</v>
      </c>
      <c r="BU172" s="230">
        <v>53822302</v>
      </c>
      <c r="BV172" s="230">
        <v>2938807</v>
      </c>
      <c r="BW172" s="230">
        <v>50883495</v>
      </c>
      <c r="BX172" s="229">
        <v>17.314299999999999</v>
      </c>
      <c r="BY172" s="228">
        <v>135</v>
      </c>
      <c r="BZ172" s="228">
        <v>168</v>
      </c>
      <c r="CA172" s="228">
        <v>-33</v>
      </c>
      <c r="CB172" s="229">
        <v>-0.1986</v>
      </c>
      <c r="CC172" s="228">
        <v>135</v>
      </c>
      <c r="CD172" s="228">
        <v>168</v>
      </c>
      <c r="CE172" s="228">
        <v>-33</v>
      </c>
      <c r="CF172" s="229">
        <v>-0.1986</v>
      </c>
      <c r="CG172" s="228">
        <v>0</v>
      </c>
      <c r="CH172" s="228">
        <v>0</v>
      </c>
      <c r="CI172" s="228">
        <v>0</v>
      </c>
      <c r="CJ172" s="229">
        <v>0</v>
      </c>
      <c r="CK172" s="228">
        <v>0</v>
      </c>
      <c r="CL172" s="228">
        <v>0</v>
      </c>
      <c r="CM172" s="228">
        <v>0</v>
      </c>
      <c r="CN172" s="229">
        <v>0</v>
      </c>
      <c r="CO172" s="228">
        <v>143</v>
      </c>
      <c r="CP172" s="228">
        <v>93</v>
      </c>
      <c r="CQ172" s="228">
        <v>50</v>
      </c>
      <c r="CR172" s="229">
        <v>0.53310000000000002</v>
      </c>
      <c r="CS172" s="228">
        <v>114</v>
      </c>
      <c r="CT172" s="228">
        <v>56</v>
      </c>
      <c r="CU172" s="228">
        <v>58</v>
      </c>
      <c r="CV172" s="229">
        <v>1.0430999999999999</v>
      </c>
      <c r="CW172" s="228">
        <v>392</v>
      </c>
      <c r="CX172" s="228">
        <v>317</v>
      </c>
      <c r="CY172" s="228">
        <v>75</v>
      </c>
      <c r="CZ172" s="229">
        <v>0.23499999999999999</v>
      </c>
      <c r="DA172" s="228">
        <v>43.93</v>
      </c>
      <c r="DB172" s="228">
        <v>39.5</v>
      </c>
      <c r="DC172" s="228">
        <v>4.43</v>
      </c>
      <c r="DD172" s="228">
        <v>4.43</v>
      </c>
      <c r="DE172" s="228">
        <v>43.93</v>
      </c>
      <c r="DF172" s="228">
        <v>43.02</v>
      </c>
      <c r="DG172" s="228">
        <v>0</v>
      </c>
      <c r="DH172" s="228">
        <v>0.91</v>
      </c>
      <c r="DI172" s="228">
        <v>43.93</v>
      </c>
      <c r="DJ172" s="228">
        <v>38.729999999999997</v>
      </c>
      <c r="DK172" s="228">
        <v>5.2</v>
      </c>
      <c r="DL172" s="228">
        <v>5.2</v>
      </c>
      <c r="DM172" s="228">
        <v>43.93</v>
      </c>
      <c r="DN172" s="228">
        <v>44.27</v>
      </c>
      <c r="DO172" s="228">
        <v>-0.34</v>
      </c>
      <c r="DP172" s="228">
        <v>-0.34</v>
      </c>
      <c r="DQ172" s="228">
        <v>0.8</v>
      </c>
      <c r="DR172" s="228">
        <v>0.6</v>
      </c>
      <c r="DS172" s="228">
        <v>0.2</v>
      </c>
      <c r="DT172" s="229">
        <v>0.33329999999999999</v>
      </c>
      <c r="DU172" s="228">
        <v>170</v>
      </c>
      <c r="DV172" s="228">
        <v>160</v>
      </c>
      <c r="DW172" s="228">
        <v>0.24</v>
      </c>
      <c r="DX172" s="228">
        <v>0.16</v>
      </c>
      <c r="DY172" s="228">
        <v>0.08</v>
      </c>
      <c r="DZ172" s="229">
        <v>0.5</v>
      </c>
      <c r="EA172" s="229">
        <v>0</v>
      </c>
      <c r="EB172" s="228">
        <v>0</v>
      </c>
      <c r="EC172" s="229">
        <v>0</v>
      </c>
      <c r="ED172" s="229">
        <v>0</v>
      </c>
      <c r="EE172" s="228">
        <v>0</v>
      </c>
      <c r="EF172" s="229">
        <v>0</v>
      </c>
      <c r="EG172" s="230">
        <v>5758891</v>
      </c>
      <c r="EH172" s="230">
        <v>1106945</v>
      </c>
      <c r="EI172" s="229">
        <v>4.2024999999999997</v>
      </c>
      <c r="EJ172" s="229">
        <v>0.107</v>
      </c>
      <c r="EK172" s="231">
        <v>2213.6799999999998</v>
      </c>
      <c r="EL172" s="228">
        <v>501.8</v>
      </c>
      <c r="EM172" s="228">
        <v>178.82</v>
      </c>
      <c r="EN172" s="228">
        <v>7.79</v>
      </c>
      <c r="EO172" s="231">
        <v>2894.3</v>
      </c>
      <c r="EP172" s="228">
        <v>218.18</v>
      </c>
      <c r="EQ172" s="231">
        <v>2676.12</v>
      </c>
      <c r="ER172" s="229">
        <v>12.265599999999999</v>
      </c>
      <c r="ES172" s="228">
        <v>145.38999999999999</v>
      </c>
      <c r="ET172" s="228">
        <v>105.82</v>
      </c>
      <c r="EU172" s="228">
        <v>134.69</v>
      </c>
      <c r="EV172" s="231">
        <v>92833839</v>
      </c>
      <c r="EW172" s="228">
        <v>385.9</v>
      </c>
      <c r="EX172" s="228">
        <v>296.5</v>
      </c>
      <c r="EY172" s="228">
        <v>89.4</v>
      </c>
      <c r="EZ172" s="229">
        <v>0.30149999999999999</v>
      </c>
      <c r="FA172" s="229">
        <v>0.25819999999999999</v>
      </c>
      <c r="FB172" s="227" t="s">
        <v>693</v>
      </c>
      <c r="FC172">
        <f t="shared" si="3"/>
        <v>0</v>
      </c>
    </row>
    <row r="173" spans="1:159" ht="17.25" thickBot="1" x14ac:dyDescent="0.3">
      <c r="A173" s="226">
        <v>46135</v>
      </c>
      <c r="B173" s="227" t="s">
        <v>184</v>
      </c>
      <c r="C173" s="227" t="s">
        <v>688</v>
      </c>
      <c r="D173" s="228">
        <v>575</v>
      </c>
      <c r="E173" s="228">
        <v>5</v>
      </c>
      <c r="F173" s="231">
        <v>1000.7</v>
      </c>
      <c r="G173" s="228">
        <v>993.8</v>
      </c>
      <c r="H173" s="228">
        <v>6.9</v>
      </c>
      <c r="I173" s="229">
        <v>6.8999999999999999E-3</v>
      </c>
      <c r="J173" s="231">
        <v>1000.7</v>
      </c>
      <c r="K173" s="228">
        <v>990.8</v>
      </c>
      <c r="L173" s="228">
        <v>9.9</v>
      </c>
      <c r="M173" s="229">
        <v>0.01</v>
      </c>
      <c r="N173" s="231">
        <v>1000.7</v>
      </c>
      <c r="O173" s="228">
        <v>993.8</v>
      </c>
      <c r="P173" s="228">
        <v>6.9</v>
      </c>
      <c r="Q173" s="229">
        <v>6.8999999999999999E-3</v>
      </c>
      <c r="R173" s="228">
        <v>993.25</v>
      </c>
      <c r="S173" s="228">
        <v>986.2</v>
      </c>
      <c r="T173" s="228">
        <v>7.05</v>
      </c>
      <c r="U173" s="229">
        <v>7.1000000000000004E-3</v>
      </c>
      <c r="V173" s="228">
        <v>991</v>
      </c>
      <c r="W173" s="228">
        <v>983.45</v>
      </c>
      <c r="X173" s="228">
        <v>7.55</v>
      </c>
      <c r="Y173" s="229">
        <v>7.7000000000000002E-3</v>
      </c>
      <c r="Z173" s="228">
        <v>0</v>
      </c>
      <c r="AA173" s="228">
        <v>3</v>
      </c>
      <c r="AB173" s="228">
        <v>-3</v>
      </c>
      <c r="AC173" s="229">
        <v>0</v>
      </c>
      <c r="AD173" s="228">
        <v>0</v>
      </c>
      <c r="AE173" s="228">
        <v>3</v>
      </c>
      <c r="AF173" s="228">
        <v>-3</v>
      </c>
      <c r="AG173" s="229">
        <v>0</v>
      </c>
      <c r="AH173" s="228">
        <v>-7.45</v>
      </c>
      <c r="AI173" s="228">
        <v>-4.5999999999999996</v>
      </c>
      <c r="AJ173" s="228">
        <v>-2.85</v>
      </c>
      <c r="AK173" s="229">
        <v>-7.4000000000000003E-3</v>
      </c>
      <c r="AL173" s="228">
        <v>-9.6999999999999993</v>
      </c>
      <c r="AM173" s="228">
        <v>-7.35</v>
      </c>
      <c r="AN173" s="228">
        <v>-2.35</v>
      </c>
      <c r="AO173" s="229">
        <v>-9.7000000000000003E-3</v>
      </c>
      <c r="AP173" s="231">
        <v>1003.75</v>
      </c>
      <c r="AQ173" s="228">
        <v>995.16</v>
      </c>
      <c r="AR173" s="228">
        <v>0</v>
      </c>
      <c r="AS173" s="228">
        <v>803</v>
      </c>
      <c r="AT173" s="228">
        <v>173</v>
      </c>
      <c r="AU173" s="228">
        <v>629</v>
      </c>
      <c r="AV173" s="229">
        <v>3.6295999999999999</v>
      </c>
      <c r="AW173" s="228">
        <v>434</v>
      </c>
      <c r="AX173" s="228">
        <v>120</v>
      </c>
      <c r="AY173" s="228">
        <v>313</v>
      </c>
      <c r="AZ173" s="229">
        <v>2.6103999999999998</v>
      </c>
      <c r="BA173" s="228">
        <v>369</v>
      </c>
      <c r="BB173" s="228">
        <v>53</v>
      </c>
      <c r="BC173" s="228">
        <v>316</v>
      </c>
      <c r="BD173" s="229">
        <v>5.9478999999999997</v>
      </c>
      <c r="BE173" s="228">
        <v>0</v>
      </c>
      <c r="BF173" s="228">
        <v>0</v>
      </c>
      <c r="BG173" s="228">
        <v>0</v>
      </c>
      <c r="BH173" s="229">
        <v>1</v>
      </c>
      <c r="BI173" s="228">
        <v>407</v>
      </c>
      <c r="BJ173" s="228">
        <v>356</v>
      </c>
      <c r="BK173" s="228">
        <v>51</v>
      </c>
      <c r="BL173" s="229">
        <v>0.14399999999999999</v>
      </c>
      <c r="BM173" s="228">
        <v>130</v>
      </c>
      <c r="BN173" s="228">
        <v>120</v>
      </c>
      <c r="BO173" s="228">
        <v>10</v>
      </c>
      <c r="BP173" s="229">
        <v>8.7300000000000003E-2</v>
      </c>
      <c r="BQ173" s="230">
        <v>1340</v>
      </c>
      <c r="BR173" s="228">
        <v>649</v>
      </c>
      <c r="BS173" s="228">
        <v>691</v>
      </c>
      <c r="BT173" s="229">
        <v>1.0640000000000001</v>
      </c>
      <c r="BU173" s="230">
        <v>1371374</v>
      </c>
      <c r="BV173" s="230">
        <v>995070</v>
      </c>
      <c r="BW173" s="230">
        <v>376304</v>
      </c>
      <c r="BX173" s="229">
        <v>0.37819999999999998</v>
      </c>
      <c r="BY173" s="230">
        <v>1237</v>
      </c>
      <c r="BZ173" s="230">
        <v>1388</v>
      </c>
      <c r="CA173" s="228">
        <v>-151</v>
      </c>
      <c r="CB173" s="229">
        <v>-0.109</v>
      </c>
      <c r="CC173" s="228">
        <v>772</v>
      </c>
      <c r="CD173" s="230">
        <v>1069</v>
      </c>
      <c r="CE173" s="228">
        <v>-297</v>
      </c>
      <c r="CF173" s="229">
        <v>-0.27750000000000002</v>
      </c>
      <c r="CG173" s="228">
        <v>463</v>
      </c>
      <c r="CH173" s="228">
        <v>317</v>
      </c>
      <c r="CI173" s="228">
        <v>145</v>
      </c>
      <c r="CJ173" s="229">
        <v>0.45739999999999997</v>
      </c>
      <c r="CK173" s="228">
        <v>2</v>
      </c>
      <c r="CL173" s="228">
        <v>2</v>
      </c>
      <c r="CM173" s="228">
        <v>0</v>
      </c>
      <c r="CN173" s="229">
        <v>0.1071</v>
      </c>
      <c r="CO173" s="228">
        <v>277</v>
      </c>
      <c r="CP173" s="228">
        <v>289</v>
      </c>
      <c r="CQ173" s="228">
        <v>-12</v>
      </c>
      <c r="CR173" s="229">
        <v>-4.0300000000000002E-2</v>
      </c>
      <c r="CS173" s="228">
        <v>186</v>
      </c>
      <c r="CT173" s="228">
        <v>189</v>
      </c>
      <c r="CU173" s="228">
        <v>-3</v>
      </c>
      <c r="CV173" s="229">
        <v>-1.4E-2</v>
      </c>
      <c r="CW173" s="230">
        <v>1700</v>
      </c>
      <c r="CX173" s="230">
        <v>1865</v>
      </c>
      <c r="CY173" s="228">
        <v>-166</v>
      </c>
      <c r="CZ173" s="229">
        <v>-8.8800000000000004E-2</v>
      </c>
      <c r="DA173" s="228">
        <v>44.74</v>
      </c>
      <c r="DB173" s="228">
        <v>38.53</v>
      </c>
      <c r="DC173" s="228">
        <v>6.21</v>
      </c>
      <c r="DD173" s="228">
        <v>6.21</v>
      </c>
      <c r="DE173" s="228">
        <v>48.47</v>
      </c>
      <c r="DF173" s="228">
        <v>48.58</v>
      </c>
      <c r="DG173" s="228">
        <v>-3.73</v>
      </c>
      <c r="DH173" s="228">
        <v>-0.11</v>
      </c>
      <c r="DI173" s="228">
        <v>45.09</v>
      </c>
      <c r="DJ173" s="228">
        <v>39.19</v>
      </c>
      <c r="DK173" s="228">
        <v>5.9</v>
      </c>
      <c r="DL173" s="228">
        <v>5.9</v>
      </c>
      <c r="DM173" s="228">
        <v>43.92</v>
      </c>
      <c r="DN173" s="228">
        <v>36.56</v>
      </c>
      <c r="DO173" s="228">
        <v>7.36</v>
      </c>
      <c r="DP173" s="228">
        <v>7.36</v>
      </c>
      <c r="DQ173" s="228">
        <v>0.67</v>
      </c>
      <c r="DR173" s="228">
        <v>0.65</v>
      </c>
      <c r="DS173" s="228">
        <v>0.02</v>
      </c>
      <c r="DT173" s="229">
        <v>3.0800000000000001E-2</v>
      </c>
      <c r="DU173" s="231">
        <v>1100</v>
      </c>
      <c r="DV173" s="228">
        <v>960</v>
      </c>
      <c r="DW173" s="228">
        <v>0.32</v>
      </c>
      <c r="DX173" s="228">
        <v>0.34</v>
      </c>
      <c r="DY173" s="228">
        <v>-0.02</v>
      </c>
      <c r="DZ173" s="229">
        <v>-5.8799999999999998E-2</v>
      </c>
      <c r="EA173" s="229">
        <v>0.37540000000000001</v>
      </c>
      <c r="EB173" s="230">
        <v>3187800</v>
      </c>
      <c r="EC173" s="229">
        <v>-7.4000000000000003E-3</v>
      </c>
      <c r="ED173" s="229">
        <v>0.37540000000000001</v>
      </c>
      <c r="EE173" s="228">
        <v>-8.59</v>
      </c>
      <c r="EF173" s="229">
        <v>-8.6E-3</v>
      </c>
      <c r="EG173" s="230">
        <v>457530</v>
      </c>
      <c r="EH173" s="230">
        <v>356350</v>
      </c>
      <c r="EI173" s="229">
        <v>0.28389999999999999</v>
      </c>
      <c r="EJ173" s="229">
        <v>0.33360000000000001</v>
      </c>
      <c r="EK173" s="228">
        <v>422.57</v>
      </c>
      <c r="EL173" s="228">
        <v>128.72</v>
      </c>
      <c r="EM173" s="228">
        <v>801.91</v>
      </c>
      <c r="EN173" s="228">
        <v>58.15</v>
      </c>
      <c r="EO173" s="231">
        <v>1353.19</v>
      </c>
      <c r="EP173" s="228">
        <v>660.37</v>
      </c>
      <c r="EQ173" s="228">
        <v>692.82</v>
      </c>
      <c r="ER173" s="229">
        <v>1.0490999999999999</v>
      </c>
      <c r="ES173" s="228">
        <v>279.89999999999998</v>
      </c>
      <c r="ET173" s="228">
        <v>170.95</v>
      </c>
      <c r="EU173" s="231">
        <v>1233.3699999999999</v>
      </c>
      <c r="EV173" s="231">
        <v>23961540</v>
      </c>
      <c r="EW173" s="231">
        <v>1684.22</v>
      </c>
      <c r="EX173" s="231">
        <v>1841.35</v>
      </c>
      <c r="EY173" s="228">
        <v>-157.13</v>
      </c>
      <c r="EZ173" s="229">
        <v>-8.5300000000000001E-2</v>
      </c>
      <c r="FA173" s="229">
        <v>0.70879999999999999</v>
      </c>
      <c r="FB173" s="227" t="s">
        <v>693</v>
      </c>
      <c r="FC173">
        <f t="shared" si="3"/>
        <v>0</v>
      </c>
    </row>
    <row r="174" spans="1:159" ht="17.25" thickBot="1" x14ac:dyDescent="0.3">
      <c r="A174" s="226">
        <v>46135</v>
      </c>
      <c r="B174" s="227" t="s">
        <v>206</v>
      </c>
      <c r="C174" s="227" t="s">
        <v>604</v>
      </c>
      <c r="D174" s="228">
        <v>450</v>
      </c>
      <c r="E174" s="228">
        <v>5</v>
      </c>
      <c r="F174" s="231">
        <v>1386.6</v>
      </c>
      <c r="G174" s="231">
        <v>1404.7</v>
      </c>
      <c r="H174" s="228">
        <v>-18.100000000000001</v>
      </c>
      <c r="I174" s="229">
        <v>-1.29E-2</v>
      </c>
      <c r="J174" s="231">
        <v>1384.2</v>
      </c>
      <c r="K174" s="231">
        <v>1405.5</v>
      </c>
      <c r="L174" s="228">
        <v>-21.3</v>
      </c>
      <c r="M174" s="229">
        <v>-1.52E-2</v>
      </c>
      <c r="N174" s="231">
        <v>1386.6</v>
      </c>
      <c r="O174" s="231">
        <v>1404.7</v>
      </c>
      <c r="P174" s="228">
        <v>-18.100000000000001</v>
      </c>
      <c r="Q174" s="229">
        <v>-1.29E-2</v>
      </c>
      <c r="R174" s="231">
        <v>1393.2</v>
      </c>
      <c r="S174" s="231">
        <v>1413.2</v>
      </c>
      <c r="T174" s="228">
        <v>-20</v>
      </c>
      <c r="U174" s="229">
        <v>-1.4200000000000001E-2</v>
      </c>
      <c r="V174" s="231">
        <v>1400.3</v>
      </c>
      <c r="W174" s="231">
        <v>1427</v>
      </c>
      <c r="X174" s="228">
        <v>-26.7</v>
      </c>
      <c r="Y174" s="229">
        <v>-1.8700000000000001E-2</v>
      </c>
      <c r="Z174" s="228">
        <v>2.4</v>
      </c>
      <c r="AA174" s="228">
        <v>-0.8</v>
      </c>
      <c r="AB174" s="228">
        <v>3.2</v>
      </c>
      <c r="AC174" s="229">
        <v>1.6999999999999999E-3</v>
      </c>
      <c r="AD174" s="228">
        <v>2.4</v>
      </c>
      <c r="AE174" s="228">
        <v>-0.8</v>
      </c>
      <c r="AF174" s="228">
        <v>3.2</v>
      </c>
      <c r="AG174" s="229">
        <v>1.6999999999999999E-3</v>
      </c>
      <c r="AH174" s="228">
        <v>9</v>
      </c>
      <c r="AI174" s="228">
        <v>7.7</v>
      </c>
      <c r="AJ174" s="228">
        <v>1.3</v>
      </c>
      <c r="AK174" s="229">
        <v>6.4999999999999997E-3</v>
      </c>
      <c r="AL174" s="228">
        <v>16.100000000000001</v>
      </c>
      <c r="AM174" s="228">
        <v>21.5</v>
      </c>
      <c r="AN174" s="228">
        <v>-5.4</v>
      </c>
      <c r="AO174" s="229">
        <v>1.1599999999999999E-2</v>
      </c>
      <c r="AP174" s="231">
        <v>1397.12</v>
      </c>
      <c r="AQ174" s="231">
        <v>1403.12</v>
      </c>
      <c r="AR174" s="228">
        <v>0</v>
      </c>
      <c r="AS174" s="228">
        <v>631</v>
      </c>
      <c r="AT174" s="228">
        <v>127</v>
      </c>
      <c r="AU174" s="228">
        <v>504</v>
      </c>
      <c r="AV174" s="229">
        <v>3.9828000000000001</v>
      </c>
      <c r="AW174" s="228">
        <v>344</v>
      </c>
      <c r="AX174" s="228">
        <v>86</v>
      </c>
      <c r="AY174" s="228">
        <v>258</v>
      </c>
      <c r="AZ174" s="229">
        <v>2.9855999999999998</v>
      </c>
      <c r="BA174" s="228">
        <v>258</v>
      </c>
      <c r="BB174" s="228">
        <v>40</v>
      </c>
      <c r="BC174" s="228">
        <v>218</v>
      </c>
      <c r="BD174" s="229">
        <v>5.4687000000000001</v>
      </c>
      <c r="BE174" s="228">
        <v>29</v>
      </c>
      <c r="BF174" s="228">
        <v>0</v>
      </c>
      <c r="BG174" s="228">
        <v>29</v>
      </c>
      <c r="BH174" s="229">
        <v>65.857100000000003</v>
      </c>
      <c r="BI174" s="228">
        <v>283</v>
      </c>
      <c r="BJ174" s="228">
        <v>237</v>
      </c>
      <c r="BK174" s="228">
        <v>46</v>
      </c>
      <c r="BL174" s="229">
        <v>0.1925</v>
      </c>
      <c r="BM174" s="228">
        <v>106</v>
      </c>
      <c r="BN174" s="228">
        <v>89</v>
      </c>
      <c r="BO174" s="228">
        <v>17</v>
      </c>
      <c r="BP174" s="229">
        <v>0.19689999999999999</v>
      </c>
      <c r="BQ174" s="230">
        <v>1020</v>
      </c>
      <c r="BR174" s="228">
        <v>452</v>
      </c>
      <c r="BS174" s="228">
        <v>568</v>
      </c>
      <c r="BT174" s="229">
        <v>1.2545999999999999</v>
      </c>
      <c r="BU174" s="230">
        <v>1493604</v>
      </c>
      <c r="BV174" s="230">
        <v>473766</v>
      </c>
      <c r="BW174" s="230">
        <v>1019838</v>
      </c>
      <c r="BX174" s="229">
        <v>2.1526000000000001</v>
      </c>
      <c r="BY174" s="228">
        <v>899</v>
      </c>
      <c r="BZ174" s="228">
        <v>911</v>
      </c>
      <c r="CA174" s="228">
        <v>-12</v>
      </c>
      <c r="CB174" s="229">
        <v>-1.3299999999999999E-2</v>
      </c>
      <c r="CC174" s="228">
        <v>618</v>
      </c>
      <c r="CD174" s="228">
        <v>841</v>
      </c>
      <c r="CE174" s="228">
        <v>-223</v>
      </c>
      <c r="CF174" s="229">
        <v>-0.26529999999999998</v>
      </c>
      <c r="CG174" s="228">
        <v>250</v>
      </c>
      <c r="CH174" s="228">
        <v>68</v>
      </c>
      <c r="CI174" s="228">
        <v>182</v>
      </c>
      <c r="CJ174" s="229">
        <v>2.6999</v>
      </c>
      <c r="CK174" s="228">
        <v>31</v>
      </c>
      <c r="CL174" s="228">
        <v>2</v>
      </c>
      <c r="CM174" s="228">
        <v>29</v>
      </c>
      <c r="CN174" s="229">
        <v>11.743600000000001</v>
      </c>
      <c r="CO174" s="228">
        <v>284</v>
      </c>
      <c r="CP174" s="228">
        <v>295</v>
      </c>
      <c r="CQ174" s="228">
        <v>-11</v>
      </c>
      <c r="CR174" s="229">
        <v>-3.6600000000000001E-2</v>
      </c>
      <c r="CS174" s="228">
        <v>210</v>
      </c>
      <c r="CT174" s="228">
        <v>217</v>
      </c>
      <c r="CU174" s="228">
        <v>-8</v>
      </c>
      <c r="CV174" s="229">
        <v>-3.4799999999999998E-2</v>
      </c>
      <c r="CW174" s="230">
        <v>1393</v>
      </c>
      <c r="CX174" s="230">
        <v>1424</v>
      </c>
      <c r="CY174" s="228">
        <v>-31</v>
      </c>
      <c r="CZ174" s="229">
        <v>-2.1399999999999999E-2</v>
      </c>
      <c r="DA174" s="228">
        <v>38.04</v>
      </c>
      <c r="DB174" s="228">
        <v>38.85</v>
      </c>
      <c r="DC174" s="228">
        <v>-0.81</v>
      </c>
      <c r="DD174" s="228">
        <v>-0.81</v>
      </c>
      <c r="DE174" s="228">
        <v>44.61</v>
      </c>
      <c r="DF174" s="228">
        <v>44.69</v>
      </c>
      <c r="DG174" s="228">
        <v>-6.57</v>
      </c>
      <c r="DH174" s="228">
        <v>-0.08</v>
      </c>
      <c r="DI174" s="228">
        <v>37.32</v>
      </c>
      <c r="DJ174" s="228">
        <v>37.17</v>
      </c>
      <c r="DK174" s="228">
        <v>0.15</v>
      </c>
      <c r="DL174" s="228">
        <v>0.15</v>
      </c>
      <c r="DM174" s="228">
        <v>40.75</v>
      </c>
      <c r="DN174" s="228">
        <v>43.35</v>
      </c>
      <c r="DO174" s="228">
        <v>-2.6</v>
      </c>
      <c r="DP174" s="228">
        <v>-2.6</v>
      </c>
      <c r="DQ174" s="228">
        <v>0.74</v>
      </c>
      <c r="DR174" s="228">
        <v>0.74</v>
      </c>
      <c r="DS174" s="228">
        <v>0</v>
      </c>
      <c r="DT174" s="229">
        <v>0</v>
      </c>
      <c r="DU174" s="231">
        <v>1460</v>
      </c>
      <c r="DV174" s="231">
        <v>1320</v>
      </c>
      <c r="DW174" s="228">
        <v>0.38</v>
      </c>
      <c r="DX174" s="228">
        <v>0.37</v>
      </c>
      <c r="DY174" s="228">
        <v>0.01</v>
      </c>
      <c r="DZ174" s="229">
        <v>2.7E-2</v>
      </c>
      <c r="EA174" s="229">
        <v>0.3125</v>
      </c>
      <c r="EB174" s="230">
        <v>504900</v>
      </c>
      <c r="EC174" s="229">
        <v>4.7999999999999996E-3</v>
      </c>
      <c r="ED174" s="229">
        <v>0.3125</v>
      </c>
      <c r="EE174" s="228">
        <v>6</v>
      </c>
      <c r="EF174" s="229">
        <v>4.3E-3</v>
      </c>
      <c r="EG174" s="230">
        <v>1014617</v>
      </c>
      <c r="EH174" s="230">
        <v>205576</v>
      </c>
      <c r="EI174" s="229">
        <v>3.9355000000000002</v>
      </c>
      <c r="EJ174" s="229">
        <v>0.67930000000000001</v>
      </c>
      <c r="EK174" s="228">
        <v>295.24</v>
      </c>
      <c r="EL174" s="228">
        <v>103.24</v>
      </c>
      <c r="EM174" s="228">
        <v>637.29999999999995</v>
      </c>
      <c r="EN174" s="228">
        <v>23.91</v>
      </c>
      <c r="EO174" s="231">
        <v>1035.79</v>
      </c>
      <c r="EP174" s="228">
        <v>463.17</v>
      </c>
      <c r="EQ174" s="228">
        <v>572.62</v>
      </c>
      <c r="ER174" s="229">
        <v>1.2363</v>
      </c>
      <c r="ES174" s="228">
        <v>282.18</v>
      </c>
      <c r="ET174" s="228">
        <v>191.84</v>
      </c>
      <c r="EU174" s="228">
        <v>900.76</v>
      </c>
      <c r="EV174" s="231">
        <v>25234534</v>
      </c>
      <c r="EW174" s="231">
        <v>1374.78</v>
      </c>
      <c r="EX174" s="231">
        <v>1416.36</v>
      </c>
      <c r="EY174" s="228">
        <v>-41.58</v>
      </c>
      <c r="EZ174" s="229">
        <v>-2.9399999999999999E-2</v>
      </c>
      <c r="FA174" s="229">
        <v>0.3982</v>
      </c>
      <c r="FB174" s="227" t="s">
        <v>567</v>
      </c>
      <c r="FC174">
        <f t="shared" si="3"/>
        <v>0</v>
      </c>
    </row>
    <row r="175" spans="1:159" ht="17.25" thickBot="1" x14ac:dyDescent="0.3">
      <c r="A175" s="226">
        <v>46135</v>
      </c>
      <c r="B175" s="227" t="s">
        <v>172</v>
      </c>
      <c r="C175" s="227" t="s">
        <v>279</v>
      </c>
      <c r="D175" s="228">
        <v>3175</v>
      </c>
      <c r="E175" s="228">
        <v>5</v>
      </c>
      <c r="F175" s="228">
        <v>313.39999999999998</v>
      </c>
      <c r="G175" s="228">
        <v>317.55</v>
      </c>
      <c r="H175" s="228">
        <v>-4.1500000000000004</v>
      </c>
      <c r="I175" s="229">
        <v>-1.3100000000000001E-2</v>
      </c>
      <c r="J175" s="228">
        <v>312.45</v>
      </c>
      <c r="K175" s="228">
        <v>317.64999999999998</v>
      </c>
      <c r="L175" s="228">
        <v>-5.2</v>
      </c>
      <c r="M175" s="229">
        <v>-1.6400000000000001E-2</v>
      </c>
      <c r="N175" s="228">
        <v>313.39999999999998</v>
      </c>
      <c r="O175" s="228">
        <v>317.55</v>
      </c>
      <c r="P175" s="228">
        <v>-4.1500000000000004</v>
      </c>
      <c r="Q175" s="229">
        <v>-1.3100000000000001E-2</v>
      </c>
      <c r="R175" s="228">
        <v>315.2</v>
      </c>
      <c r="S175" s="228">
        <v>319.3</v>
      </c>
      <c r="T175" s="228">
        <v>-4.0999999999999996</v>
      </c>
      <c r="U175" s="229">
        <v>-1.2800000000000001E-2</v>
      </c>
      <c r="V175" s="228">
        <v>315.3</v>
      </c>
      <c r="W175" s="228">
        <v>321</v>
      </c>
      <c r="X175" s="228">
        <v>-5.7</v>
      </c>
      <c r="Y175" s="229">
        <v>-1.78E-2</v>
      </c>
      <c r="Z175" s="228">
        <v>0.95</v>
      </c>
      <c r="AA175" s="228">
        <v>-0.1</v>
      </c>
      <c r="AB175" s="228">
        <v>1.05</v>
      </c>
      <c r="AC175" s="229">
        <v>3.0000000000000001E-3</v>
      </c>
      <c r="AD175" s="228">
        <v>0.95</v>
      </c>
      <c r="AE175" s="228">
        <v>-0.1</v>
      </c>
      <c r="AF175" s="228">
        <v>1.05</v>
      </c>
      <c r="AG175" s="229">
        <v>3.0000000000000001E-3</v>
      </c>
      <c r="AH175" s="228">
        <v>2.75</v>
      </c>
      <c r="AI175" s="228">
        <v>1.65</v>
      </c>
      <c r="AJ175" s="228">
        <v>1.1000000000000001</v>
      </c>
      <c r="AK175" s="229">
        <v>8.8000000000000005E-3</v>
      </c>
      <c r="AL175" s="228">
        <v>2.85</v>
      </c>
      <c r="AM175" s="228">
        <v>3.35</v>
      </c>
      <c r="AN175" s="228">
        <v>-0.5</v>
      </c>
      <c r="AO175" s="229">
        <v>9.1000000000000004E-3</v>
      </c>
      <c r="AP175" s="228">
        <v>313.7</v>
      </c>
      <c r="AQ175" s="228">
        <v>315.41000000000003</v>
      </c>
      <c r="AR175" s="228">
        <v>0</v>
      </c>
      <c r="AS175" s="228">
        <v>990</v>
      </c>
      <c r="AT175" s="228">
        <v>442</v>
      </c>
      <c r="AU175" s="228">
        <v>548</v>
      </c>
      <c r="AV175" s="229">
        <v>1.2379</v>
      </c>
      <c r="AW175" s="228">
        <v>506</v>
      </c>
      <c r="AX175" s="228">
        <v>319</v>
      </c>
      <c r="AY175" s="228">
        <v>187</v>
      </c>
      <c r="AZ175" s="229">
        <v>0.58760000000000001</v>
      </c>
      <c r="BA175" s="228">
        <v>483</v>
      </c>
      <c r="BB175" s="228">
        <v>122</v>
      </c>
      <c r="BC175" s="228">
        <v>361</v>
      </c>
      <c r="BD175" s="229">
        <v>2.9535</v>
      </c>
      <c r="BE175" s="228">
        <v>1</v>
      </c>
      <c r="BF175" s="228">
        <v>1</v>
      </c>
      <c r="BG175" s="228">
        <v>0</v>
      </c>
      <c r="BH175" s="229">
        <v>-0.21429999999999999</v>
      </c>
      <c r="BI175" s="228">
        <v>591</v>
      </c>
      <c r="BJ175" s="230">
        <v>1102</v>
      </c>
      <c r="BK175" s="228">
        <v>-511</v>
      </c>
      <c r="BL175" s="229">
        <v>-0.4637</v>
      </c>
      <c r="BM175" s="228">
        <v>405</v>
      </c>
      <c r="BN175" s="228">
        <v>681</v>
      </c>
      <c r="BO175" s="228">
        <v>-276</v>
      </c>
      <c r="BP175" s="229">
        <v>-0.40570000000000001</v>
      </c>
      <c r="BQ175" s="230">
        <v>1986</v>
      </c>
      <c r="BR175" s="230">
        <v>2226</v>
      </c>
      <c r="BS175" s="228">
        <v>-240</v>
      </c>
      <c r="BT175" s="229">
        <v>-0.1076</v>
      </c>
      <c r="BU175" s="230">
        <v>3232037</v>
      </c>
      <c r="BV175" s="230">
        <v>4539281</v>
      </c>
      <c r="BW175" s="230">
        <v>-1307244</v>
      </c>
      <c r="BX175" s="229">
        <v>-0.28799999999999998</v>
      </c>
      <c r="BY175" s="230">
        <v>1875</v>
      </c>
      <c r="BZ175" s="230">
        <v>1867</v>
      </c>
      <c r="CA175" s="228">
        <v>8</v>
      </c>
      <c r="CB175" s="229">
        <v>4.1999999999999997E-3</v>
      </c>
      <c r="CC175" s="230">
        <v>1265</v>
      </c>
      <c r="CD175" s="230">
        <v>1613</v>
      </c>
      <c r="CE175" s="228">
        <v>-348</v>
      </c>
      <c r="CF175" s="229">
        <v>-0.21579999999999999</v>
      </c>
      <c r="CG175" s="228">
        <v>606</v>
      </c>
      <c r="CH175" s="228">
        <v>250</v>
      </c>
      <c r="CI175" s="228">
        <v>356</v>
      </c>
      <c r="CJ175" s="229">
        <v>1.4232</v>
      </c>
      <c r="CK175" s="228">
        <v>4</v>
      </c>
      <c r="CL175" s="228">
        <v>4</v>
      </c>
      <c r="CM175" s="228">
        <v>0</v>
      </c>
      <c r="CN175" s="229">
        <v>2.63E-2</v>
      </c>
      <c r="CO175" s="228">
        <v>967</v>
      </c>
      <c r="CP175" s="228">
        <v>951</v>
      </c>
      <c r="CQ175" s="228">
        <v>16</v>
      </c>
      <c r="CR175" s="229">
        <v>1.6299999999999999E-2</v>
      </c>
      <c r="CS175" s="228">
        <v>854</v>
      </c>
      <c r="CT175" s="228">
        <v>832</v>
      </c>
      <c r="CU175" s="228">
        <v>23</v>
      </c>
      <c r="CV175" s="229">
        <v>2.7199999999999998E-2</v>
      </c>
      <c r="CW175" s="230">
        <v>3696</v>
      </c>
      <c r="CX175" s="230">
        <v>3650</v>
      </c>
      <c r="CY175" s="228">
        <v>46</v>
      </c>
      <c r="CZ175" s="229">
        <v>1.26E-2</v>
      </c>
      <c r="DA175" s="228">
        <v>33.08</v>
      </c>
      <c r="DB175" s="228">
        <v>38.840000000000003</v>
      </c>
      <c r="DC175" s="228">
        <v>-5.76</v>
      </c>
      <c r="DD175" s="228">
        <v>-5.76</v>
      </c>
      <c r="DE175" s="228">
        <v>42.86</v>
      </c>
      <c r="DF175" s="228">
        <v>42.91</v>
      </c>
      <c r="DG175" s="228">
        <v>-9.7799999999999994</v>
      </c>
      <c r="DH175" s="228">
        <v>-0.05</v>
      </c>
      <c r="DI175" s="228">
        <v>32.71</v>
      </c>
      <c r="DJ175" s="228">
        <v>38.08</v>
      </c>
      <c r="DK175" s="228">
        <v>-5.37</v>
      </c>
      <c r="DL175" s="228">
        <v>-5.37</v>
      </c>
      <c r="DM175" s="228">
        <v>33.57</v>
      </c>
      <c r="DN175" s="228">
        <v>40.049999999999997</v>
      </c>
      <c r="DO175" s="228">
        <v>-6.48</v>
      </c>
      <c r="DP175" s="228">
        <v>-6.48</v>
      </c>
      <c r="DQ175" s="228">
        <v>0.88</v>
      </c>
      <c r="DR175" s="228">
        <v>0.87</v>
      </c>
      <c r="DS175" s="228">
        <v>0.01</v>
      </c>
      <c r="DT175" s="229">
        <v>1.15E-2</v>
      </c>
      <c r="DU175" s="228">
        <v>300</v>
      </c>
      <c r="DV175" s="228">
        <v>300</v>
      </c>
      <c r="DW175" s="228">
        <v>0.68</v>
      </c>
      <c r="DX175" s="228">
        <v>0.62</v>
      </c>
      <c r="DY175" s="228">
        <v>0.06</v>
      </c>
      <c r="DZ175" s="229">
        <v>9.6799999999999997E-2</v>
      </c>
      <c r="EA175" s="229">
        <v>0.32519999999999999</v>
      </c>
      <c r="EB175" s="230">
        <v>8096250</v>
      </c>
      <c r="EC175" s="229">
        <v>5.7000000000000002E-3</v>
      </c>
      <c r="ED175" s="229">
        <v>0.32519999999999999</v>
      </c>
      <c r="EE175" s="228">
        <v>1.71</v>
      </c>
      <c r="EF175" s="229">
        <v>5.4999999999999997E-3</v>
      </c>
      <c r="EG175" s="230">
        <v>1292571</v>
      </c>
      <c r="EH175" s="230">
        <v>1736587</v>
      </c>
      <c r="EI175" s="229">
        <v>-0.25569999999999998</v>
      </c>
      <c r="EJ175" s="229">
        <v>0.39989999999999998</v>
      </c>
      <c r="EK175" s="228">
        <v>622.63</v>
      </c>
      <c r="EL175" s="228">
        <v>402.2</v>
      </c>
      <c r="EM175" s="228">
        <v>993.86</v>
      </c>
      <c r="EN175" s="228">
        <v>35.51</v>
      </c>
      <c r="EO175" s="231">
        <v>2018.7</v>
      </c>
      <c r="EP175" s="231">
        <v>2290.9899999999998</v>
      </c>
      <c r="EQ175" s="228">
        <v>-272.3</v>
      </c>
      <c r="ER175" s="229">
        <v>-0.11890000000000001</v>
      </c>
      <c r="ES175" s="228">
        <v>983.97</v>
      </c>
      <c r="ET175" s="228">
        <v>821.19</v>
      </c>
      <c r="EU175" s="231">
        <v>1878.07</v>
      </c>
      <c r="EV175" s="231">
        <v>92573471</v>
      </c>
      <c r="EW175" s="231">
        <v>3683.23</v>
      </c>
      <c r="EX175" s="231">
        <v>3659.11</v>
      </c>
      <c r="EY175" s="228">
        <v>24.12</v>
      </c>
      <c r="EZ175" s="229">
        <v>6.6E-3</v>
      </c>
      <c r="FA175" s="229">
        <v>1.2739</v>
      </c>
      <c r="FB175" s="227" t="s">
        <v>566</v>
      </c>
      <c r="FC175">
        <f t="shared" si="3"/>
        <v>0</v>
      </c>
    </row>
    <row r="176" spans="1:159" ht="17.25" thickBot="1" x14ac:dyDescent="0.3">
      <c r="A176" s="226">
        <v>46135</v>
      </c>
      <c r="B176" s="227" t="s">
        <v>175</v>
      </c>
      <c r="C176" s="227" t="s">
        <v>280</v>
      </c>
      <c r="D176" s="228">
        <v>1400</v>
      </c>
      <c r="E176" s="228">
        <v>5</v>
      </c>
      <c r="F176" s="228">
        <v>377.05</v>
      </c>
      <c r="G176" s="228">
        <v>383.95</v>
      </c>
      <c r="H176" s="228">
        <v>-6.9</v>
      </c>
      <c r="I176" s="229">
        <v>-1.7999999999999999E-2</v>
      </c>
      <c r="J176" s="228">
        <v>376.45</v>
      </c>
      <c r="K176" s="228">
        <v>383.35</v>
      </c>
      <c r="L176" s="228">
        <v>-6.9</v>
      </c>
      <c r="M176" s="229">
        <v>-1.7999999999999999E-2</v>
      </c>
      <c r="N176" s="228">
        <v>377.05</v>
      </c>
      <c r="O176" s="228">
        <v>383.95</v>
      </c>
      <c r="P176" s="228">
        <v>-6.9</v>
      </c>
      <c r="Q176" s="229">
        <v>-1.7999999999999999E-2</v>
      </c>
      <c r="R176" s="228">
        <v>379.05</v>
      </c>
      <c r="S176" s="228">
        <v>386</v>
      </c>
      <c r="T176" s="228">
        <v>-6.95</v>
      </c>
      <c r="U176" s="229">
        <v>-1.7999999999999999E-2</v>
      </c>
      <c r="V176" s="228">
        <v>381.3</v>
      </c>
      <c r="W176" s="228">
        <v>388.1</v>
      </c>
      <c r="X176" s="228">
        <v>-6.8</v>
      </c>
      <c r="Y176" s="229">
        <v>-1.7500000000000002E-2</v>
      </c>
      <c r="Z176" s="228">
        <v>0.6</v>
      </c>
      <c r="AA176" s="228">
        <v>0.6</v>
      </c>
      <c r="AB176" s="228">
        <v>0</v>
      </c>
      <c r="AC176" s="229">
        <v>1.6000000000000001E-3</v>
      </c>
      <c r="AD176" s="228">
        <v>0.6</v>
      </c>
      <c r="AE176" s="228">
        <v>0.6</v>
      </c>
      <c r="AF176" s="228">
        <v>0</v>
      </c>
      <c r="AG176" s="229">
        <v>1.6000000000000001E-3</v>
      </c>
      <c r="AH176" s="228">
        <v>2.6</v>
      </c>
      <c r="AI176" s="228">
        <v>2.65</v>
      </c>
      <c r="AJ176" s="228">
        <v>-0.05</v>
      </c>
      <c r="AK176" s="229">
        <v>6.8999999999999999E-3</v>
      </c>
      <c r="AL176" s="228">
        <v>4.8499999999999996</v>
      </c>
      <c r="AM176" s="228">
        <v>4.75</v>
      </c>
      <c r="AN176" s="228">
        <v>0.1</v>
      </c>
      <c r="AO176" s="229">
        <v>1.29E-2</v>
      </c>
      <c r="AP176" s="228">
        <v>379.48</v>
      </c>
      <c r="AQ176" s="228">
        <v>381.5</v>
      </c>
      <c r="AR176" s="228">
        <v>0</v>
      </c>
      <c r="AS176" s="228">
        <v>976</v>
      </c>
      <c r="AT176" s="228">
        <v>281</v>
      </c>
      <c r="AU176" s="228">
        <v>695</v>
      </c>
      <c r="AV176" s="229">
        <v>2.4706000000000001</v>
      </c>
      <c r="AW176" s="228">
        <v>482</v>
      </c>
      <c r="AX176" s="228">
        <v>174</v>
      </c>
      <c r="AY176" s="228">
        <v>308</v>
      </c>
      <c r="AZ176" s="229">
        <v>1.7670999999999999</v>
      </c>
      <c r="BA176" s="228">
        <v>471</v>
      </c>
      <c r="BB176" s="228">
        <v>98</v>
      </c>
      <c r="BC176" s="228">
        <v>373</v>
      </c>
      <c r="BD176" s="229">
        <v>3.802</v>
      </c>
      <c r="BE176" s="228">
        <v>23</v>
      </c>
      <c r="BF176" s="228">
        <v>9</v>
      </c>
      <c r="BG176" s="228">
        <v>14</v>
      </c>
      <c r="BH176" s="229">
        <v>1.5723</v>
      </c>
      <c r="BI176" s="228">
        <v>826</v>
      </c>
      <c r="BJ176" s="228">
        <v>892</v>
      </c>
      <c r="BK176" s="228">
        <v>-66</v>
      </c>
      <c r="BL176" s="229">
        <v>-7.4300000000000005E-2</v>
      </c>
      <c r="BM176" s="228">
        <v>472</v>
      </c>
      <c r="BN176" s="228">
        <v>647</v>
      </c>
      <c r="BO176" s="228">
        <v>-175</v>
      </c>
      <c r="BP176" s="229">
        <v>-0.26989999999999997</v>
      </c>
      <c r="BQ176" s="230">
        <v>2274</v>
      </c>
      <c r="BR176" s="230">
        <v>1820</v>
      </c>
      <c r="BS176" s="228">
        <v>454</v>
      </c>
      <c r="BT176" s="229">
        <v>0.2495</v>
      </c>
      <c r="BU176" s="230">
        <v>7223287</v>
      </c>
      <c r="BV176" s="230">
        <v>5629335</v>
      </c>
      <c r="BW176" s="230">
        <v>1593952</v>
      </c>
      <c r="BX176" s="229">
        <v>0.28320000000000001</v>
      </c>
      <c r="BY176" s="230">
        <v>2548</v>
      </c>
      <c r="BZ176" s="230">
        <v>2485</v>
      </c>
      <c r="CA176" s="228">
        <v>63</v>
      </c>
      <c r="CB176" s="229">
        <v>2.53E-2</v>
      </c>
      <c r="CC176" s="230">
        <v>1608</v>
      </c>
      <c r="CD176" s="230">
        <v>1926</v>
      </c>
      <c r="CE176" s="228">
        <v>-317</v>
      </c>
      <c r="CF176" s="229">
        <v>-0.16470000000000001</v>
      </c>
      <c r="CG176" s="228">
        <v>848</v>
      </c>
      <c r="CH176" s="228">
        <v>483</v>
      </c>
      <c r="CI176" s="228">
        <v>365</v>
      </c>
      <c r="CJ176" s="229">
        <v>0.75639999999999996</v>
      </c>
      <c r="CK176" s="228">
        <v>91</v>
      </c>
      <c r="CL176" s="228">
        <v>76</v>
      </c>
      <c r="CM176" s="228">
        <v>15</v>
      </c>
      <c r="CN176" s="229">
        <v>0.1963</v>
      </c>
      <c r="CO176" s="230">
        <v>1092</v>
      </c>
      <c r="CP176" s="230">
        <v>1081</v>
      </c>
      <c r="CQ176" s="228">
        <v>11</v>
      </c>
      <c r="CR176" s="229">
        <v>1.0200000000000001E-2</v>
      </c>
      <c r="CS176" s="228">
        <v>906</v>
      </c>
      <c r="CT176" s="228">
        <v>965</v>
      </c>
      <c r="CU176" s="228">
        <v>-59</v>
      </c>
      <c r="CV176" s="229">
        <v>-6.1600000000000002E-2</v>
      </c>
      <c r="CW176" s="230">
        <v>4546</v>
      </c>
      <c r="CX176" s="230">
        <v>4531</v>
      </c>
      <c r="CY176" s="228">
        <v>15</v>
      </c>
      <c r="CZ176" s="229">
        <v>3.2000000000000002E-3</v>
      </c>
      <c r="DA176" s="228">
        <v>32.700000000000003</v>
      </c>
      <c r="DB176" s="228">
        <v>34.020000000000003</v>
      </c>
      <c r="DC176" s="228">
        <v>-1.32</v>
      </c>
      <c r="DD176" s="228">
        <v>-1.32</v>
      </c>
      <c r="DE176" s="228">
        <v>42.54</v>
      </c>
      <c r="DF176" s="228">
        <v>42.58</v>
      </c>
      <c r="DG176" s="228">
        <v>-9.84</v>
      </c>
      <c r="DH176" s="228">
        <v>-0.04</v>
      </c>
      <c r="DI176" s="228">
        <v>32.74</v>
      </c>
      <c r="DJ176" s="228">
        <v>31.22</v>
      </c>
      <c r="DK176" s="228">
        <v>1.52</v>
      </c>
      <c r="DL176" s="228">
        <v>1.52</v>
      </c>
      <c r="DM176" s="228">
        <v>32.64</v>
      </c>
      <c r="DN176" s="228">
        <v>37.869999999999997</v>
      </c>
      <c r="DO176" s="228">
        <v>-5.23</v>
      </c>
      <c r="DP176" s="228">
        <v>-5.23</v>
      </c>
      <c r="DQ176" s="228">
        <v>0.83</v>
      </c>
      <c r="DR176" s="228">
        <v>0.89</v>
      </c>
      <c r="DS176" s="228">
        <v>-0.06</v>
      </c>
      <c r="DT176" s="229">
        <v>-6.7400000000000002E-2</v>
      </c>
      <c r="DU176" s="228">
        <v>400</v>
      </c>
      <c r="DV176" s="228">
        <v>380</v>
      </c>
      <c r="DW176" s="228">
        <v>0.56999999999999995</v>
      </c>
      <c r="DX176" s="228">
        <v>0.73</v>
      </c>
      <c r="DY176" s="228">
        <v>-0.16</v>
      </c>
      <c r="DZ176" s="229">
        <v>-0.21920000000000001</v>
      </c>
      <c r="EA176" s="229">
        <v>0.36870000000000003</v>
      </c>
      <c r="EB176" s="230">
        <v>14826000</v>
      </c>
      <c r="EC176" s="229">
        <v>5.3E-3</v>
      </c>
      <c r="ED176" s="229">
        <v>0.36870000000000003</v>
      </c>
      <c r="EE176" s="228">
        <v>2.02</v>
      </c>
      <c r="EF176" s="229">
        <v>5.3E-3</v>
      </c>
      <c r="EG176" s="230">
        <v>4169855</v>
      </c>
      <c r="EH176" s="230">
        <v>2854283</v>
      </c>
      <c r="EI176" s="229">
        <v>0.46089999999999998</v>
      </c>
      <c r="EJ176" s="229">
        <v>0.57730000000000004</v>
      </c>
      <c r="EK176" s="228">
        <v>861.99</v>
      </c>
      <c r="EL176" s="228">
        <v>462</v>
      </c>
      <c r="EM176" s="228">
        <v>985.36</v>
      </c>
      <c r="EN176" s="228">
        <v>95.12</v>
      </c>
      <c r="EO176" s="231">
        <v>2309.35</v>
      </c>
      <c r="EP176" s="231">
        <v>1854.04</v>
      </c>
      <c r="EQ176" s="228">
        <v>455.3</v>
      </c>
      <c r="ER176" s="229">
        <v>0.24560000000000001</v>
      </c>
      <c r="ES176" s="231">
        <v>1067.58</v>
      </c>
      <c r="ET176" s="228">
        <v>832.8</v>
      </c>
      <c r="EU176" s="231">
        <v>2553.2399999999998</v>
      </c>
      <c r="EV176" s="231">
        <v>187084550</v>
      </c>
      <c r="EW176" s="231">
        <v>4453.62</v>
      </c>
      <c r="EX176" s="231">
        <v>4475.7</v>
      </c>
      <c r="EY176" s="228">
        <v>-22.08</v>
      </c>
      <c r="EZ176" s="229">
        <v>-4.8999999999999998E-3</v>
      </c>
      <c r="FA176" s="229">
        <v>0.64439999999999997</v>
      </c>
      <c r="FB176" s="227" t="s">
        <v>566</v>
      </c>
      <c r="FC176">
        <f t="shared" si="3"/>
        <v>0</v>
      </c>
    </row>
    <row r="177" spans="1:159" ht="17.25" thickBot="1" x14ac:dyDescent="0.3">
      <c r="A177" s="226">
        <v>46135</v>
      </c>
      <c r="B177" s="227" t="s">
        <v>193</v>
      </c>
      <c r="C177" s="227" t="s">
        <v>281</v>
      </c>
      <c r="D177" s="228">
        <v>500</v>
      </c>
      <c r="E177" s="228">
        <v>5</v>
      </c>
      <c r="F177" s="231">
        <v>1344.3</v>
      </c>
      <c r="G177" s="231">
        <v>1362.1</v>
      </c>
      <c r="H177" s="228">
        <v>-17.8</v>
      </c>
      <c r="I177" s="229">
        <v>-1.3100000000000001E-2</v>
      </c>
      <c r="J177" s="231">
        <v>1343.4</v>
      </c>
      <c r="K177" s="231">
        <v>1362.1</v>
      </c>
      <c r="L177" s="228">
        <v>-18.7</v>
      </c>
      <c r="M177" s="229">
        <v>-1.37E-2</v>
      </c>
      <c r="N177" s="231">
        <v>1344.3</v>
      </c>
      <c r="O177" s="231">
        <v>1362.1</v>
      </c>
      <c r="P177" s="228">
        <v>-17.8</v>
      </c>
      <c r="Q177" s="229">
        <v>-1.3100000000000001E-2</v>
      </c>
      <c r="R177" s="231">
        <v>1351.6</v>
      </c>
      <c r="S177" s="231">
        <v>1369.5</v>
      </c>
      <c r="T177" s="228">
        <v>-17.899999999999999</v>
      </c>
      <c r="U177" s="229">
        <v>-1.3100000000000001E-2</v>
      </c>
      <c r="V177" s="231">
        <v>1360.2</v>
      </c>
      <c r="W177" s="231">
        <v>1377.7</v>
      </c>
      <c r="X177" s="228">
        <v>-17.5</v>
      </c>
      <c r="Y177" s="229">
        <v>-1.2699999999999999E-2</v>
      </c>
      <c r="Z177" s="228">
        <v>0.9</v>
      </c>
      <c r="AA177" s="228">
        <v>0</v>
      </c>
      <c r="AB177" s="228">
        <v>0.9</v>
      </c>
      <c r="AC177" s="229">
        <v>6.9999999999999999E-4</v>
      </c>
      <c r="AD177" s="228">
        <v>0.9</v>
      </c>
      <c r="AE177" s="228">
        <v>0</v>
      </c>
      <c r="AF177" s="228">
        <v>0.9</v>
      </c>
      <c r="AG177" s="229">
        <v>6.9999999999999999E-4</v>
      </c>
      <c r="AH177" s="228">
        <v>8.1999999999999993</v>
      </c>
      <c r="AI177" s="228">
        <v>7.4</v>
      </c>
      <c r="AJ177" s="228">
        <v>0.8</v>
      </c>
      <c r="AK177" s="229">
        <v>6.1000000000000004E-3</v>
      </c>
      <c r="AL177" s="228">
        <v>16.8</v>
      </c>
      <c r="AM177" s="228">
        <v>15.6</v>
      </c>
      <c r="AN177" s="228">
        <v>1.2</v>
      </c>
      <c r="AO177" s="229">
        <v>1.2500000000000001E-2</v>
      </c>
      <c r="AP177" s="231">
        <v>1349.45</v>
      </c>
      <c r="AQ177" s="231">
        <v>1357.26</v>
      </c>
      <c r="AR177" s="228">
        <v>0</v>
      </c>
      <c r="AS177" s="230">
        <v>5385</v>
      </c>
      <c r="AT177" s="230">
        <v>2298</v>
      </c>
      <c r="AU177" s="230">
        <v>3086</v>
      </c>
      <c r="AV177" s="229">
        <v>1.3429</v>
      </c>
      <c r="AW177" s="230">
        <v>2720</v>
      </c>
      <c r="AX177" s="230">
        <v>1482</v>
      </c>
      <c r="AY177" s="230">
        <v>1238</v>
      </c>
      <c r="AZ177" s="229">
        <v>0.83540000000000003</v>
      </c>
      <c r="BA177" s="230">
        <v>1994</v>
      </c>
      <c r="BB177" s="228">
        <v>570</v>
      </c>
      <c r="BC177" s="230">
        <v>1424</v>
      </c>
      <c r="BD177" s="229">
        <v>2.4963000000000002</v>
      </c>
      <c r="BE177" s="228">
        <v>671</v>
      </c>
      <c r="BF177" s="228">
        <v>246</v>
      </c>
      <c r="BG177" s="228">
        <v>425</v>
      </c>
      <c r="BH177" s="229">
        <v>1.7265999999999999</v>
      </c>
      <c r="BI177" s="230">
        <v>10018</v>
      </c>
      <c r="BJ177" s="230">
        <v>9411</v>
      </c>
      <c r="BK177" s="228">
        <v>607</v>
      </c>
      <c r="BL177" s="229">
        <v>6.4500000000000002E-2</v>
      </c>
      <c r="BM177" s="230">
        <v>6920</v>
      </c>
      <c r="BN177" s="230">
        <v>5439</v>
      </c>
      <c r="BO177" s="230">
        <v>1481</v>
      </c>
      <c r="BP177" s="229">
        <v>0.27239999999999998</v>
      </c>
      <c r="BQ177" s="230">
        <v>22323</v>
      </c>
      <c r="BR177" s="230">
        <v>17149</v>
      </c>
      <c r="BS177" s="230">
        <v>5174</v>
      </c>
      <c r="BT177" s="229">
        <v>0.30170000000000002</v>
      </c>
      <c r="BU177" s="230">
        <v>19629031</v>
      </c>
      <c r="BV177" s="230">
        <v>9945109</v>
      </c>
      <c r="BW177" s="230">
        <v>9683922</v>
      </c>
      <c r="BX177" s="229">
        <v>0.97370000000000001</v>
      </c>
      <c r="BY177" s="230">
        <v>14020</v>
      </c>
      <c r="BZ177" s="230">
        <v>13646</v>
      </c>
      <c r="CA177" s="228">
        <v>375</v>
      </c>
      <c r="CB177" s="229">
        <v>2.75E-2</v>
      </c>
      <c r="CC177" s="230">
        <v>7168</v>
      </c>
      <c r="CD177" s="230">
        <v>9199</v>
      </c>
      <c r="CE177" s="230">
        <v>-2031</v>
      </c>
      <c r="CF177" s="229">
        <v>-0.2208</v>
      </c>
      <c r="CG177" s="230">
        <v>5254</v>
      </c>
      <c r="CH177" s="230">
        <v>3485</v>
      </c>
      <c r="CI177" s="230">
        <v>1768</v>
      </c>
      <c r="CJ177" s="229">
        <v>0.50739999999999996</v>
      </c>
      <c r="CK177" s="230">
        <v>1599</v>
      </c>
      <c r="CL177" s="228">
        <v>961</v>
      </c>
      <c r="CM177" s="228">
        <v>638</v>
      </c>
      <c r="CN177" s="229">
        <v>0.66349999999999998</v>
      </c>
      <c r="CO177" s="230">
        <v>10917</v>
      </c>
      <c r="CP177" s="230">
        <v>10493</v>
      </c>
      <c r="CQ177" s="228">
        <v>424</v>
      </c>
      <c r="CR177" s="229">
        <v>4.0399999999999998E-2</v>
      </c>
      <c r="CS177" s="230">
        <v>5563</v>
      </c>
      <c r="CT177" s="230">
        <v>5173</v>
      </c>
      <c r="CU177" s="228">
        <v>390</v>
      </c>
      <c r="CV177" s="229">
        <v>7.5399999999999995E-2</v>
      </c>
      <c r="CW177" s="230">
        <v>30500</v>
      </c>
      <c r="CX177" s="230">
        <v>29311</v>
      </c>
      <c r="CY177" s="230">
        <v>1189</v>
      </c>
      <c r="CZ177" s="229">
        <v>4.0599999999999997E-2</v>
      </c>
      <c r="DA177" s="228">
        <v>28.3</v>
      </c>
      <c r="DB177" s="228">
        <v>28.4</v>
      </c>
      <c r="DC177" s="228">
        <v>-0.1</v>
      </c>
      <c r="DD177" s="228">
        <v>-0.1</v>
      </c>
      <c r="DE177" s="228">
        <v>26.31</v>
      </c>
      <c r="DF177" s="228">
        <v>26.3</v>
      </c>
      <c r="DG177" s="228">
        <v>1.99</v>
      </c>
      <c r="DH177" s="228">
        <v>0.01</v>
      </c>
      <c r="DI177" s="228">
        <v>28.34</v>
      </c>
      <c r="DJ177" s="228">
        <v>28.3</v>
      </c>
      <c r="DK177" s="228">
        <v>0.04</v>
      </c>
      <c r="DL177" s="228">
        <v>0.04</v>
      </c>
      <c r="DM177" s="228">
        <v>28.23</v>
      </c>
      <c r="DN177" s="228">
        <v>28.57</v>
      </c>
      <c r="DO177" s="228">
        <v>-0.34</v>
      </c>
      <c r="DP177" s="228">
        <v>-0.34</v>
      </c>
      <c r="DQ177" s="228">
        <v>0.51</v>
      </c>
      <c r="DR177" s="228">
        <v>0.49</v>
      </c>
      <c r="DS177" s="228">
        <v>0.02</v>
      </c>
      <c r="DT177" s="229">
        <v>4.0800000000000003E-2</v>
      </c>
      <c r="DU177" s="231">
        <v>1400</v>
      </c>
      <c r="DV177" s="231">
        <v>1300</v>
      </c>
      <c r="DW177" s="228">
        <v>0.69</v>
      </c>
      <c r="DX177" s="228">
        <v>0.57999999999999996</v>
      </c>
      <c r="DY177" s="228">
        <v>0.11</v>
      </c>
      <c r="DZ177" s="229">
        <v>0.18970000000000001</v>
      </c>
      <c r="EA177" s="229">
        <v>0.48880000000000001</v>
      </c>
      <c r="EB177" s="230">
        <v>33077500</v>
      </c>
      <c r="EC177" s="229">
        <v>5.4000000000000003E-3</v>
      </c>
      <c r="ED177" s="229">
        <v>0.48880000000000001</v>
      </c>
      <c r="EE177" s="228">
        <v>7.81</v>
      </c>
      <c r="EF177" s="229">
        <v>5.7999999999999996E-3</v>
      </c>
      <c r="EG177" s="230">
        <v>9226674</v>
      </c>
      <c r="EH177" s="230">
        <v>6120499</v>
      </c>
      <c r="EI177" s="229">
        <v>0.50749999999999995</v>
      </c>
      <c r="EJ177" s="229">
        <v>0.47010000000000002</v>
      </c>
      <c r="EK177" s="231">
        <v>10513.18</v>
      </c>
      <c r="EL177" s="231">
        <v>6910.72</v>
      </c>
      <c r="EM177" s="231">
        <v>5424.15</v>
      </c>
      <c r="EN177" s="228">
        <v>310.07</v>
      </c>
      <c r="EO177" s="231">
        <v>22848.05</v>
      </c>
      <c r="EP177" s="231">
        <v>17646.169999999998</v>
      </c>
      <c r="EQ177" s="231">
        <v>5201.88</v>
      </c>
      <c r="ER177" s="229">
        <v>0.29480000000000001</v>
      </c>
      <c r="ES177" s="231">
        <v>11363.24</v>
      </c>
      <c r="ET177" s="231">
        <v>5565.3</v>
      </c>
      <c r="EU177" s="231">
        <v>14067.89</v>
      </c>
      <c r="EV177" s="231">
        <v>664381721</v>
      </c>
      <c r="EW177" s="231">
        <v>30996.43</v>
      </c>
      <c r="EX177" s="231">
        <v>29991.45</v>
      </c>
      <c r="EY177" s="231">
        <v>1004.98</v>
      </c>
      <c r="EZ177" s="229">
        <v>3.3500000000000002E-2</v>
      </c>
      <c r="FA177" s="229">
        <v>0.34150000000000003</v>
      </c>
      <c r="FB177" s="227" t="s">
        <v>566</v>
      </c>
      <c r="FC177">
        <f t="shared" si="3"/>
        <v>0</v>
      </c>
    </row>
    <row r="178" spans="1:159" ht="17.25" thickBot="1" x14ac:dyDescent="0.3">
      <c r="A178" s="226">
        <v>46135</v>
      </c>
      <c r="B178" s="227" t="s">
        <v>215</v>
      </c>
      <c r="C178" s="227" t="s">
        <v>673</v>
      </c>
      <c r="D178" s="228">
        <v>1525</v>
      </c>
      <c r="E178" s="228">
        <v>5</v>
      </c>
      <c r="F178" s="228">
        <v>307.06</v>
      </c>
      <c r="G178" s="228">
        <v>306.55</v>
      </c>
      <c r="H178" s="228">
        <v>0.51</v>
      </c>
      <c r="I178" s="229">
        <v>1.6999999999999999E-3</v>
      </c>
      <c r="J178" s="228">
        <v>307.20999999999998</v>
      </c>
      <c r="K178" s="228">
        <v>307.41000000000003</v>
      </c>
      <c r="L178" s="228">
        <v>-0.2</v>
      </c>
      <c r="M178" s="229">
        <v>-6.9999999999999999E-4</v>
      </c>
      <c r="N178" s="228">
        <v>307.06</v>
      </c>
      <c r="O178" s="228">
        <v>306.55</v>
      </c>
      <c r="P178" s="228">
        <v>0.51</v>
      </c>
      <c r="Q178" s="229">
        <v>1.6999999999999999E-3</v>
      </c>
      <c r="R178" s="228">
        <v>288.56</v>
      </c>
      <c r="S178" s="228">
        <v>293.25</v>
      </c>
      <c r="T178" s="228">
        <v>-4.6900000000000004</v>
      </c>
      <c r="U178" s="229">
        <v>-1.6E-2</v>
      </c>
      <c r="V178" s="228">
        <v>279.37</v>
      </c>
      <c r="W178" s="228">
        <v>285.93</v>
      </c>
      <c r="X178" s="228">
        <v>-6.56</v>
      </c>
      <c r="Y178" s="229">
        <v>-2.29E-2</v>
      </c>
      <c r="Z178" s="228">
        <v>-0.15</v>
      </c>
      <c r="AA178" s="228">
        <v>-0.86</v>
      </c>
      <c r="AB178" s="228">
        <v>0.71</v>
      </c>
      <c r="AC178" s="229">
        <v>-5.0000000000000001E-4</v>
      </c>
      <c r="AD178" s="228">
        <v>-0.15</v>
      </c>
      <c r="AE178" s="228">
        <v>-0.86</v>
      </c>
      <c r="AF178" s="228">
        <v>0.71</v>
      </c>
      <c r="AG178" s="229">
        <v>-5.0000000000000001E-4</v>
      </c>
      <c r="AH178" s="228">
        <v>-18.649999999999999</v>
      </c>
      <c r="AI178" s="228">
        <v>-14.16</v>
      </c>
      <c r="AJ178" s="228">
        <v>-4.49</v>
      </c>
      <c r="AK178" s="229">
        <v>-6.0699999999999997E-2</v>
      </c>
      <c r="AL178" s="228">
        <v>-27.84</v>
      </c>
      <c r="AM178" s="228">
        <v>-21.48</v>
      </c>
      <c r="AN178" s="228">
        <v>-6.36</v>
      </c>
      <c r="AO178" s="229">
        <v>-9.06E-2</v>
      </c>
      <c r="AP178" s="228">
        <v>307.32</v>
      </c>
      <c r="AQ178" s="228">
        <v>288.74</v>
      </c>
      <c r="AR178" s="228">
        <v>0</v>
      </c>
      <c r="AS178" s="230">
        <v>1756</v>
      </c>
      <c r="AT178" s="228">
        <v>487</v>
      </c>
      <c r="AU178" s="230">
        <v>1269</v>
      </c>
      <c r="AV178" s="229">
        <v>2.6078999999999999</v>
      </c>
      <c r="AW178" s="228">
        <v>871</v>
      </c>
      <c r="AX178" s="228">
        <v>274</v>
      </c>
      <c r="AY178" s="228">
        <v>598</v>
      </c>
      <c r="AZ178" s="229">
        <v>2.1848999999999998</v>
      </c>
      <c r="BA178" s="228">
        <v>859</v>
      </c>
      <c r="BB178" s="228">
        <v>197</v>
      </c>
      <c r="BC178" s="228">
        <v>662</v>
      </c>
      <c r="BD178" s="229">
        <v>3.3671000000000002</v>
      </c>
      <c r="BE178" s="228">
        <v>26</v>
      </c>
      <c r="BF178" s="228">
        <v>16</v>
      </c>
      <c r="BG178" s="228">
        <v>9</v>
      </c>
      <c r="BH178" s="229">
        <v>0.56530000000000002</v>
      </c>
      <c r="BI178" s="230">
        <v>1085</v>
      </c>
      <c r="BJ178" s="230">
        <v>1490</v>
      </c>
      <c r="BK178" s="228">
        <v>-405</v>
      </c>
      <c r="BL178" s="229">
        <v>-0.27200000000000002</v>
      </c>
      <c r="BM178" s="228">
        <v>446</v>
      </c>
      <c r="BN178" s="228">
        <v>418</v>
      </c>
      <c r="BO178" s="228">
        <v>29</v>
      </c>
      <c r="BP178" s="229">
        <v>6.9000000000000006E-2</v>
      </c>
      <c r="BQ178" s="230">
        <v>3287</v>
      </c>
      <c r="BR178" s="230">
        <v>2394</v>
      </c>
      <c r="BS178" s="228">
        <v>893</v>
      </c>
      <c r="BT178" s="229">
        <v>0.37290000000000001</v>
      </c>
      <c r="BU178" s="230">
        <v>12842407</v>
      </c>
      <c r="BV178" s="230">
        <v>10614580</v>
      </c>
      <c r="BW178" s="230">
        <v>2227827</v>
      </c>
      <c r="BX178" s="229">
        <v>0.2099</v>
      </c>
      <c r="BY178" s="230">
        <v>1851</v>
      </c>
      <c r="BZ178" s="230">
        <v>2187</v>
      </c>
      <c r="CA178" s="228">
        <v>-336</v>
      </c>
      <c r="CB178" s="229">
        <v>-0.15359999999999999</v>
      </c>
      <c r="CC178" s="228">
        <v>864</v>
      </c>
      <c r="CD178" s="230">
        <v>1511</v>
      </c>
      <c r="CE178" s="228">
        <v>-646</v>
      </c>
      <c r="CF178" s="229">
        <v>-0.4279</v>
      </c>
      <c r="CG178" s="228">
        <v>912</v>
      </c>
      <c r="CH178" s="228">
        <v>613</v>
      </c>
      <c r="CI178" s="228">
        <v>299</v>
      </c>
      <c r="CJ178" s="229">
        <v>0.48820000000000002</v>
      </c>
      <c r="CK178" s="228">
        <v>75</v>
      </c>
      <c r="CL178" s="228">
        <v>63</v>
      </c>
      <c r="CM178" s="228">
        <v>11</v>
      </c>
      <c r="CN178" s="229">
        <v>0.18090000000000001</v>
      </c>
      <c r="CO178" s="228">
        <v>709</v>
      </c>
      <c r="CP178" s="228">
        <v>691</v>
      </c>
      <c r="CQ178" s="228">
        <v>19</v>
      </c>
      <c r="CR178" s="229">
        <v>2.6800000000000001E-2</v>
      </c>
      <c r="CS178" s="228">
        <v>525</v>
      </c>
      <c r="CT178" s="228">
        <v>515</v>
      </c>
      <c r="CU178" s="228">
        <v>10</v>
      </c>
      <c r="CV178" s="229">
        <v>1.9599999999999999E-2</v>
      </c>
      <c r="CW178" s="230">
        <v>3086</v>
      </c>
      <c r="CX178" s="230">
        <v>3393</v>
      </c>
      <c r="CY178" s="228">
        <v>-307</v>
      </c>
      <c r="CZ178" s="229">
        <v>-9.06E-2</v>
      </c>
      <c r="DA178" s="228">
        <v>54.04</v>
      </c>
      <c r="DB178" s="228">
        <v>40.53</v>
      </c>
      <c r="DC178" s="228">
        <v>13.51</v>
      </c>
      <c r="DD178" s="228">
        <v>13.51</v>
      </c>
      <c r="DE178" s="228">
        <v>57.98</v>
      </c>
      <c r="DF178" s="228">
        <v>58.12</v>
      </c>
      <c r="DG178" s="228">
        <v>-3.94</v>
      </c>
      <c r="DH178" s="228">
        <v>-0.14000000000000001</v>
      </c>
      <c r="DI178" s="228">
        <v>54.49</v>
      </c>
      <c r="DJ178" s="228">
        <v>39.81</v>
      </c>
      <c r="DK178" s="228">
        <v>14.68</v>
      </c>
      <c r="DL178" s="228">
        <v>14.68</v>
      </c>
      <c r="DM178" s="228">
        <v>52.52</v>
      </c>
      <c r="DN178" s="228">
        <v>43.09</v>
      </c>
      <c r="DO178" s="228">
        <v>9.43</v>
      </c>
      <c r="DP178" s="228">
        <v>9.43</v>
      </c>
      <c r="DQ178" s="228">
        <v>0.74</v>
      </c>
      <c r="DR178" s="228">
        <v>0.75</v>
      </c>
      <c r="DS178" s="228">
        <v>-0.01</v>
      </c>
      <c r="DT178" s="229">
        <v>-1.3299999999999999E-2</v>
      </c>
      <c r="DU178" s="228">
        <v>320</v>
      </c>
      <c r="DV178" s="228">
        <v>300</v>
      </c>
      <c r="DW178" s="228">
        <v>0.41</v>
      </c>
      <c r="DX178" s="228">
        <v>0.28000000000000003</v>
      </c>
      <c r="DY178" s="228">
        <v>0.13</v>
      </c>
      <c r="DZ178" s="229">
        <v>0.46429999999999999</v>
      </c>
      <c r="EA178" s="229">
        <v>0.53300000000000003</v>
      </c>
      <c r="EB178" s="230">
        <v>22013375</v>
      </c>
      <c r="EC178" s="229">
        <v>-6.0199999999999997E-2</v>
      </c>
      <c r="ED178" s="229">
        <v>0.53300000000000003</v>
      </c>
      <c r="EE178" s="228">
        <v>-18.579999999999998</v>
      </c>
      <c r="EF178" s="229">
        <v>-6.0499999999999998E-2</v>
      </c>
      <c r="EG178" s="230">
        <v>2476006</v>
      </c>
      <c r="EH178" s="230">
        <v>3205197</v>
      </c>
      <c r="EI178" s="229">
        <v>-0.22750000000000001</v>
      </c>
      <c r="EJ178" s="229">
        <v>0.1928</v>
      </c>
      <c r="EK178" s="231">
        <v>1136.6199999999999</v>
      </c>
      <c r="EL178" s="228">
        <v>430.97</v>
      </c>
      <c r="EM178" s="231">
        <v>1703.27</v>
      </c>
      <c r="EN178" s="228">
        <v>103.24</v>
      </c>
      <c r="EO178" s="231">
        <v>3270.86</v>
      </c>
      <c r="EP178" s="231">
        <v>2410.98</v>
      </c>
      <c r="EQ178" s="228">
        <v>859.89</v>
      </c>
      <c r="ER178" s="229">
        <v>0.35670000000000002</v>
      </c>
      <c r="ES178" s="228">
        <v>707.84</v>
      </c>
      <c r="ET178" s="228">
        <v>476.95</v>
      </c>
      <c r="EU178" s="231">
        <v>1789.1</v>
      </c>
      <c r="EV178" s="231">
        <v>84941460</v>
      </c>
      <c r="EW178" s="231">
        <v>2973.9</v>
      </c>
      <c r="EX178" s="231">
        <v>3306.5</v>
      </c>
      <c r="EY178" s="228">
        <v>-332.6</v>
      </c>
      <c r="EZ178" s="229">
        <v>-0.10059999999999999</v>
      </c>
      <c r="FA178" s="229">
        <v>1.1830000000000001</v>
      </c>
      <c r="FB178" s="227" t="s">
        <v>693</v>
      </c>
      <c r="FC178">
        <f t="shared" si="3"/>
        <v>0</v>
      </c>
    </row>
    <row r="179" spans="1:159" ht="17.25" thickBot="1" x14ac:dyDescent="0.3">
      <c r="A179" s="226">
        <v>46135</v>
      </c>
      <c r="B179" s="227" t="s">
        <v>227</v>
      </c>
      <c r="C179" s="227" t="s">
        <v>282</v>
      </c>
      <c r="D179" s="228">
        <v>4700</v>
      </c>
      <c r="E179" s="228">
        <v>5</v>
      </c>
      <c r="F179" s="228">
        <v>176.57</v>
      </c>
      <c r="G179" s="228">
        <v>175.95</v>
      </c>
      <c r="H179" s="228">
        <v>0.62</v>
      </c>
      <c r="I179" s="229">
        <v>3.5000000000000001E-3</v>
      </c>
      <c r="J179" s="228">
        <v>176.45</v>
      </c>
      <c r="K179" s="228">
        <v>176.23</v>
      </c>
      <c r="L179" s="228">
        <v>0.22</v>
      </c>
      <c r="M179" s="229">
        <v>1.1999999999999999E-3</v>
      </c>
      <c r="N179" s="228">
        <v>176.57</v>
      </c>
      <c r="O179" s="228">
        <v>175.95</v>
      </c>
      <c r="P179" s="228">
        <v>0.62</v>
      </c>
      <c r="Q179" s="229">
        <v>3.5000000000000001E-3</v>
      </c>
      <c r="R179" s="228">
        <v>176.83</v>
      </c>
      <c r="S179" s="228">
        <v>177</v>
      </c>
      <c r="T179" s="228">
        <v>-0.17</v>
      </c>
      <c r="U179" s="229">
        <v>-1E-3</v>
      </c>
      <c r="V179" s="228">
        <v>178.69</v>
      </c>
      <c r="W179" s="228">
        <v>178.69</v>
      </c>
      <c r="X179" s="228">
        <v>0</v>
      </c>
      <c r="Y179" s="229">
        <v>0</v>
      </c>
      <c r="Z179" s="228">
        <v>0.12</v>
      </c>
      <c r="AA179" s="228">
        <v>-0.28000000000000003</v>
      </c>
      <c r="AB179" s="228">
        <v>0.4</v>
      </c>
      <c r="AC179" s="229">
        <v>6.9999999999999999E-4</v>
      </c>
      <c r="AD179" s="228">
        <v>0.12</v>
      </c>
      <c r="AE179" s="228">
        <v>-0.28000000000000003</v>
      </c>
      <c r="AF179" s="228">
        <v>0.4</v>
      </c>
      <c r="AG179" s="229">
        <v>6.9999999999999999E-4</v>
      </c>
      <c r="AH179" s="228">
        <v>0.38</v>
      </c>
      <c r="AI179" s="228">
        <v>0.77</v>
      </c>
      <c r="AJ179" s="228">
        <v>-0.39</v>
      </c>
      <c r="AK179" s="229">
        <v>2.2000000000000001E-3</v>
      </c>
      <c r="AL179" s="228">
        <v>2.2400000000000002</v>
      </c>
      <c r="AM179" s="228">
        <v>2.46</v>
      </c>
      <c r="AN179" s="228">
        <v>-0.22</v>
      </c>
      <c r="AO179" s="229">
        <v>1.2699999999999999E-2</v>
      </c>
      <c r="AP179" s="228">
        <v>175.89</v>
      </c>
      <c r="AQ179" s="228">
        <v>176.59</v>
      </c>
      <c r="AR179" s="228">
        <v>0</v>
      </c>
      <c r="AS179" s="228">
        <v>170</v>
      </c>
      <c r="AT179" s="228">
        <v>59</v>
      </c>
      <c r="AU179" s="228">
        <v>111</v>
      </c>
      <c r="AV179" s="229">
        <v>1.9035</v>
      </c>
      <c r="AW179" s="228">
        <v>103</v>
      </c>
      <c r="AX179" s="228">
        <v>58</v>
      </c>
      <c r="AY179" s="228">
        <v>46</v>
      </c>
      <c r="AZ179" s="229">
        <v>0.79510000000000003</v>
      </c>
      <c r="BA179" s="228">
        <v>67</v>
      </c>
      <c r="BB179" s="228">
        <v>1</v>
      </c>
      <c r="BC179" s="228">
        <v>66</v>
      </c>
      <c r="BD179" s="229">
        <v>72</v>
      </c>
      <c r="BE179" s="228">
        <v>0</v>
      </c>
      <c r="BF179" s="228">
        <v>0</v>
      </c>
      <c r="BG179" s="228">
        <v>0</v>
      </c>
      <c r="BH179" s="229">
        <v>-1</v>
      </c>
      <c r="BI179" s="228">
        <v>17</v>
      </c>
      <c r="BJ179" s="228">
        <v>14</v>
      </c>
      <c r="BK179" s="228">
        <v>3</v>
      </c>
      <c r="BL179" s="229">
        <v>0.2364</v>
      </c>
      <c r="BM179" s="228">
        <v>12</v>
      </c>
      <c r="BN179" s="228">
        <v>10</v>
      </c>
      <c r="BO179" s="228">
        <v>1</v>
      </c>
      <c r="BP179" s="229">
        <v>0.112</v>
      </c>
      <c r="BQ179" s="228">
        <v>198</v>
      </c>
      <c r="BR179" s="228">
        <v>83</v>
      </c>
      <c r="BS179" s="228">
        <v>116</v>
      </c>
      <c r="BT179" s="229">
        <v>1.4019999999999999</v>
      </c>
      <c r="BU179" s="230">
        <v>20588961</v>
      </c>
      <c r="BV179" s="230">
        <v>21447441</v>
      </c>
      <c r="BW179" s="230">
        <v>-858480</v>
      </c>
      <c r="BX179" s="229">
        <v>-0.04</v>
      </c>
      <c r="BY179" s="230">
        <v>3428</v>
      </c>
      <c r="BZ179" s="230">
        <v>3429</v>
      </c>
      <c r="CA179" s="228">
        <v>-2</v>
      </c>
      <c r="CB179" s="229">
        <v>-5.0000000000000001E-4</v>
      </c>
      <c r="CC179" s="230">
        <v>2761</v>
      </c>
      <c r="CD179" s="230">
        <v>2802</v>
      </c>
      <c r="CE179" s="228">
        <v>-41</v>
      </c>
      <c r="CF179" s="229">
        <v>-1.47E-2</v>
      </c>
      <c r="CG179" s="228">
        <v>662</v>
      </c>
      <c r="CH179" s="228">
        <v>622</v>
      </c>
      <c r="CI179" s="228">
        <v>40</v>
      </c>
      <c r="CJ179" s="229">
        <v>6.3600000000000004E-2</v>
      </c>
      <c r="CK179" s="228">
        <v>5</v>
      </c>
      <c r="CL179" s="228">
        <v>5</v>
      </c>
      <c r="CM179" s="228">
        <v>0</v>
      </c>
      <c r="CN179" s="229">
        <v>0</v>
      </c>
      <c r="CO179" s="228">
        <v>173</v>
      </c>
      <c r="CP179" s="228">
        <v>176</v>
      </c>
      <c r="CQ179" s="228">
        <v>-3</v>
      </c>
      <c r="CR179" s="229">
        <v>-1.9300000000000001E-2</v>
      </c>
      <c r="CS179" s="228">
        <v>143</v>
      </c>
      <c r="CT179" s="228">
        <v>138</v>
      </c>
      <c r="CU179" s="228">
        <v>5</v>
      </c>
      <c r="CV179" s="229">
        <v>3.7900000000000003E-2</v>
      </c>
      <c r="CW179" s="230">
        <v>3744</v>
      </c>
      <c r="CX179" s="230">
        <v>3743</v>
      </c>
      <c r="CY179" s="228">
        <v>0</v>
      </c>
      <c r="CZ179" s="229">
        <v>1E-4</v>
      </c>
      <c r="DA179" s="228">
        <v>30.47</v>
      </c>
      <c r="DB179" s="228">
        <v>41.82</v>
      </c>
      <c r="DC179" s="228">
        <v>-11.35</v>
      </c>
      <c r="DD179" s="228">
        <v>-11.35</v>
      </c>
      <c r="DE179" s="228">
        <v>44.2</v>
      </c>
      <c r="DF179" s="228">
        <v>44.31</v>
      </c>
      <c r="DG179" s="228">
        <v>-13.73</v>
      </c>
      <c r="DH179" s="228">
        <v>-0.11</v>
      </c>
      <c r="DI179" s="228">
        <v>30.47</v>
      </c>
      <c r="DJ179" s="228">
        <v>36.85</v>
      </c>
      <c r="DK179" s="228">
        <v>-6.38</v>
      </c>
      <c r="DL179" s="228">
        <v>-6.38</v>
      </c>
      <c r="DM179" s="228">
        <v>30.47</v>
      </c>
      <c r="DN179" s="228">
        <v>48.39</v>
      </c>
      <c r="DO179" s="228">
        <v>-17.920000000000002</v>
      </c>
      <c r="DP179" s="228">
        <v>-17.920000000000002</v>
      </c>
      <c r="DQ179" s="228">
        <v>0.83</v>
      </c>
      <c r="DR179" s="228">
        <v>0.78</v>
      </c>
      <c r="DS179" s="228">
        <v>0.05</v>
      </c>
      <c r="DT179" s="229">
        <v>6.4100000000000004E-2</v>
      </c>
      <c r="DU179" s="228">
        <v>170</v>
      </c>
      <c r="DV179" s="228">
        <v>155</v>
      </c>
      <c r="DW179" s="228">
        <v>0.68</v>
      </c>
      <c r="DX179" s="228">
        <v>0.76</v>
      </c>
      <c r="DY179" s="228">
        <v>-0.08</v>
      </c>
      <c r="DZ179" s="229">
        <v>-0.1053</v>
      </c>
      <c r="EA179" s="229">
        <v>0.19470000000000001</v>
      </c>
      <c r="EB179" s="230">
        <v>35546100</v>
      </c>
      <c r="EC179" s="229">
        <v>1.5E-3</v>
      </c>
      <c r="ED179" s="229">
        <v>0.19470000000000001</v>
      </c>
      <c r="EE179" s="228">
        <v>0.7</v>
      </c>
      <c r="EF179" s="229">
        <v>4.0000000000000001E-3</v>
      </c>
      <c r="EG179" s="230">
        <v>8729839</v>
      </c>
      <c r="EH179" s="230">
        <v>10632369</v>
      </c>
      <c r="EI179" s="229">
        <v>-0.1789</v>
      </c>
      <c r="EJ179" s="229">
        <v>0.42399999999999999</v>
      </c>
      <c r="EK179" s="228">
        <v>16.84</v>
      </c>
      <c r="EL179" s="228">
        <v>10.27</v>
      </c>
      <c r="EM179" s="228">
        <v>169.49</v>
      </c>
      <c r="EN179" s="228">
        <v>6.21</v>
      </c>
      <c r="EO179" s="228">
        <v>196.6</v>
      </c>
      <c r="EP179" s="228">
        <v>81.63</v>
      </c>
      <c r="EQ179" s="228">
        <v>114.97</v>
      </c>
      <c r="ER179" s="229">
        <v>1.4084000000000001</v>
      </c>
      <c r="ES179" s="228">
        <v>162.6</v>
      </c>
      <c r="ET179" s="228">
        <v>124.85</v>
      </c>
      <c r="EU179" s="231">
        <v>3428.77</v>
      </c>
      <c r="EV179" s="231">
        <v>216861410</v>
      </c>
      <c r="EW179" s="231">
        <v>3716.22</v>
      </c>
      <c r="EX179" s="231">
        <v>3707</v>
      </c>
      <c r="EY179" s="228">
        <v>9.2200000000000006</v>
      </c>
      <c r="EZ179" s="229">
        <v>2.5000000000000001E-3</v>
      </c>
      <c r="FA179" s="229">
        <v>0.97770000000000001</v>
      </c>
      <c r="FB179" s="227" t="s">
        <v>693</v>
      </c>
      <c r="FC179">
        <f t="shared" si="3"/>
        <v>0</v>
      </c>
    </row>
    <row r="180" spans="1:159" ht="17.25" thickBot="1" x14ac:dyDescent="0.3">
      <c r="A180" s="226">
        <v>46135</v>
      </c>
      <c r="B180" s="227" t="s">
        <v>175</v>
      </c>
      <c r="C180" s="227" t="s">
        <v>684</v>
      </c>
      <c r="D180" s="228">
        <v>4300</v>
      </c>
      <c r="E180" s="228">
        <v>5</v>
      </c>
      <c r="F180" s="228">
        <v>144.32</v>
      </c>
      <c r="G180" s="228">
        <v>147.16999999999999</v>
      </c>
      <c r="H180" s="228">
        <v>-2.85</v>
      </c>
      <c r="I180" s="229">
        <v>-1.9400000000000001E-2</v>
      </c>
      <c r="J180" s="228">
        <v>144.25</v>
      </c>
      <c r="K180" s="228">
        <v>146.75</v>
      </c>
      <c r="L180" s="228">
        <v>-2.5</v>
      </c>
      <c r="M180" s="229">
        <v>-1.7000000000000001E-2</v>
      </c>
      <c r="N180" s="228">
        <v>144.32</v>
      </c>
      <c r="O180" s="228">
        <v>147.16999999999999</v>
      </c>
      <c r="P180" s="228">
        <v>-2.85</v>
      </c>
      <c r="Q180" s="229">
        <v>-1.9400000000000001E-2</v>
      </c>
      <c r="R180" s="228">
        <v>145.22999999999999</v>
      </c>
      <c r="S180" s="228">
        <v>147.93</v>
      </c>
      <c r="T180" s="228">
        <v>-2.7</v>
      </c>
      <c r="U180" s="229">
        <v>-1.83E-2</v>
      </c>
      <c r="V180" s="228">
        <v>145.9</v>
      </c>
      <c r="W180" s="228">
        <v>148.93</v>
      </c>
      <c r="X180" s="228">
        <v>-3.03</v>
      </c>
      <c r="Y180" s="229">
        <v>-2.0299999999999999E-2</v>
      </c>
      <c r="Z180" s="228">
        <v>7.0000000000000007E-2</v>
      </c>
      <c r="AA180" s="228">
        <v>0.42</v>
      </c>
      <c r="AB180" s="228">
        <v>-0.35</v>
      </c>
      <c r="AC180" s="229">
        <v>5.0000000000000001E-4</v>
      </c>
      <c r="AD180" s="228">
        <v>7.0000000000000007E-2</v>
      </c>
      <c r="AE180" s="228">
        <v>0.42</v>
      </c>
      <c r="AF180" s="228">
        <v>-0.35</v>
      </c>
      <c r="AG180" s="229">
        <v>5.0000000000000001E-4</v>
      </c>
      <c r="AH180" s="228">
        <v>0.98</v>
      </c>
      <c r="AI180" s="228">
        <v>1.18</v>
      </c>
      <c r="AJ180" s="228">
        <v>-0.2</v>
      </c>
      <c r="AK180" s="229">
        <v>6.7999999999999996E-3</v>
      </c>
      <c r="AL180" s="228">
        <v>1.65</v>
      </c>
      <c r="AM180" s="228">
        <v>2.1800000000000002</v>
      </c>
      <c r="AN180" s="228">
        <v>-0.53</v>
      </c>
      <c r="AO180" s="229">
        <v>1.14E-2</v>
      </c>
      <c r="AP180" s="228">
        <v>145.54</v>
      </c>
      <c r="AQ180" s="228">
        <v>146.33000000000001</v>
      </c>
      <c r="AR180" s="228">
        <v>0</v>
      </c>
      <c r="AS180" s="228">
        <v>543</v>
      </c>
      <c r="AT180" s="228">
        <v>336</v>
      </c>
      <c r="AU180" s="228">
        <v>207</v>
      </c>
      <c r="AV180" s="229">
        <v>0.61609999999999998</v>
      </c>
      <c r="AW180" s="228">
        <v>270</v>
      </c>
      <c r="AX180" s="228">
        <v>161</v>
      </c>
      <c r="AY180" s="228">
        <v>109</v>
      </c>
      <c r="AZ180" s="229">
        <v>0.67330000000000001</v>
      </c>
      <c r="BA180" s="228">
        <v>265</v>
      </c>
      <c r="BB180" s="228">
        <v>160</v>
      </c>
      <c r="BC180" s="228">
        <v>105</v>
      </c>
      <c r="BD180" s="229">
        <v>0.66020000000000001</v>
      </c>
      <c r="BE180" s="228">
        <v>8</v>
      </c>
      <c r="BF180" s="228">
        <v>15</v>
      </c>
      <c r="BG180" s="228">
        <v>-7</v>
      </c>
      <c r="BH180" s="229">
        <v>-0.45900000000000002</v>
      </c>
      <c r="BI180" s="228">
        <v>130</v>
      </c>
      <c r="BJ180" s="228">
        <v>138</v>
      </c>
      <c r="BK180" s="228">
        <v>-8</v>
      </c>
      <c r="BL180" s="229">
        <v>-5.4899999999999997E-2</v>
      </c>
      <c r="BM180" s="228">
        <v>70</v>
      </c>
      <c r="BN180" s="228">
        <v>112</v>
      </c>
      <c r="BO180" s="228">
        <v>-42</v>
      </c>
      <c r="BP180" s="229">
        <v>-0.37659999999999999</v>
      </c>
      <c r="BQ180" s="228">
        <v>744</v>
      </c>
      <c r="BR180" s="228">
        <v>587</v>
      </c>
      <c r="BS180" s="228">
        <v>157</v>
      </c>
      <c r="BT180" s="229">
        <v>0.2681</v>
      </c>
      <c r="BU180" s="230">
        <v>8165352</v>
      </c>
      <c r="BV180" s="230">
        <v>16038639</v>
      </c>
      <c r="BW180" s="230">
        <v>-7873287</v>
      </c>
      <c r="BX180" s="229">
        <v>-0.4909</v>
      </c>
      <c r="BY180" s="230">
        <v>1507</v>
      </c>
      <c r="BZ180" s="230">
        <v>1515</v>
      </c>
      <c r="CA180" s="228">
        <v>-9</v>
      </c>
      <c r="CB180" s="229">
        <v>-5.8999999999999999E-3</v>
      </c>
      <c r="CC180" s="228">
        <v>830</v>
      </c>
      <c r="CD180" s="230">
        <v>1028</v>
      </c>
      <c r="CE180" s="228">
        <v>-198</v>
      </c>
      <c r="CF180" s="229">
        <v>-0.1923</v>
      </c>
      <c r="CG180" s="228">
        <v>642</v>
      </c>
      <c r="CH180" s="228">
        <v>459</v>
      </c>
      <c r="CI180" s="228">
        <v>183</v>
      </c>
      <c r="CJ180" s="229">
        <v>0.39939999999999998</v>
      </c>
      <c r="CK180" s="228">
        <v>34</v>
      </c>
      <c r="CL180" s="228">
        <v>29</v>
      </c>
      <c r="CM180" s="228">
        <v>6</v>
      </c>
      <c r="CN180" s="229">
        <v>0.19220000000000001</v>
      </c>
      <c r="CO180" s="228">
        <v>292</v>
      </c>
      <c r="CP180" s="228">
        <v>292</v>
      </c>
      <c r="CQ180" s="228">
        <v>0</v>
      </c>
      <c r="CR180" s="229">
        <v>-2.0000000000000001E-4</v>
      </c>
      <c r="CS180" s="228">
        <v>244</v>
      </c>
      <c r="CT180" s="228">
        <v>244</v>
      </c>
      <c r="CU180" s="228">
        <v>0</v>
      </c>
      <c r="CV180" s="229">
        <v>1.8E-3</v>
      </c>
      <c r="CW180" s="230">
        <v>2043</v>
      </c>
      <c r="CX180" s="230">
        <v>2052</v>
      </c>
      <c r="CY180" s="228">
        <v>-9</v>
      </c>
      <c r="CZ180" s="229">
        <v>-4.1000000000000003E-3</v>
      </c>
      <c r="DA180" s="228">
        <v>34.42</v>
      </c>
      <c r="DB180" s="228">
        <v>38.46</v>
      </c>
      <c r="DC180" s="228">
        <v>-4.04</v>
      </c>
      <c r="DD180" s="228">
        <v>-4.04</v>
      </c>
      <c r="DE180" s="228">
        <v>53.11</v>
      </c>
      <c r="DF180" s="228">
        <v>53.18</v>
      </c>
      <c r="DG180" s="228">
        <v>-18.690000000000001</v>
      </c>
      <c r="DH180" s="228">
        <v>-7.0000000000000007E-2</v>
      </c>
      <c r="DI180" s="228">
        <v>34.36</v>
      </c>
      <c r="DJ180" s="228">
        <v>39.840000000000003</v>
      </c>
      <c r="DK180" s="228">
        <v>-5.48</v>
      </c>
      <c r="DL180" s="228">
        <v>-5.48</v>
      </c>
      <c r="DM180" s="228">
        <v>34.46</v>
      </c>
      <c r="DN180" s="228">
        <v>36.76</v>
      </c>
      <c r="DO180" s="228">
        <v>-2.2999999999999998</v>
      </c>
      <c r="DP180" s="228">
        <v>-2.2999999999999998</v>
      </c>
      <c r="DQ180" s="228">
        <v>0.84</v>
      </c>
      <c r="DR180" s="228">
        <v>0.83</v>
      </c>
      <c r="DS180" s="228">
        <v>0.01</v>
      </c>
      <c r="DT180" s="229">
        <v>1.2E-2</v>
      </c>
      <c r="DU180" s="228">
        <v>150</v>
      </c>
      <c r="DV180" s="228">
        <v>140</v>
      </c>
      <c r="DW180" s="228">
        <v>0.54</v>
      </c>
      <c r="DX180" s="228">
        <v>0.82</v>
      </c>
      <c r="DY180" s="228">
        <v>-0.28000000000000003</v>
      </c>
      <c r="DZ180" s="229">
        <v>-0.34150000000000003</v>
      </c>
      <c r="EA180" s="229">
        <v>0.44900000000000001</v>
      </c>
      <c r="EB180" s="230">
        <v>33785100</v>
      </c>
      <c r="EC180" s="229">
        <v>6.3E-3</v>
      </c>
      <c r="ED180" s="229">
        <v>0.44900000000000001</v>
      </c>
      <c r="EE180" s="228">
        <v>0.79</v>
      </c>
      <c r="EF180" s="229">
        <v>5.4000000000000003E-3</v>
      </c>
      <c r="EG180" s="230">
        <v>3311793</v>
      </c>
      <c r="EH180" s="230">
        <v>6680879</v>
      </c>
      <c r="EI180" s="229">
        <v>-0.50429999999999997</v>
      </c>
      <c r="EJ180" s="229">
        <v>0.40560000000000002</v>
      </c>
      <c r="EK180" s="228">
        <v>140.1</v>
      </c>
      <c r="EL180" s="228">
        <v>70.680000000000007</v>
      </c>
      <c r="EM180" s="228">
        <v>549.49</v>
      </c>
      <c r="EN180" s="228">
        <v>39.6</v>
      </c>
      <c r="EO180" s="228">
        <v>760.28</v>
      </c>
      <c r="EP180" s="228">
        <v>605.38</v>
      </c>
      <c r="EQ180" s="228">
        <v>154.9</v>
      </c>
      <c r="ER180" s="229">
        <v>0.25590000000000002</v>
      </c>
      <c r="ES180" s="228">
        <v>315.57</v>
      </c>
      <c r="ET180" s="228">
        <v>240.32</v>
      </c>
      <c r="EU180" s="231">
        <v>1510.93</v>
      </c>
      <c r="EV180" s="231">
        <v>122372064</v>
      </c>
      <c r="EW180" s="231">
        <v>2066.83</v>
      </c>
      <c r="EX180" s="231">
        <v>2104.9899999999998</v>
      </c>
      <c r="EY180" s="228">
        <v>-38.159999999999997</v>
      </c>
      <c r="EZ180" s="229">
        <v>-1.8100000000000002E-2</v>
      </c>
      <c r="FA180" s="229">
        <v>1.1569</v>
      </c>
      <c r="FB180" s="227" t="s">
        <v>567</v>
      </c>
      <c r="FC180">
        <f t="shared" si="3"/>
        <v>0</v>
      </c>
    </row>
    <row r="181" spans="1:159" ht="17.25" thickBot="1" x14ac:dyDescent="0.3">
      <c r="A181" s="226">
        <v>46135</v>
      </c>
      <c r="B181" s="227" t="s">
        <v>175</v>
      </c>
      <c r="C181" s="227" t="s">
        <v>536</v>
      </c>
      <c r="D181" s="228">
        <v>800</v>
      </c>
      <c r="E181" s="228">
        <v>5</v>
      </c>
      <c r="F181" s="228">
        <v>682.3</v>
      </c>
      <c r="G181" s="228">
        <v>687.9</v>
      </c>
      <c r="H181" s="228">
        <v>-5.6</v>
      </c>
      <c r="I181" s="229">
        <v>-8.0999999999999996E-3</v>
      </c>
      <c r="J181" s="228">
        <v>680.55</v>
      </c>
      <c r="K181" s="228">
        <v>686.2</v>
      </c>
      <c r="L181" s="228">
        <v>-5.65</v>
      </c>
      <c r="M181" s="229">
        <v>-8.2000000000000007E-3</v>
      </c>
      <c r="N181" s="228">
        <v>682.3</v>
      </c>
      <c r="O181" s="228">
        <v>687.9</v>
      </c>
      <c r="P181" s="228">
        <v>-5.6</v>
      </c>
      <c r="Q181" s="229">
        <v>-8.0999999999999996E-3</v>
      </c>
      <c r="R181" s="228">
        <v>666.8</v>
      </c>
      <c r="S181" s="228">
        <v>670</v>
      </c>
      <c r="T181" s="228">
        <v>-3.2</v>
      </c>
      <c r="U181" s="229">
        <v>-4.7999999999999996E-3</v>
      </c>
      <c r="V181" s="228">
        <v>656.9</v>
      </c>
      <c r="W181" s="228">
        <v>659.65</v>
      </c>
      <c r="X181" s="228">
        <v>-2.75</v>
      </c>
      <c r="Y181" s="229">
        <v>-4.1999999999999997E-3</v>
      </c>
      <c r="Z181" s="228">
        <v>1.75</v>
      </c>
      <c r="AA181" s="228">
        <v>1.7</v>
      </c>
      <c r="AB181" s="228">
        <v>0.05</v>
      </c>
      <c r="AC181" s="229">
        <v>2.5999999999999999E-3</v>
      </c>
      <c r="AD181" s="228">
        <v>1.75</v>
      </c>
      <c r="AE181" s="228">
        <v>1.7</v>
      </c>
      <c r="AF181" s="228">
        <v>0.05</v>
      </c>
      <c r="AG181" s="229">
        <v>2.5999999999999999E-3</v>
      </c>
      <c r="AH181" s="228">
        <v>-13.75</v>
      </c>
      <c r="AI181" s="228">
        <v>-16.2</v>
      </c>
      <c r="AJ181" s="228">
        <v>2.4500000000000002</v>
      </c>
      <c r="AK181" s="229">
        <v>-2.0199999999999999E-2</v>
      </c>
      <c r="AL181" s="228">
        <v>-23.65</v>
      </c>
      <c r="AM181" s="228">
        <v>-26.55</v>
      </c>
      <c r="AN181" s="228">
        <v>2.9</v>
      </c>
      <c r="AO181" s="229">
        <v>-3.4799999999999998E-2</v>
      </c>
      <c r="AP181" s="228">
        <v>686.34</v>
      </c>
      <c r="AQ181" s="228">
        <v>668.42</v>
      </c>
      <c r="AR181" s="228">
        <v>0</v>
      </c>
      <c r="AS181" s="230">
        <v>1215</v>
      </c>
      <c r="AT181" s="228">
        <v>425</v>
      </c>
      <c r="AU181" s="228">
        <v>790</v>
      </c>
      <c r="AV181" s="229">
        <v>1.86</v>
      </c>
      <c r="AW181" s="228">
        <v>613</v>
      </c>
      <c r="AX181" s="228">
        <v>275</v>
      </c>
      <c r="AY181" s="228">
        <v>337</v>
      </c>
      <c r="AZ181" s="229">
        <v>1.2256</v>
      </c>
      <c r="BA181" s="228">
        <v>592</v>
      </c>
      <c r="BB181" s="228">
        <v>134</v>
      </c>
      <c r="BC181" s="228">
        <v>457</v>
      </c>
      <c r="BD181" s="229">
        <v>3.4033000000000002</v>
      </c>
      <c r="BE181" s="228">
        <v>11</v>
      </c>
      <c r="BF181" s="228">
        <v>15</v>
      </c>
      <c r="BG181" s="228">
        <v>-4</v>
      </c>
      <c r="BH181" s="229">
        <v>-0.28210000000000002</v>
      </c>
      <c r="BI181" s="228">
        <v>445</v>
      </c>
      <c r="BJ181" s="228">
        <v>694</v>
      </c>
      <c r="BK181" s="228">
        <v>-249</v>
      </c>
      <c r="BL181" s="229">
        <v>-0.35849999999999999</v>
      </c>
      <c r="BM181" s="228">
        <v>271</v>
      </c>
      <c r="BN181" s="228">
        <v>368</v>
      </c>
      <c r="BO181" s="228">
        <v>-97</v>
      </c>
      <c r="BP181" s="229">
        <v>-0.26369999999999999</v>
      </c>
      <c r="BQ181" s="230">
        <v>1931</v>
      </c>
      <c r="BR181" s="230">
        <v>1487</v>
      </c>
      <c r="BS181" s="228">
        <v>445</v>
      </c>
      <c r="BT181" s="229">
        <v>0.29920000000000002</v>
      </c>
      <c r="BU181" s="230">
        <v>885996</v>
      </c>
      <c r="BV181" s="230">
        <v>1252227</v>
      </c>
      <c r="BW181" s="230">
        <v>-366231</v>
      </c>
      <c r="BX181" s="229">
        <v>-0.29249999999999998</v>
      </c>
      <c r="BY181" s="230">
        <v>1963</v>
      </c>
      <c r="BZ181" s="230">
        <v>2147</v>
      </c>
      <c r="CA181" s="228">
        <v>-183</v>
      </c>
      <c r="CB181" s="229">
        <v>-8.5400000000000004E-2</v>
      </c>
      <c r="CC181" s="230">
        <v>1298</v>
      </c>
      <c r="CD181" s="230">
        <v>1677</v>
      </c>
      <c r="CE181" s="228">
        <v>-379</v>
      </c>
      <c r="CF181" s="229">
        <v>-0.22620000000000001</v>
      </c>
      <c r="CG181" s="228">
        <v>599</v>
      </c>
      <c r="CH181" s="228">
        <v>404</v>
      </c>
      <c r="CI181" s="228">
        <v>195</v>
      </c>
      <c r="CJ181" s="229">
        <v>0.48120000000000002</v>
      </c>
      <c r="CK181" s="228">
        <v>67</v>
      </c>
      <c r="CL181" s="228">
        <v>65</v>
      </c>
      <c r="CM181" s="228">
        <v>1</v>
      </c>
      <c r="CN181" s="229">
        <v>2.1700000000000001E-2</v>
      </c>
      <c r="CO181" s="228">
        <v>580</v>
      </c>
      <c r="CP181" s="228">
        <v>611</v>
      </c>
      <c r="CQ181" s="228">
        <v>-32</v>
      </c>
      <c r="CR181" s="229">
        <v>-5.1700000000000003E-2</v>
      </c>
      <c r="CS181" s="228">
        <v>522</v>
      </c>
      <c r="CT181" s="228">
        <v>521</v>
      </c>
      <c r="CU181" s="228">
        <v>1</v>
      </c>
      <c r="CV181" s="229">
        <v>2.2000000000000001E-3</v>
      </c>
      <c r="CW181" s="230">
        <v>3065</v>
      </c>
      <c r="CX181" s="230">
        <v>3279</v>
      </c>
      <c r="CY181" s="228">
        <v>-214</v>
      </c>
      <c r="CZ181" s="229">
        <v>-6.5199999999999994E-2</v>
      </c>
      <c r="DA181" s="228">
        <v>36.01</v>
      </c>
      <c r="DB181" s="228">
        <v>35.07</v>
      </c>
      <c r="DC181" s="228">
        <v>0.94</v>
      </c>
      <c r="DD181" s="228">
        <v>0.94</v>
      </c>
      <c r="DE181" s="228">
        <v>32.15</v>
      </c>
      <c r="DF181" s="228">
        <v>32.21</v>
      </c>
      <c r="DG181" s="228">
        <v>3.86</v>
      </c>
      <c r="DH181" s="228">
        <v>-0.06</v>
      </c>
      <c r="DI181" s="228">
        <v>36.19</v>
      </c>
      <c r="DJ181" s="228">
        <v>34.299999999999997</v>
      </c>
      <c r="DK181" s="228">
        <v>1.89</v>
      </c>
      <c r="DL181" s="228">
        <v>1.89</v>
      </c>
      <c r="DM181" s="228">
        <v>35.71</v>
      </c>
      <c r="DN181" s="228">
        <v>36.520000000000003</v>
      </c>
      <c r="DO181" s="228">
        <v>-0.81</v>
      </c>
      <c r="DP181" s="228">
        <v>-0.81</v>
      </c>
      <c r="DQ181" s="228">
        <v>0.9</v>
      </c>
      <c r="DR181" s="228">
        <v>0.85</v>
      </c>
      <c r="DS181" s="228">
        <v>0.05</v>
      </c>
      <c r="DT181" s="229">
        <v>5.8799999999999998E-2</v>
      </c>
      <c r="DU181" s="228">
        <v>800</v>
      </c>
      <c r="DV181" s="228">
        <v>680</v>
      </c>
      <c r="DW181" s="228">
        <v>0.61</v>
      </c>
      <c r="DX181" s="228">
        <v>0.53</v>
      </c>
      <c r="DY181" s="228">
        <v>0.08</v>
      </c>
      <c r="DZ181" s="229">
        <v>0.15090000000000001</v>
      </c>
      <c r="EA181" s="229">
        <v>0.33910000000000001</v>
      </c>
      <c r="EB181" s="230">
        <v>6884800</v>
      </c>
      <c r="EC181" s="229">
        <v>-2.2700000000000001E-2</v>
      </c>
      <c r="ED181" s="229">
        <v>0.33910000000000001</v>
      </c>
      <c r="EE181" s="228">
        <v>-17.920000000000002</v>
      </c>
      <c r="EF181" s="229">
        <v>-2.6100000000000002E-2</v>
      </c>
      <c r="EG181" s="230">
        <v>369897</v>
      </c>
      <c r="EH181" s="230">
        <v>572420</v>
      </c>
      <c r="EI181" s="229">
        <v>-0.3538</v>
      </c>
      <c r="EJ181" s="229">
        <v>0.41749999999999998</v>
      </c>
      <c r="EK181" s="228">
        <v>468.83</v>
      </c>
      <c r="EL181" s="228">
        <v>277.29000000000002</v>
      </c>
      <c r="EM181" s="231">
        <v>1206.68</v>
      </c>
      <c r="EN181" s="228">
        <v>74.78</v>
      </c>
      <c r="EO181" s="231">
        <v>1952.8</v>
      </c>
      <c r="EP181" s="231">
        <v>1513.64</v>
      </c>
      <c r="EQ181" s="228">
        <v>439.16</v>
      </c>
      <c r="ER181" s="229">
        <v>0.29010000000000002</v>
      </c>
      <c r="ES181" s="228">
        <v>606.36</v>
      </c>
      <c r="ET181" s="228">
        <v>511.06</v>
      </c>
      <c r="EU181" s="231">
        <v>1947.24</v>
      </c>
      <c r="EV181" s="231">
        <v>44841373</v>
      </c>
      <c r="EW181" s="231">
        <v>3064.65</v>
      </c>
      <c r="EX181" s="231">
        <v>3300.4</v>
      </c>
      <c r="EY181" s="228">
        <v>-235.75</v>
      </c>
      <c r="EZ181" s="229">
        <v>-7.1400000000000005E-2</v>
      </c>
      <c r="FA181" s="229">
        <v>1.0018</v>
      </c>
      <c r="FB181" s="227" t="s">
        <v>567</v>
      </c>
      <c r="FC181">
        <f t="shared" si="3"/>
        <v>0</v>
      </c>
    </row>
    <row r="182" spans="1:159" ht="17.25" thickBot="1" x14ac:dyDescent="0.3">
      <c r="A182" s="226">
        <v>46135</v>
      </c>
      <c r="B182" s="227" t="s">
        <v>175</v>
      </c>
      <c r="C182" s="227" t="s">
        <v>462</v>
      </c>
      <c r="D182" s="228">
        <v>375</v>
      </c>
      <c r="E182" s="228">
        <v>5</v>
      </c>
      <c r="F182" s="231">
        <v>1826.1</v>
      </c>
      <c r="G182" s="231">
        <v>1889.7</v>
      </c>
      <c r="H182" s="228">
        <v>-63.6</v>
      </c>
      <c r="I182" s="229">
        <v>-3.3700000000000001E-2</v>
      </c>
      <c r="J182" s="231">
        <v>1828.1</v>
      </c>
      <c r="K182" s="231">
        <v>1884.8</v>
      </c>
      <c r="L182" s="228">
        <v>-56.7</v>
      </c>
      <c r="M182" s="229">
        <v>-3.0099999999999998E-2</v>
      </c>
      <c r="N182" s="231">
        <v>1826.1</v>
      </c>
      <c r="O182" s="231">
        <v>1889.7</v>
      </c>
      <c r="P182" s="228">
        <v>-63.6</v>
      </c>
      <c r="Q182" s="229">
        <v>-3.3700000000000001E-2</v>
      </c>
      <c r="R182" s="231">
        <v>1835.7</v>
      </c>
      <c r="S182" s="231">
        <v>1898.4</v>
      </c>
      <c r="T182" s="228">
        <v>-62.7</v>
      </c>
      <c r="U182" s="229">
        <v>-3.3000000000000002E-2</v>
      </c>
      <c r="V182" s="231">
        <v>1847.1</v>
      </c>
      <c r="W182" s="231">
        <v>1910.1</v>
      </c>
      <c r="X182" s="228">
        <v>-63</v>
      </c>
      <c r="Y182" s="229">
        <v>-3.3000000000000002E-2</v>
      </c>
      <c r="Z182" s="228">
        <v>-2</v>
      </c>
      <c r="AA182" s="228">
        <v>4.9000000000000004</v>
      </c>
      <c r="AB182" s="228">
        <v>-6.9</v>
      </c>
      <c r="AC182" s="229">
        <v>-1.1000000000000001E-3</v>
      </c>
      <c r="AD182" s="228">
        <v>-2</v>
      </c>
      <c r="AE182" s="228">
        <v>4.9000000000000004</v>
      </c>
      <c r="AF182" s="228">
        <v>-6.9</v>
      </c>
      <c r="AG182" s="229">
        <v>-1.1000000000000001E-3</v>
      </c>
      <c r="AH182" s="228">
        <v>7.6</v>
      </c>
      <c r="AI182" s="228">
        <v>13.6</v>
      </c>
      <c r="AJ182" s="228">
        <v>-6</v>
      </c>
      <c r="AK182" s="229">
        <v>4.1999999999999997E-3</v>
      </c>
      <c r="AL182" s="228">
        <v>19</v>
      </c>
      <c r="AM182" s="228">
        <v>25.3</v>
      </c>
      <c r="AN182" s="228">
        <v>-6.3</v>
      </c>
      <c r="AO182" s="229">
        <v>1.04E-2</v>
      </c>
      <c r="AP182" s="231">
        <v>1847.83</v>
      </c>
      <c r="AQ182" s="231">
        <v>1853.67</v>
      </c>
      <c r="AR182" s="228">
        <v>0</v>
      </c>
      <c r="AS182" s="230">
        <v>1576</v>
      </c>
      <c r="AT182" s="228">
        <v>975</v>
      </c>
      <c r="AU182" s="228">
        <v>601</v>
      </c>
      <c r="AV182" s="229">
        <v>0.61660000000000004</v>
      </c>
      <c r="AW182" s="228">
        <v>862</v>
      </c>
      <c r="AX182" s="228">
        <v>568</v>
      </c>
      <c r="AY182" s="228">
        <v>295</v>
      </c>
      <c r="AZ182" s="229">
        <v>0.51880000000000004</v>
      </c>
      <c r="BA182" s="228">
        <v>696</v>
      </c>
      <c r="BB182" s="228">
        <v>339</v>
      </c>
      <c r="BC182" s="228">
        <v>358</v>
      </c>
      <c r="BD182" s="229">
        <v>1.0556000000000001</v>
      </c>
      <c r="BE182" s="228">
        <v>18</v>
      </c>
      <c r="BF182" s="228">
        <v>68</v>
      </c>
      <c r="BG182" s="228">
        <v>-51</v>
      </c>
      <c r="BH182" s="229">
        <v>-0.74399999999999999</v>
      </c>
      <c r="BI182" s="230">
        <v>4697</v>
      </c>
      <c r="BJ182" s="230">
        <v>3727</v>
      </c>
      <c r="BK182" s="228">
        <v>970</v>
      </c>
      <c r="BL182" s="229">
        <v>0.26040000000000002</v>
      </c>
      <c r="BM182" s="230">
        <v>3081</v>
      </c>
      <c r="BN182" s="230">
        <v>1793</v>
      </c>
      <c r="BO182" s="230">
        <v>1288</v>
      </c>
      <c r="BP182" s="229">
        <v>0.71809999999999996</v>
      </c>
      <c r="BQ182" s="230">
        <v>9355</v>
      </c>
      <c r="BR182" s="230">
        <v>6495</v>
      </c>
      <c r="BS182" s="230">
        <v>2860</v>
      </c>
      <c r="BT182" s="229">
        <v>0.44030000000000002</v>
      </c>
      <c r="BU182" s="230">
        <v>4351253</v>
      </c>
      <c r="BV182" s="230">
        <v>4287562</v>
      </c>
      <c r="BW182" s="230">
        <v>63691</v>
      </c>
      <c r="BX182" s="229">
        <v>1.49E-2</v>
      </c>
      <c r="BY182" s="230">
        <v>2419</v>
      </c>
      <c r="BZ182" s="230">
        <v>2285</v>
      </c>
      <c r="CA182" s="228">
        <v>134</v>
      </c>
      <c r="CB182" s="229">
        <v>5.8700000000000002E-2</v>
      </c>
      <c r="CC182" s="230">
        <v>1453</v>
      </c>
      <c r="CD182" s="230">
        <v>1705</v>
      </c>
      <c r="CE182" s="228">
        <v>-251</v>
      </c>
      <c r="CF182" s="229">
        <v>-0.14749999999999999</v>
      </c>
      <c r="CG182" s="228">
        <v>756</v>
      </c>
      <c r="CH182" s="228">
        <v>382</v>
      </c>
      <c r="CI182" s="228">
        <v>374</v>
      </c>
      <c r="CJ182" s="229">
        <v>0.97809999999999997</v>
      </c>
      <c r="CK182" s="228">
        <v>210</v>
      </c>
      <c r="CL182" s="228">
        <v>198</v>
      </c>
      <c r="CM182" s="228">
        <v>12</v>
      </c>
      <c r="CN182" s="229">
        <v>5.9700000000000003E-2</v>
      </c>
      <c r="CO182" s="230">
        <v>1359</v>
      </c>
      <c r="CP182" s="230">
        <v>1239</v>
      </c>
      <c r="CQ182" s="228">
        <v>120</v>
      </c>
      <c r="CR182" s="229">
        <v>9.69E-2</v>
      </c>
      <c r="CS182" s="228">
        <v>622</v>
      </c>
      <c r="CT182" s="228">
        <v>678</v>
      </c>
      <c r="CU182" s="228">
        <v>-56</v>
      </c>
      <c r="CV182" s="229">
        <v>-8.2199999999999995E-2</v>
      </c>
      <c r="CW182" s="230">
        <v>4401</v>
      </c>
      <c r="CX182" s="230">
        <v>4203</v>
      </c>
      <c r="CY182" s="228">
        <v>198</v>
      </c>
      <c r="CZ182" s="229">
        <v>4.7199999999999999E-2</v>
      </c>
      <c r="DA182" s="228">
        <v>28.63</v>
      </c>
      <c r="DB182" s="228">
        <v>39.79</v>
      </c>
      <c r="DC182" s="228">
        <v>-11.16</v>
      </c>
      <c r="DD182" s="228">
        <v>-11.16</v>
      </c>
      <c r="DE182" s="228">
        <v>26.53</v>
      </c>
      <c r="DF182" s="228">
        <v>26.27</v>
      </c>
      <c r="DG182" s="228">
        <v>2.1</v>
      </c>
      <c r="DH182" s="228">
        <v>0.26</v>
      </c>
      <c r="DI182" s="228">
        <v>28.75</v>
      </c>
      <c r="DJ182" s="228">
        <v>39.229999999999997</v>
      </c>
      <c r="DK182" s="228">
        <v>-10.48</v>
      </c>
      <c r="DL182" s="228">
        <v>-10.48</v>
      </c>
      <c r="DM182" s="228">
        <v>28.37</v>
      </c>
      <c r="DN182" s="228">
        <v>40.96</v>
      </c>
      <c r="DO182" s="228">
        <v>-12.59</v>
      </c>
      <c r="DP182" s="228">
        <v>-12.59</v>
      </c>
      <c r="DQ182" s="228">
        <v>0.46</v>
      </c>
      <c r="DR182" s="228">
        <v>0.55000000000000004</v>
      </c>
      <c r="DS182" s="228">
        <v>-0.09</v>
      </c>
      <c r="DT182" s="229">
        <v>-0.1636</v>
      </c>
      <c r="DU182" s="231">
        <v>2000</v>
      </c>
      <c r="DV182" s="231">
        <v>1900</v>
      </c>
      <c r="DW182" s="228">
        <v>0.66</v>
      </c>
      <c r="DX182" s="228">
        <v>0.48</v>
      </c>
      <c r="DY182" s="228">
        <v>0.18</v>
      </c>
      <c r="DZ182" s="229">
        <v>0.375</v>
      </c>
      <c r="EA182" s="229">
        <v>0.3992</v>
      </c>
      <c r="EB182" s="230">
        <v>3178500</v>
      </c>
      <c r="EC182" s="229">
        <v>5.3E-3</v>
      </c>
      <c r="ED182" s="229">
        <v>0.3992</v>
      </c>
      <c r="EE182" s="228">
        <v>5.84</v>
      </c>
      <c r="EF182" s="229">
        <v>3.2000000000000002E-3</v>
      </c>
      <c r="EG182" s="230">
        <v>2208971</v>
      </c>
      <c r="EH182" s="230">
        <v>2955291</v>
      </c>
      <c r="EI182" s="229">
        <v>-0.2525</v>
      </c>
      <c r="EJ182" s="229">
        <v>0.50770000000000004</v>
      </c>
      <c r="EK182" s="231">
        <v>4967.87</v>
      </c>
      <c r="EL182" s="231">
        <v>3094.4</v>
      </c>
      <c r="EM182" s="231">
        <v>1597.4</v>
      </c>
      <c r="EN182" s="228">
        <v>80.25</v>
      </c>
      <c r="EO182" s="231">
        <v>9659.67</v>
      </c>
      <c r="EP182" s="231">
        <v>6892.96</v>
      </c>
      <c r="EQ182" s="231">
        <v>2766.72</v>
      </c>
      <c r="ER182" s="229">
        <v>0.40139999999999998</v>
      </c>
      <c r="ES182" s="231">
        <v>1454.69</v>
      </c>
      <c r="ET182" s="228">
        <v>613.79</v>
      </c>
      <c r="EU182" s="231">
        <v>2425.7399999999998</v>
      </c>
      <c r="EV182" s="231">
        <v>45527821</v>
      </c>
      <c r="EW182" s="231">
        <v>4494.22</v>
      </c>
      <c r="EX182" s="231">
        <v>4378.0200000000004</v>
      </c>
      <c r="EY182" s="228">
        <v>116.2</v>
      </c>
      <c r="EZ182" s="229">
        <v>2.6499999999999999E-2</v>
      </c>
      <c r="FA182" s="229">
        <v>0.52939999999999998</v>
      </c>
      <c r="FB182" s="227" t="s">
        <v>566</v>
      </c>
      <c r="FC182">
        <f t="shared" si="3"/>
        <v>0</v>
      </c>
    </row>
    <row r="183" spans="1:159" ht="17.25" thickBot="1" x14ac:dyDescent="0.3">
      <c r="A183" s="226">
        <v>46135</v>
      </c>
      <c r="B183" s="227" t="s">
        <v>172</v>
      </c>
      <c r="C183" s="227" t="s">
        <v>283</v>
      </c>
      <c r="D183" s="228">
        <v>750</v>
      </c>
      <c r="E183" s="228">
        <v>5</v>
      </c>
      <c r="F183" s="231">
        <v>1094.0999999999999</v>
      </c>
      <c r="G183" s="231">
        <v>1105.5</v>
      </c>
      <c r="H183" s="228">
        <v>-11.4</v>
      </c>
      <c r="I183" s="229">
        <v>-1.03E-2</v>
      </c>
      <c r="J183" s="231">
        <v>1094.25</v>
      </c>
      <c r="K183" s="231">
        <v>1103.3</v>
      </c>
      <c r="L183" s="228">
        <v>-9.0500000000000007</v>
      </c>
      <c r="M183" s="229">
        <v>-8.2000000000000007E-3</v>
      </c>
      <c r="N183" s="231">
        <v>1094.0999999999999</v>
      </c>
      <c r="O183" s="231">
        <v>1105.5</v>
      </c>
      <c r="P183" s="228">
        <v>-11.4</v>
      </c>
      <c r="Q183" s="229">
        <v>-1.03E-2</v>
      </c>
      <c r="R183" s="231">
        <v>1089.95</v>
      </c>
      <c r="S183" s="231">
        <v>1099.7</v>
      </c>
      <c r="T183" s="228">
        <v>-9.75</v>
      </c>
      <c r="U183" s="229">
        <v>-8.8999999999999999E-3</v>
      </c>
      <c r="V183" s="231">
        <v>1088.9000000000001</v>
      </c>
      <c r="W183" s="231">
        <v>1101.0999999999999</v>
      </c>
      <c r="X183" s="228">
        <v>-12.2</v>
      </c>
      <c r="Y183" s="229">
        <v>-1.11E-2</v>
      </c>
      <c r="Z183" s="228">
        <v>-0.15</v>
      </c>
      <c r="AA183" s="228">
        <v>2.2000000000000002</v>
      </c>
      <c r="AB183" s="228">
        <v>-2.35</v>
      </c>
      <c r="AC183" s="229">
        <v>-1E-4</v>
      </c>
      <c r="AD183" s="228">
        <v>-0.15</v>
      </c>
      <c r="AE183" s="228">
        <v>2.2000000000000002</v>
      </c>
      <c r="AF183" s="228">
        <v>-2.35</v>
      </c>
      <c r="AG183" s="229">
        <v>-1E-4</v>
      </c>
      <c r="AH183" s="228">
        <v>-4.3</v>
      </c>
      <c r="AI183" s="228">
        <v>-3.6</v>
      </c>
      <c r="AJ183" s="228">
        <v>-0.7</v>
      </c>
      <c r="AK183" s="229">
        <v>-3.8999999999999998E-3</v>
      </c>
      <c r="AL183" s="228">
        <v>-5.35</v>
      </c>
      <c r="AM183" s="228">
        <v>-2.2000000000000002</v>
      </c>
      <c r="AN183" s="228">
        <v>-3.15</v>
      </c>
      <c r="AO183" s="229">
        <v>-4.8999999999999998E-3</v>
      </c>
      <c r="AP183" s="231">
        <v>1093.6300000000001</v>
      </c>
      <c r="AQ183" s="231">
        <v>1088.8</v>
      </c>
      <c r="AR183" s="228">
        <v>0</v>
      </c>
      <c r="AS183" s="230">
        <v>4249</v>
      </c>
      <c r="AT183" s="230">
        <v>1910</v>
      </c>
      <c r="AU183" s="230">
        <v>2338</v>
      </c>
      <c r="AV183" s="229">
        <v>1.2239</v>
      </c>
      <c r="AW183" s="230">
        <v>2216</v>
      </c>
      <c r="AX183" s="230">
        <v>1174</v>
      </c>
      <c r="AY183" s="230">
        <v>1042</v>
      </c>
      <c r="AZ183" s="229">
        <v>0.88749999999999996</v>
      </c>
      <c r="BA183" s="230">
        <v>1738</v>
      </c>
      <c r="BB183" s="228">
        <v>666</v>
      </c>
      <c r="BC183" s="230">
        <v>1073</v>
      </c>
      <c r="BD183" s="229">
        <v>1.6120000000000001</v>
      </c>
      <c r="BE183" s="228">
        <v>294</v>
      </c>
      <c r="BF183" s="228">
        <v>71</v>
      </c>
      <c r="BG183" s="228">
        <v>223</v>
      </c>
      <c r="BH183" s="229">
        <v>3.1541000000000001</v>
      </c>
      <c r="BI183" s="230">
        <v>9713</v>
      </c>
      <c r="BJ183" s="230">
        <v>7622</v>
      </c>
      <c r="BK183" s="230">
        <v>2090</v>
      </c>
      <c r="BL183" s="229">
        <v>0.27429999999999999</v>
      </c>
      <c r="BM183" s="230">
        <v>7840</v>
      </c>
      <c r="BN183" s="230">
        <v>4923</v>
      </c>
      <c r="BO183" s="230">
        <v>2917</v>
      </c>
      <c r="BP183" s="229">
        <v>0.59240000000000004</v>
      </c>
      <c r="BQ183" s="230">
        <v>21802</v>
      </c>
      <c r="BR183" s="230">
        <v>14456</v>
      </c>
      <c r="BS183" s="230">
        <v>7346</v>
      </c>
      <c r="BT183" s="229">
        <v>0.5081</v>
      </c>
      <c r="BU183" s="230">
        <v>15208417</v>
      </c>
      <c r="BV183" s="230">
        <v>12996009</v>
      </c>
      <c r="BW183" s="230">
        <v>2212408</v>
      </c>
      <c r="BX183" s="229">
        <v>0.17019999999999999</v>
      </c>
      <c r="BY183" s="230">
        <v>9637</v>
      </c>
      <c r="BZ183" s="230">
        <v>9368</v>
      </c>
      <c r="CA183" s="228">
        <v>269</v>
      </c>
      <c r="CB183" s="229">
        <v>2.87E-2</v>
      </c>
      <c r="CC183" s="230">
        <v>5784</v>
      </c>
      <c r="CD183" s="230">
        <v>7158</v>
      </c>
      <c r="CE183" s="230">
        <v>-1374</v>
      </c>
      <c r="CF183" s="229">
        <v>-0.19189999999999999</v>
      </c>
      <c r="CG183" s="230">
        <v>3156</v>
      </c>
      <c r="CH183" s="230">
        <v>1771</v>
      </c>
      <c r="CI183" s="230">
        <v>1385</v>
      </c>
      <c r="CJ183" s="229">
        <v>0.78169999999999995</v>
      </c>
      <c r="CK183" s="228">
        <v>697</v>
      </c>
      <c r="CL183" s="228">
        <v>438</v>
      </c>
      <c r="CM183" s="228">
        <v>258</v>
      </c>
      <c r="CN183" s="229">
        <v>0.58919999999999995</v>
      </c>
      <c r="CO183" s="230">
        <v>5479</v>
      </c>
      <c r="CP183" s="230">
        <v>5456</v>
      </c>
      <c r="CQ183" s="228">
        <v>24</v>
      </c>
      <c r="CR183" s="229">
        <v>4.3E-3</v>
      </c>
      <c r="CS183" s="230">
        <v>4356</v>
      </c>
      <c r="CT183" s="230">
        <v>4535</v>
      </c>
      <c r="CU183" s="228">
        <v>-180</v>
      </c>
      <c r="CV183" s="229">
        <v>-3.9600000000000003E-2</v>
      </c>
      <c r="CW183" s="230">
        <v>19472</v>
      </c>
      <c r="CX183" s="230">
        <v>19359</v>
      </c>
      <c r="CY183" s="228">
        <v>113</v>
      </c>
      <c r="CZ183" s="229">
        <v>5.7999999999999996E-3</v>
      </c>
      <c r="DA183" s="228">
        <v>28.64</v>
      </c>
      <c r="DB183" s="228">
        <v>27.31</v>
      </c>
      <c r="DC183" s="228">
        <v>1.33</v>
      </c>
      <c r="DD183" s="228">
        <v>1.33</v>
      </c>
      <c r="DE183" s="228">
        <v>29.13</v>
      </c>
      <c r="DF183" s="228">
        <v>29.18</v>
      </c>
      <c r="DG183" s="228">
        <v>-0.49</v>
      </c>
      <c r="DH183" s="228">
        <v>-0.05</v>
      </c>
      <c r="DI183" s="228">
        <v>28.5</v>
      </c>
      <c r="DJ183" s="228">
        <v>26.62</v>
      </c>
      <c r="DK183" s="228">
        <v>1.88</v>
      </c>
      <c r="DL183" s="228">
        <v>1.88</v>
      </c>
      <c r="DM183" s="228">
        <v>28.89</v>
      </c>
      <c r="DN183" s="228">
        <v>28.39</v>
      </c>
      <c r="DO183" s="228">
        <v>0.5</v>
      </c>
      <c r="DP183" s="228">
        <v>0.5</v>
      </c>
      <c r="DQ183" s="228">
        <v>0.79</v>
      </c>
      <c r="DR183" s="228">
        <v>0.83</v>
      </c>
      <c r="DS183" s="228">
        <v>-0.04</v>
      </c>
      <c r="DT183" s="229">
        <v>-4.82E-2</v>
      </c>
      <c r="DU183" s="231">
        <v>1200</v>
      </c>
      <c r="DV183" s="231">
        <v>1000</v>
      </c>
      <c r="DW183" s="228">
        <v>0.81</v>
      </c>
      <c r="DX183" s="228">
        <v>0.65</v>
      </c>
      <c r="DY183" s="228">
        <v>0.16</v>
      </c>
      <c r="DZ183" s="229">
        <v>0.2462</v>
      </c>
      <c r="EA183" s="229">
        <v>0.39979999999999999</v>
      </c>
      <c r="EB183" s="230">
        <v>20195250</v>
      </c>
      <c r="EC183" s="229">
        <v>-3.8E-3</v>
      </c>
      <c r="ED183" s="229">
        <v>0.39979999999999999</v>
      </c>
      <c r="EE183" s="228">
        <v>-4.83</v>
      </c>
      <c r="EF183" s="229">
        <v>-4.4000000000000003E-3</v>
      </c>
      <c r="EG183" s="230">
        <v>6566628</v>
      </c>
      <c r="EH183" s="230">
        <v>7781699</v>
      </c>
      <c r="EI183" s="229">
        <v>-0.15609999999999999</v>
      </c>
      <c r="EJ183" s="229">
        <v>0.43180000000000002</v>
      </c>
      <c r="EK183" s="231">
        <v>10021.64</v>
      </c>
      <c r="EL183" s="231">
        <v>7744.6</v>
      </c>
      <c r="EM183" s="231">
        <v>4238.32</v>
      </c>
      <c r="EN183" s="228">
        <v>223.23</v>
      </c>
      <c r="EO183" s="231">
        <v>22004.560000000001</v>
      </c>
      <c r="EP183" s="231">
        <v>14777.44</v>
      </c>
      <c r="EQ183" s="231">
        <v>7227.12</v>
      </c>
      <c r="ER183" s="229">
        <v>0.48909999999999998</v>
      </c>
      <c r="ES183" s="231">
        <v>5617.8</v>
      </c>
      <c r="ET183" s="231">
        <v>4152.95</v>
      </c>
      <c r="EU183" s="231">
        <v>9621.31</v>
      </c>
      <c r="EV183" s="231">
        <v>580324288</v>
      </c>
      <c r="EW183" s="231">
        <v>19392.05</v>
      </c>
      <c r="EX183" s="231">
        <v>19368.419999999998</v>
      </c>
      <c r="EY183" s="228">
        <v>23.63</v>
      </c>
      <c r="EZ183" s="229">
        <v>1.1999999999999999E-3</v>
      </c>
      <c r="FA183" s="229">
        <v>0.30669999999999997</v>
      </c>
      <c r="FB183" s="227" t="s">
        <v>566</v>
      </c>
      <c r="FC183">
        <f t="shared" si="3"/>
        <v>0</v>
      </c>
    </row>
    <row r="184" spans="1:159" ht="17.25" thickBot="1" x14ac:dyDescent="0.3">
      <c r="A184" s="226">
        <v>46135</v>
      </c>
      <c r="B184" s="227" t="s">
        <v>157</v>
      </c>
      <c r="C184" s="227" t="s">
        <v>284</v>
      </c>
      <c r="D184" s="228">
        <v>25</v>
      </c>
      <c r="E184" s="228">
        <v>5</v>
      </c>
      <c r="F184" s="231">
        <v>25435</v>
      </c>
      <c r="G184" s="231">
        <v>25755</v>
      </c>
      <c r="H184" s="228">
        <v>-320</v>
      </c>
      <c r="I184" s="229">
        <v>-1.24E-2</v>
      </c>
      <c r="J184" s="231">
        <v>25470</v>
      </c>
      <c r="K184" s="231">
        <v>25735</v>
      </c>
      <c r="L184" s="228">
        <v>-265</v>
      </c>
      <c r="M184" s="229">
        <v>-1.03E-2</v>
      </c>
      <c r="N184" s="231">
        <v>25435</v>
      </c>
      <c r="O184" s="231">
        <v>25755</v>
      </c>
      <c r="P184" s="228">
        <v>-320</v>
      </c>
      <c r="Q184" s="229">
        <v>-1.24E-2</v>
      </c>
      <c r="R184" s="231">
        <v>25120</v>
      </c>
      <c r="S184" s="231">
        <v>25595</v>
      </c>
      <c r="T184" s="228">
        <v>-475</v>
      </c>
      <c r="U184" s="229">
        <v>-1.8599999999999998E-2</v>
      </c>
      <c r="V184" s="231">
        <v>24980</v>
      </c>
      <c r="W184" s="231">
        <v>25500</v>
      </c>
      <c r="X184" s="228">
        <v>-520</v>
      </c>
      <c r="Y184" s="229">
        <v>-2.0400000000000001E-2</v>
      </c>
      <c r="Z184" s="228">
        <v>-35</v>
      </c>
      <c r="AA184" s="228">
        <v>20</v>
      </c>
      <c r="AB184" s="228">
        <v>-55</v>
      </c>
      <c r="AC184" s="229">
        <v>-1.4E-3</v>
      </c>
      <c r="AD184" s="228">
        <v>-35</v>
      </c>
      <c r="AE184" s="228">
        <v>20</v>
      </c>
      <c r="AF184" s="228">
        <v>-55</v>
      </c>
      <c r="AG184" s="229">
        <v>-1.4E-3</v>
      </c>
      <c r="AH184" s="228">
        <v>-350</v>
      </c>
      <c r="AI184" s="228">
        <v>-140</v>
      </c>
      <c r="AJ184" s="228">
        <v>-210</v>
      </c>
      <c r="AK184" s="229">
        <v>-1.37E-2</v>
      </c>
      <c r="AL184" s="228">
        <v>-490</v>
      </c>
      <c r="AM184" s="228">
        <v>-235</v>
      </c>
      <c r="AN184" s="228">
        <v>-255</v>
      </c>
      <c r="AO184" s="229">
        <v>-1.9199999999999998E-2</v>
      </c>
      <c r="AP184" s="231">
        <v>25384.3</v>
      </c>
      <c r="AQ184" s="231">
        <v>25069.05</v>
      </c>
      <c r="AR184" s="228">
        <v>0</v>
      </c>
      <c r="AS184" s="228">
        <v>779</v>
      </c>
      <c r="AT184" s="228">
        <v>127</v>
      </c>
      <c r="AU184" s="228">
        <v>651</v>
      </c>
      <c r="AV184" s="229">
        <v>5.1077000000000004</v>
      </c>
      <c r="AW184" s="228">
        <v>410</v>
      </c>
      <c r="AX184" s="228">
        <v>100</v>
      </c>
      <c r="AY184" s="228">
        <v>310</v>
      </c>
      <c r="AZ184" s="229">
        <v>3.1071</v>
      </c>
      <c r="BA184" s="228">
        <v>368</v>
      </c>
      <c r="BB184" s="228">
        <v>27</v>
      </c>
      <c r="BC184" s="228">
        <v>341</v>
      </c>
      <c r="BD184" s="229">
        <v>12.5082</v>
      </c>
      <c r="BE184" s="228">
        <v>1</v>
      </c>
      <c r="BF184" s="228">
        <v>1</v>
      </c>
      <c r="BG184" s="228">
        <v>0</v>
      </c>
      <c r="BH184" s="229">
        <v>0.375</v>
      </c>
      <c r="BI184" s="228">
        <v>157</v>
      </c>
      <c r="BJ184" s="228">
        <v>150</v>
      </c>
      <c r="BK184" s="228">
        <v>7</v>
      </c>
      <c r="BL184" s="229">
        <v>4.58E-2</v>
      </c>
      <c r="BM184" s="228">
        <v>210</v>
      </c>
      <c r="BN184" s="228">
        <v>686</v>
      </c>
      <c r="BO184" s="228">
        <v>-476</v>
      </c>
      <c r="BP184" s="229">
        <v>-0.69340000000000002</v>
      </c>
      <c r="BQ184" s="230">
        <v>1146</v>
      </c>
      <c r="BR184" s="228">
        <v>963</v>
      </c>
      <c r="BS184" s="228">
        <v>182</v>
      </c>
      <c r="BT184" s="229">
        <v>0.18920000000000001</v>
      </c>
      <c r="BU184" s="230">
        <v>15794</v>
      </c>
      <c r="BV184" s="230">
        <v>12028</v>
      </c>
      <c r="BW184" s="230">
        <v>3766</v>
      </c>
      <c r="BX184" s="229">
        <v>0.31309999999999999</v>
      </c>
      <c r="BY184" s="230">
        <v>1020</v>
      </c>
      <c r="BZ184" s="230">
        <v>1011</v>
      </c>
      <c r="CA184" s="228">
        <v>8</v>
      </c>
      <c r="CB184" s="229">
        <v>8.3000000000000001E-3</v>
      </c>
      <c r="CC184" s="228">
        <v>682</v>
      </c>
      <c r="CD184" s="228">
        <v>939</v>
      </c>
      <c r="CE184" s="228">
        <v>-257</v>
      </c>
      <c r="CF184" s="229">
        <v>-0.27400000000000002</v>
      </c>
      <c r="CG184" s="228">
        <v>336</v>
      </c>
      <c r="CH184" s="228">
        <v>70</v>
      </c>
      <c r="CI184" s="228">
        <v>265</v>
      </c>
      <c r="CJ184" s="229">
        <v>3.7730999999999999</v>
      </c>
      <c r="CK184" s="228">
        <v>2</v>
      </c>
      <c r="CL184" s="228">
        <v>2</v>
      </c>
      <c r="CM184" s="228">
        <v>0</v>
      </c>
      <c r="CN184" s="229">
        <v>0.2069</v>
      </c>
      <c r="CO184" s="228">
        <v>181</v>
      </c>
      <c r="CP184" s="228">
        <v>165</v>
      </c>
      <c r="CQ184" s="228">
        <v>16</v>
      </c>
      <c r="CR184" s="229">
        <v>9.9299999999999999E-2</v>
      </c>
      <c r="CS184" s="228">
        <v>136</v>
      </c>
      <c r="CT184" s="228">
        <v>134</v>
      </c>
      <c r="CU184" s="228">
        <v>2</v>
      </c>
      <c r="CV184" s="229">
        <v>1.2800000000000001E-2</v>
      </c>
      <c r="CW184" s="230">
        <v>1336</v>
      </c>
      <c r="CX184" s="230">
        <v>1310</v>
      </c>
      <c r="CY184" s="228">
        <v>26</v>
      </c>
      <c r="CZ184" s="229">
        <v>2.0199999999999999E-2</v>
      </c>
      <c r="DA184" s="228">
        <v>32.33</v>
      </c>
      <c r="DB184" s="228">
        <v>30.5</v>
      </c>
      <c r="DC184" s="228">
        <v>1.83</v>
      </c>
      <c r="DD184" s="228">
        <v>1.83</v>
      </c>
      <c r="DE184" s="228">
        <v>27.62</v>
      </c>
      <c r="DF184" s="228">
        <v>27.64</v>
      </c>
      <c r="DG184" s="228">
        <v>4.71</v>
      </c>
      <c r="DH184" s="228">
        <v>-0.02</v>
      </c>
      <c r="DI184" s="228">
        <v>33.1</v>
      </c>
      <c r="DJ184" s="228">
        <v>25.11</v>
      </c>
      <c r="DK184" s="228">
        <v>7.99</v>
      </c>
      <c r="DL184" s="228">
        <v>7.99</v>
      </c>
      <c r="DM184" s="228">
        <v>28.42</v>
      </c>
      <c r="DN184" s="228">
        <v>31.67</v>
      </c>
      <c r="DO184" s="228">
        <v>-3.25</v>
      </c>
      <c r="DP184" s="228">
        <v>-3.25</v>
      </c>
      <c r="DQ184" s="228">
        <v>0.75</v>
      </c>
      <c r="DR184" s="228">
        <v>0.81</v>
      </c>
      <c r="DS184" s="228">
        <v>-0.06</v>
      </c>
      <c r="DT184" s="229">
        <v>-7.4099999999999999E-2</v>
      </c>
      <c r="DU184" s="231">
        <v>25500</v>
      </c>
      <c r="DV184" s="231">
        <v>24000</v>
      </c>
      <c r="DW184" s="228">
        <v>1.34</v>
      </c>
      <c r="DX184" s="228">
        <v>4.58</v>
      </c>
      <c r="DY184" s="228">
        <v>-3.24</v>
      </c>
      <c r="DZ184" s="229">
        <v>-0.70740000000000003</v>
      </c>
      <c r="EA184" s="229">
        <v>0.33129999999999998</v>
      </c>
      <c r="EB184" s="230">
        <v>28375</v>
      </c>
      <c r="EC184" s="229">
        <v>-1.24E-2</v>
      </c>
      <c r="ED184" s="229">
        <v>0.33129999999999998</v>
      </c>
      <c r="EE184" s="228">
        <v>-315.25</v>
      </c>
      <c r="EF184" s="229">
        <v>-1.24E-2</v>
      </c>
      <c r="EG184" s="230">
        <v>5548</v>
      </c>
      <c r="EH184" s="230">
        <v>5280</v>
      </c>
      <c r="EI184" s="229">
        <v>5.0799999999999998E-2</v>
      </c>
      <c r="EJ184" s="229">
        <v>0.3513</v>
      </c>
      <c r="EK184" s="228">
        <v>161.63</v>
      </c>
      <c r="EL184" s="228">
        <v>190.94</v>
      </c>
      <c r="EM184" s="228">
        <v>772.56</v>
      </c>
      <c r="EN184" s="228">
        <v>15.73</v>
      </c>
      <c r="EO184" s="231">
        <v>1125.1400000000001</v>
      </c>
      <c r="EP184" s="228">
        <v>885.63</v>
      </c>
      <c r="EQ184" s="228">
        <v>239.51</v>
      </c>
      <c r="ER184" s="229">
        <v>0.27039999999999997</v>
      </c>
      <c r="ES184" s="228">
        <v>175.71</v>
      </c>
      <c r="ET184" s="228">
        <v>127.62</v>
      </c>
      <c r="EU184" s="231">
        <v>1015.62</v>
      </c>
      <c r="EV184" s="231">
        <v>1655049</v>
      </c>
      <c r="EW184" s="231">
        <v>1318.94</v>
      </c>
      <c r="EX184" s="231">
        <v>1308.1500000000001</v>
      </c>
      <c r="EY184" s="228">
        <v>10.79</v>
      </c>
      <c r="EZ184" s="229">
        <v>8.2000000000000007E-3</v>
      </c>
      <c r="FA184" s="229">
        <v>0.3175</v>
      </c>
      <c r="FB184" s="227" t="s">
        <v>566</v>
      </c>
      <c r="FC184">
        <f t="shared" si="3"/>
        <v>0</v>
      </c>
    </row>
    <row r="185" spans="1:159" ht="17.25" thickBot="1" x14ac:dyDescent="0.3">
      <c r="A185" s="226">
        <v>46135</v>
      </c>
      <c r="B185" s="227" t="s">
        <v>175</v>
      </c>
      <c r="C185" s="227" t="s">
        <v>561</v>
      </c>
      <c r="D185" s="228">
        <v>825</v>
      </c>
      <c r="E185" s="228">
        <v>5</v>
      </c>
      <c r="F185" s="231">
        <v>1010.2</v>
      </c>
      <c r="G185" s="231">
        <v>1044.7</v>
      </c>
      <c r="H185" s="228">
        <v>-34.5</v>
      </c>
      <c r="I185" s="229">
        <v>-3.3000000000000002E-2</v>
      </c>
      <c r="J185" s="231">
        <v>1009.3</v>
      </c>
      <c r="K185" s="231">
        <v>1044.55</v>
      </c>
      <c r="L185" s="228">
        <v>-35.25</v>
      </c>
      <c r="M185" s="229">
        <v>-3.3700000000000001E-2</v>
      </c>
      <c r="N185" s="231">
        <v>1010.2</v>
      </c>
      <c r="O185" s="231">
        <v>1044.7</v>
      </c>
      <c r="P185" s="228">
        <v>-34.5</v>
      </c>
      <c r="Q185" s="229">
        <v>-3.3000000000000002E-2</v>
      </c>
      <c r="R185" s="231">
        <v>1015.65</v>
      </c>
      <c r="S185" s="231">
        <v>1050.8</v>
      </c>
      <c r="T185" s="228">
        <v>-35.15</v>
      </c>
      <c r="U185" s="229">
        <v>-3.3500000000000002E-2</v>
      </c>
      <c r="V185" s="231">
        <v>1021.4</v>
      </c>
      <c r="W185" s="231">
        <v>1056.75</v>
      </c>
      <c r="X185" s="228">
        <v>-35.35</v>
      </c>
      <c r="Y185" s="229">
        <v>-3.3500000000000002E-2</v>
      </c>
      <c r="Z185" s="228">
        <v>0.9</v>
      </c>
      <c r="AA185" s="228">
        <v>0.15</v>
      </c>
      <c r="AB185" s="228">
        <v>0.75</v>
      </c>
      <c r="AC185" s="229">
        <v>8.9999999999999998E-4</v>
      </c>
      <c r="AD185" s="228">
        <v>0.9</v>
      </c>
      <c r="AE185" s="228">
        <v>0.15</v>
      </c>
      <c r="AF185" s="228">
        <v>0.75</v>
      </c>
      <c r="AG185" s="229">
        <v>8.9999999999999998E-4</v>
      </c>
      <c r="AH185" s="228">
        <v>6.35</v>
      </c>
      <c r="AI185" s="228">
        <v>6.25</v>
      </c>
      <c r="AJ185" s="228">
        <v>0.1</v>
      </c>
      <c r="AK185" s="229">
        <v>6.3E-3</v>
      </c>
      <c r="AL185" s="228">
        <v>12.1</v>
      </c>
      <c r="AM185" s="228">
        <v>12.2</v>
      </c>
      <c r="AN185" s="228">
        <v>-0.1</v>
      </c>
      <c r="AO185" s="229">
        <v>1.2E-2</v>
      </c>
      <c r="AP185" s="231">
        <v>1019.57</v>
      </c>
      <c r="AQ185" s="231">
        <v>1024.18</v>
      </c>
      <c r="AR185" s="228">
        <v>0</v>
      </c>
      <c r="AS185" s="230">
        <v>2228</v>
      </c>
      <c r="AT185" s="230">
        <v>1042</v>
      </c>
      <c r="AU185" s="230">
        <v>1185</v>
      </c>
      <c r="AV185" s="229">
        <v>1.137</v>
      </c>
      <c r="AW185" s="230">
        <v>1195</v>
      </c>
      <c r="AX185" s="228">
        <v>636</v>
      </c>
      <c r="AY185" s="228">
        <v>559</v>
      </c>
      <c r="AZ185" s="229">
        <v>0.87809999999999999</v>
      </c>
      <c r="BA185" s="228">
        <v>846</v>
      </c>
      <c r="BB185" s="228">
        <v>395</v>
      </c>
      <c r="BC185" s="228">
        <v>451</v>
      </c>
      <c r="BD185" s="229">
        <v>1.1434</v>
      </c>
      <c r="BE185" s="228">
        <v>186</v>
      </c>
      <c r="BF185" s="228">
        <v>11</v>
      </c>
      <c r="BG185" s="228">
        <v>175</v>
      </c>
      <c r="BH185" s="229">
        <v>15.563000000000001</v>
      </c>
      <c r="BI185" s="230">
        <v>1950</v>
      </c>
      <c r="BJ185" s="230">
        <v>1453</v>
      </c>
      <c r="BK185" s="228">
        <v>497</v>
      </c>
      <c r="BL185" s="229">
        <v>0.3417</v>
      </c>
      <c r="BM185" s="230">
        <v>1212</v>
      </c>
      <c r="BN185" s="228">
        <v>662</v>
      </c>
      <c r="BO185" s="228">
        <v>550</v>
      </c>
      <c r="BP185" s="229">
        <v>0.83009999999999995</v>
      </c>
      <c r="BQ185" s="230">
        <v>5390</v>
      </c>
      <c r="BR185" s="230">
        <v>3158</v>
      </c>
      <c r="BS185" s="230">
        <v>2232</v>
      </c>
      <c r="BT185" s="229">
        <v>0.70669999999999999</v>
      </c>
      <c r="BU185" s="230">
        <v>4811024</v>
      </c>
      <c r="BV185" s="230">
        <v>4565960</v>
      </c>
      <c r="BW185" s="230">
        <v>245064</v>
      </c>
      <c r="BX185" s="229">
        <v>5.3699999999999998E-2</v>
      </c>
      <c r="BY185" s="230">
        <v>4040</v>
      </c>
      <c r="BZ185" s="230">
        <v>3990</v>
      </c>
      <c r="CA185" s="228">
        <v>50</v>
      </c>
      <c r="CB185" s="229">
        <v>1.24E-2</v>
      </c>
      <c r="CC185" s="230">
        <v>2208</v>
      </c>
      <c r="CD185" s="230">
        <v>2963</v>
      </c>
      <c r="CE185" s="228">
        <v>-755</v>
      </c>
      <c r="CF185" s="229">
        <v>-0.25469999999999998</v>
      </c>
      <c r="CG185" s="230">
        <v>1349</v>
      </c>
      <c r="CH185" s="228">
        <v>724</v>
      </c>
      <c r="CI185" s="228">
        <v>626</v>
      </c>
      <c r="CJ185" s="229">
        <v>0.86460000000000004</v>
      </c>
      <c r="CK185" s="228">
        <v>482</v>
      </c>
      <c r="CL185" s="228">
        <v>303</v>
      </c>
      <c r="CM185" s="228">
        <v>178</v>
      </c>
      <c r="CN185" s="229">
        <v>0.58819999999999995</v>
      </c>
      <c r="CO185" s="230">
        <v>1535</v>
      </c>
      <c r="CP185" s="230">
        <v>1455</v>
      </c>
      <c r="CQ185" s="228">
        <v>80</v>
      </c>
      <c r="CR185" s="229">
        <v>5.5E-2</v>
      </c>
      <c r="CS185" s="230">
        <v>1075</v>
      </c>
      <c r="CT185" s="230">
        <v>1049</v>
      </c>
      <c r="CU185" s="228">
        <v>26</v>
      </c>
      <c r="CV185" s="229">
        <v>2.5000000000000001E-2</v>
      </c>
      <c r="CW185" s="230">
        <v>6650</v>
      </c>
      <c r="CX185" s="230">
        <v>6494</v>
      </c>
      <c r="CY185" s="228">
        <v>156</v>
      </c>
      <c r="CZ185" s="229">
        <v>2.4E-2</v>
      </c>
      <c r="DA185" s="228">
        <v>43.63</v>
      </c>
      <c r="DB185" s="228">
        <v>49.82</v>
      </c>
      <c r="DC185" s="228">
        <v>-6.19</v>
      </c>
      <c r="DD185" s="228">
        <v>-6.19</v>
      </c>
      <c r="DE185" s="228">
        <v>44.92</v>
      </c>
      <c r="DF185" s="228">
        <v>44.79</v>
      </c>
      <c r="DG185" s="228">
        <v>-1.29</v>
      </c>
      <c r="DH185" s="228">
        <v>0.13</v>
      </c>
      <c r="DI185" s="228">
        <v>43.71</v>
      </c>
      <c r="DJ185" s="228">
        <v>48.77</v>
      </c>
      <c r="DK185" s="228">
        <v>-5.0599999999999996</v>
      </c>
      <c r="DL185" s="228">
        <v>-5.0599999999999996</v>
      </c>
      <c r="DM185" s="228">
        <v>43.52</v>
      </c>
      <c r="DN185" s="228">
        <v>52.12</v>
      </c>
      <c r="DO185" s="228">
        <v>-8.6</v>
      </c>
      <c r="DP185" s="228">
        <v>-8.6</v>
      </c>
      <c r="DQ185" s="228">
        <v>0.7</v>
      </c>
      <c r="DR185" s="228">
        <v>0.72</v>
      </c>
      <c r="DS185" s="228">
        <v>-0.02</v>
      </c>
      <c r="DT185" s="229">
        <v>-2.7799999999999998E-2</v>
      </c>
      <c r="DU185" s="231">
        <v>1100</v>
      </c>
      <c r="DV185" s="231">
        <v>1000</v>
      </c>
      <c r="DW185" s="228">
        <v>0.62</v>
      </c>
      <c r="DX185" s="228">
        <v>0.46</v>
      </c>
      <c r="DY185" s="228">
        <v>0.16</v>
      </c>
      <c r="DZ185" s="229">
        <v>0.3478</v>
      </c>
      <c r="EA185" s="229">
        <v>0.45329999999999998</v>
      </c>
      <c r="EB185" s="230">
        <v>10167300</v>
      </c>
      <c r="EC185" s="229">
        <v>5.4000000000000003E-3</v>
      </c>
      <c r="ED185" s="229">
        <v>0.45329999999999998</v>
      </c>
      <c r="EE185" s="228">
        <v>4.6100000000000003</v>
      </c>
      <c r="EF185" s="229">
        <v>4.4999999999999997E-3</v>
      </c>
      <c r="EG185" s="230">
        <v>2423553</v>
      </c>
      <c r="EH185" s="230">
        <v>2217588</v>
      </c>
      <c r="EI185" s="229">
        <v>9.2899999999999996E-2</v>
      </c>
      <c r="EJ185" s="229">
        <v>0.50370000000000004</v>
      </c>
      <c r="EK185" s="231">
        <v>2075.56</v>
      </c>
      <c r="EL185" s="231">
        <v>1216.71</v>
      </c>
      <c r="EM185" s="231">
        <v>2254.92</v>
      </c>
      <c r="EN185" s="228">
        <v>95.45</v>
      </c>
      <c r="EO185" s="231">
        <v>5547.2</v>
      </c>
      <c r="EP185" s="231">
        <v>3315.88</v>
      </c>
      <c r="EQ185" s="231">
        <v>2231.3200000000002</v>
      </c>
      <c r="ER185" s="229">
        <v>0.67290000000000005</v>
      </c>
      <c r="ES185" s="231">
        <v>1582.97</v>
      </c>
      <c r="ET185" s="231">
        <v>1016.14</v>
      </c>
      <c r="EU185" s="231">
        <v>4052.18</v>
      </c>
      <c r="EV185" s="231">
        <v>210567108</v>
      </c>
      <c r="EW185" s="231">
        <v>6651.29</v>
      </c>
      <c r="EX185" s="231">
        <v>6629.3</v>
      </c>
      <c r="EY185" s="228">
        <v>21.99</v>
      </c>
      <c r="EZ185" s="229">
        <v>3.3E-3</v>
      </c>
      <c r="FA185" s="229">
        <v>0.31259999999999999</v>
      </c>
      <c r="FB185" s="227" t="s">
        <v>566</v>
      </c>
      <c r="FC185">
        <f t="shared" si="3"/>
        <v>0</v>
      </c>
    </row>
    <row r="186" spans="1:159" ht="17.25" thickBot="1" x14ac:dyDescent="0.3">
      <c r="A186" s="226">
        <v>46135</v>
      </c>
      <c r="B186" s="227" t="s">
        <v>184</v>
      </c>
      <c r="C186" s="227" t="s">
        <v>285</v>
      </c>
      <c r="D186" s="228">
        <v>175</v>
      </c>
      <c r="E186" s="228">
        <v>5</v>
      </c>
      <c r="F186" s="231">
        <v>3877.9</v>
      </c>
      <c r="G186" s="231">
        <v>3841.9</v>
      </c>
      <c r="H186" s="228">
        <v>36</v>
      </c>
      <c r="I186" s="229">
        <v>9.4000000000000004E-3</v>
      </c>
      <c r="J186" s="231">
        <v>3864.4</v>
      </c>
      <c r="K186" s="231">
        <v>3844.3</v>
      </c>
      <c r="L186" s="228">
        <v>20.100000000000001</v>
      </c>
      <c r="M186" s="229">
        <v>5.1999999999999998E-3</v>
      </c>
      <c r="N186" s="231">
        <v>3877.9</v>
      </c>
      <c r="O186" s="231">
        <v>3841.9</v>
      </c>
      <c r="P186" s="228">
        <v>36</v>
      </c>
      <c r="Q186" s="229">
        <v>9.4000000000000004E-3</v>
      </c>
      <c r="R186" s="231">
        <v>3857.7</v>
      </c>
      <c r="S186" s="231">
        <v>3821.8</v>
      </c>
      <c r="T186" s="228">
        <v>35.9</v>
      </c>
      <c r="U186" s="229">
        <v>9.4000000000000004E-3</v>
      </c>
      <c r="V186" s="231">
        <v>3823.4</v>
      </c>
      <c r="W186" s="231">
        <v>3818.2</v>
      </c>
      <c r="X186" s="228">
        <v>5.2</v>
      </c>
      <c r="Y186" s="229">
        <v>1.4E-3</v>
      </c>
      <c r="Z186" s="228">
        <v>13.5</v>
      </c>
      <c r="AA186" s="228">
        <v>-2.4</v>
      </c>
      <c r="AB186" s="228">
        <v>15.9</v>
      </c>
      <c r="AC186" s="229">
        <v>3.5000000000000001E-3</v>
      </c>
      <c r="AD186" s="228">
        <v>13.5</v>
      </c>
      <c r="AE186" s="228">
        <v>-2.4</v>
      </c>
      <c r="AF186" s="228">
        <v>15.9</v>
      </c>
      <c r="AG186" s="229">
        <v>3.5000000000000001E-3</v>
      </c>
      <c r="AH186" s="228">
        <v>-6.7</v>
      </c>
      <c r="AI186" s="228">
        <v>-22.5</v>
      </c>
      <c r="AJ186" s="228">
        <v>15.8</v>
      </c>
      <c r="AK186" s="229">
        <v>-1.6999999999999999E-3</v>
      </c>
      <c r="AL186" s="228">
        <v>-41</v>
      </c>
      <c r="AM186" s="228">
        <v>-26.1</v>
      </c>
      <c r="AN186" s="228">
        <v>-14.9</v>
      </c>
      <c r="AO186" s="229">
        <v>-1.06E-2</v>
      </c>
      <c r="AP186" s="231">
        <v>3872.93</v>
      </c>
      <c r="AQ186" s="231">
        <v>3850.86</v>
      </c>
      <c r="AR186" s="228">
        <v>0</v>
      </c>
      <c r="AS186" s="230">
        <v>1165</v>
      </c>
      <c r="AT186" s="228">
        <v>675</v>
      </c>
      <c r="AU186" s="228">
        <v>490</v>
      </c>
      <c r="AV186" s="229">
        <v>0.72509999999999997</v>
      </c>
      <c r="AW186" s="228">
        <v>632</v>
      </c>
      <c r="AX186" s="228">
        <v>475</v>
      </c>
      <c r="AY186" s="228">
        <v>157</v>
      </c>
      <c r="AZ186" s="229">
        <v>0.33160000000000001</v>
      </c>
      <c r="BA186" s="228">
        <v>529</v>
      </c>
      <c r="BB186" s="228">
        <v>194</v>
      </c>
      <c r="BC186" s="228">
        <v>335</v>
      </c>
      <c r="BD186" s="229">
        <v>1.7262999999999999</v>
      </c>
      <c r="BE186" s="228">
        <v>3</v>
      </c>
      <c r="BF186" s="228">
        <v>6</v>
      </c>
      <c r="BG186" s="228">
        <v>-3</v>
      </c>
      <c r="BH186" s="229">
        <v>-0.45739999999999997</v>
      </c>
      <c r="BI186" s="230">
        <v>1752</v>
      </c>
      <c r="BJ186" s="230">
        <v>5607</v>
      </c>
      <c r="BK186" s="230">
        <v>-3855</v>
      </c>
      <c r="BL186" s="229">
        <v>-0.6875</v>
      </c>
      <c r="BM186" s="230">
        <v>1003</v>
      </c>
      <c r="BN186" s="230">
        <v>2169</v>
      </c>
      <c r="BO186" s="230">
        <v>-1165</v>
      </c>
      <c r="BP186" s="229">
        <v>-0.5373</v>
      </c>
      <c r="BQ186" s="230">
        <v>3921</v>
      </c>
      <c r="BR186" s="230">
        <v>8451</v>
      </c>
      <c r="BS186" s="230">
        <v>-4530</v>
      </c>
      <c r="BT186" s="229">
        <v>-0.53610000000000002</v>
      </c>
      <c r="BU186" s="230">
        <v>696850</v>
      </c>
      <c r="BV186" s="230">
        <v>913585</v>
      </c>
      <c r="BW186" s="230">
        <v>-216735</v>
      </c>
      <c r="BX186" s="229">
        <v>-0.23719999999999999</v>
      </c>
      <c r="BY186" s="230">
        <v>1339</v>
      </c>
      <c r="BZ186" s="230">
        <v>1451</v>
      </c>
      <c r="CA186" s="228">
        <v>-113</v>
      </c>
      <c r="CB186" s="229">
        <v>-7.7600000000000002E-2</v>
      </c>
      <c r="CC186" s="228">
        <v>867</v>
      </c>
      <c r="CD186" s="230">
        <v>1219</v>
      </c>
      <c r="CE186" s="228">
        <v>-352</v>
      </c>
      <c r="CF186" s="229">
        <v>-0.28889999999999999</v>
      </c>
      <c r="CG186" s="228">
        <v>464</v>
      </c>
      <c r="CH186" s="228">
        <v>224</v>
      </c>
      <c r="CI186" s="228">
        <v>239</v>
      </c>
      <c r="CJ186" s="229">
        <v>1.0665</v>
      </c>
      <c r="CK186" s="228">
        <v>8</v>
      </c>
      <c r="CL186" s="228">
        <v>8</v>
      </c>
      <c r="CM186" s="228">
        <v>0</v>
      </c>
      <c r="CN186" s="229">
        <v>4.24E-2</v>
      </c>
      <c r="CO186" s="228">
        <v>713</v>
      </c>
      <c r="CP186" s="228">
        <v>644</v>
      </c>
      <c r="CQ186" s="228">
        <v>69</v>
      </c>
      <c r="CR186" s="229">
        <v>0.10780000000000001</v>
      </c>
      <c r="CS186" s="228">
        <v>593</v>
      </c>
      <c r="CT186" s="228">
        <v>619</v>
      </c>
      <c r="CU186" s="228">
        <v>-26</v>
      </c>
      <c r="CV186" s="229">
        <v>-4.2200000000000001E-2</v>
      </c>
      <c r="CW186" s="230">
        <v>2645</v>
      </c>
      <c r="CX186" s="230">
        <v>2714</v>
      </c>
      <c r="CY186" s="228">
        <v>-69</v>
      </c>
      <c r="CZ186" s="229">
        <v>-2.5499999999999998E-2</v>
      </c>
      <c r="DA186" s="228">
        <v>41.29</v>
      </c>
      <c r="DB186" s="228">
        <v>40.24</v>
      </c>
      <c r="DC186" s="228">
        <v>1.05</v>
      </c>
      <c r="DD186" s="228">
        <v>1.05</v>
      </c>
      <c r="DE186" s="228">
        <v>41.01</v>
      </c>
      <c r="DF186" s="228">
        <v>41.09</v>
      </c>
      <c r="DG186" s="228">
        <v>0.28000000000000003</v>
      </c>
      <c r="DH186" s="228">
        <v>-0.08</v>
      </c>
      <c r="DI186" s="228">
        <v>40.93</v>
      </c>
      <c r="DJ186" s="228">
        <v>39.5</v>
      </c>
      <c r="DK186" s="228">
        <v>1.43</v>
      </c>
      <c r="DL186" s="228">
        <v>1.43</v>
      </c>
      <c r="DM186" s="228">
        <v>42.19</v>
      </c>
      <c r="DN186" s="228">
        <v>42.14</v>
      </c>
      <c r="DO186" s="228">
        <v>0.05</v>
      </c>
      <c r="DP186" s="228">
        <v>0.05</v>
      </c>
      <c r="DQ186" s="228">
        <v>0.83</v>
      </c>
      <c r="DR186" s="228">
        <v>0.96</v>
      </c>
      <c r="DS186" s="228">
        <v>-0.13</v>
      </c>
      <c r="DT186" s="229">
        <v>-0.13539999999999999</v>
      </c>
      <c r="DU186" s="231">
        <v>4000</v>
      </c>
      <c r="DV186" s="231">
        <v>3500</v>
      </c>
      <c r="DW186" s="228">
        <v>0.56999999999999995</v>
      </c>
      <c r="DX186" s="228">
        <v>0.39</v>
      </c>
      <c r="DY186" s="228">
        <v>0.18</v>
      </c>
      <c r="DZ186" s="229">
        <v>0.46150000000000002</v>
      </c>
      <c r="EA186" s="229">
        <v>0.35249999999999998</v>
      </c>
      <c r="EB186" s="230">
        <v>599200</v>
      </c>
      <c r="EC186" s="229">
        <v>-5.1999999999999998E-3</v>
      </c>
      <c r="ED186" s="229">
        <v>0.35249999999999998</v>
      </c>
      <c r="EE186" s="228">
        <v>-22.07</v>
      </c>
      <c r="EF186" s="229">
        <v>-5.7000000000000002E-3</v>
      </c>
      <c r="EG186" s="230">
        <v>239280</v>
      </c>
      <c r="EH186" s="230">
        <v>302315</v>
      </c>
      <c r="EI186" s="229">
        <v>-0.20849999999999999</v>
      </c>
      <c r="EJ186" s="229">
        <v>0.34339999999999998</v>
      </c>
      <c r="EK186" s="231">
        <v>1813.61</v>
      </c>
      <c r="EL186" s="228">
        <v>961.19</v>
      </c>
      <c r="EM186" s="231">
        <v>1160.54</v>
      </c>
      <c r="EN186" s="228">
        <v>63.9</v>
      </c>
      <c r="EO186" s="231">
        <v>3935.34</v>
      </c>
      <c r="EP186" s="231">
        <v>8483.9699999999993</v>
      </c>
      <c r="EQ186" s="231">
        <v>-4548.63</v>
      </c>
      <c r="ER186" s="229">
        <v>-0.53610000000000002</v>
      </c>
      <c r="ES186" s="228">
        <v>698.02</v>
      </c>
      <c r="ET186" s="228">
        <v>527.53</v>
      </c>
      <c r="EU186" s="231">
        <v>1336.27</v>
      </c>
      <c r="EV186" s="231">
        <v>10374894</v>
      </c>
      <c r="EW186" s="231">
        <v>2561.83</v>
      </c>
      <c r="EX186" s="231">
        <v>2608.4299999999998</v>
      </c>
      <c r="EY186" s="228">
        <v>-46.6</v>
      </c>
      <c r="EZ186" s="229">
        <v>-1.7899999999999999E-2</v>
      </c>
      <c r="FA186" s="229">
        <v>0.65749999999999997</v>
      </c>
      <c r="FB186" s="227" t="s">
        <v>693</v>
      </c>
      <c r="FC186">
        <f t="shared" si="3"/>
        <v>0</v>
      </c>
    </row>
    <row r="187" spans="1:159" ht="17.25" thickBot="1" x14ac:dyDescent="0.3">
      <c r="A187" s="226">
        <v>46135</v>
      </c>
      <c r="B187" s="227" t="s">
        <v>498</v>
      </c>
      <c r="C187" s="227" t="s">
        <v>645</v>
      </c>
      <c r="D187" s="228">
        <v>50</v>
      </c>
      <c r="E187" s="228">
        <v>5</v>
      </c>
      <c r="F187" s="231">
        <v>15756</v>
      </c>
      <c r="G187" s="231">
        <v>15290</v>
      </c>
      <c r="H187" s="228">
        <v>466</v>
      </c>
      <c r="I187" s="229">
        <v>3.0499999999999999E-2</v>
      </c>
      <c r="J187" s="231">
        <v>15747</v>
      </c>
      <c r="K187" s="231">
        <v>15272</v>
      </c>
      <c r="L187" s="228">
        <v>475</v>
      </c>
      <c r="M187" s="229">
        <v>3.1099999999999999E-2</v>
      </c>
      <c r="N187" s="231">
        <v>15756</v>
      </c>
      <c r="O187" s="231">
        <v>15290</v>
      </c>
      <c r="P187" s="228">
        <v>466</v>
      </c>
      <c r="Q187" s="229">
        <v>3.0499999999999999E-2</v>
      </c>
      <c r="R187" s="231">
        <v>15810</v>
      </c>
      <c r="S187" s="231">
        <v>15357</v>
      </c>
      <c r="T187" s="228">
        <v>453</v>
      </c>
      <c r="U187" s="229">
        <v>2.9499999999999998E-2</v>
      </c>
      <c r="V187" s="231">
        <v>15899</v>
      </c>
      <c r="W187" s="231">
        <v>15420</v>
      </c>
      <c r="X187" s="228">
        <v>479</v>
      </c>
      <c r="Y187" s="229">
        <v>3.1099999999999999E-2</v>
      </c>
      <c r="Z187" s="228">
        <v>9</v>
      </c>
      <c r="AA187" s="228">
        <v>18</v>
      </c>
      <c r="AB187" s="228">
        <v>-9</v>
      </c>
      <c r="AC187" s="229">
        <v>5.9999999999999995E-4</v>
      </c>
      <c r="AD187" s="228">
        <v>9</v>
      </c>
      <c r="AE187" s="228">
        <v>18</v>
      </c>
      <c r="AF187" s="228">
        <v>-9</v>
      </c>
      <c r="AG187" s="229">
        <v>5.9999999999999995E-4</v>
      </c>
      <c r="AH187" s="228">
        <v>63</v>
      </c>
      <c r="AI187" s="228">
        <v>85</v>
      </c>
      <c r="AJ187" s="228">
        <v>-22</v>
      </c>
      <c r="AK187" s="229">
        <v>4.0000000000000001E-3</v>
      </c>
      <c r="AL187" s="228">
        <v>152</v>
      </c>
      <c r="AM187" s="228">
        <v>148</v>
      </c>
      <c r="AN187" s="228">
        <v>4</v>
      </c>
      <c r="AO187" s="229">
        <v>9.7000000000000003E-3</v>
      </c>
      <c r="AP187" s="231">
        <v>15610.41</v>
      </c>
      <c r="AQ187" s="231">
        <v>15652.4</v>
      </c>
      <c r="AR187" s="228">
        <v>0</v>
      </c>
      <c r="AS187" s="230">
        <v>1166</v>
      </c>
      <c r="AT187" s="228">
        <v>217</v>
      </c>
      <c r="AU187" s="228">
        <v>949</v>
      </c>
      <c r="AV187" s="229">
        <v>4.3710000000000004</v>
      </c>
      <c r="AW187" s="228">
        <v>574</v>
      </c>
      <c r="AX187" s="228">
        <v>127</v>
      </c>
      <c r="AY187" s="228">
        <v>447</v>
      </c>
      <c r="AZ187" s="229">
        <v>3.5076999999999998</v>
      </c>
      <c r="BA187" s="228">
        <v>561</v>
      </c>
      <c r="BB187" s="228">
        <v>78</v>
      </c>
      <c r="BC187" s="228">
        <v>483</v>
      </c>
      <c r="BD187" s="229">
        <v>6.1951000000000001</v>
      </c>
      <c r="BE187" s="228">
        <v>31</v>
      </c>
      <c r="BF187" s="228">
        <v>12</v>
      </c>
      <c r="BG187" s="228">
        <v>19</v>
      </c>
      <c r="BH187" s="229">
        <v>1.6309</v>
      </c>
      <c r="BI187" s="230">
        <v>3091</v>
      </c>
      <c r="BJ187" s="230">
        <v>1304</v>
      </c>
      <c r="BK187" s="230">
        <v>1787</v>
      </c>
      <c r="BL187" s="229">
        <v>1.3703000000000001</v>
      </c>
      <c r="BM187" s="230">
        <v>2150</v>
      </c>
      <c r="BN187" s="230">
        <v>1619</v>
      </c>
      <c r="BO187" s="228">
        <v>531</v>
      </c>
      <c r="BP187" s="229">
        <v>0.3281</v>
      </c>
      <c r="BQ187" s="230">
        <v>6407</v>
      </c>
      <c r="BR187" s="230">
        <v>3140</v>
      </c>
      <c r="BS187" s="230">
        <v>3267</v>
      </c>
      <c r="BT187" s="229">
        <v>1.0404</v>
      </c>
      <c r="BU187" s="230">
        <v>234826</v>
      </c>
      <c r="BV187" s="230">
        <v>128538</v>
      </c>
      <c r="BW187" s="230">
        <v>106288</v>
      </c>
      <c r="BX187" s="229">
        <v>0.82689999999999997</v>
      </c>
      <c r="BY187" s="230">
        <v>1209</v>
      </c>
      <c r="BZ187" s="230">
        <v>1265</v>
      </c>
      <c r="CA187" s="228">
        <v>-56</v>
      </c>
      <c r="CB187" s="229">
        <v>-4.4600000000000001E-2</v>
      </c>
      <c r="CC187" s="228">
        <v>699</v>
      </c>
      <c r="CD187" s="230">
        <v>1015</v>
      </c>
      <c r="CE187" s="228">
        <v>-316</v>
      </c>
      <c r="CF187" s="229">
        <v>-0.31119999999999998</v>
      </c>
      <c r="CG187" s="228">
        <v>457</v>
      </c>
      <c r="CH187" s="228">
        <v>200</v>
      </c>
      <c r="CI187" s="228">
        <v>257</v>
      </c>
      <c r="CJ187" s="229">
        <v>1.2851999999999999</v>
      </c>
      <c r="CK187" s="228">
        <v>53</v>
      </c>
      <c r="CL187" s="228">
        <v>51</v>
      </c>
      <c r="CM187" s="228">
        <v>2</v>
      </c>
      <c r="CN187" s="229">
        <v>4.36E-2</v>
      </c>
      <c r="CO187" s="228">
        <v>551</v>
      </c>
      <c r="CP187" s="228">
        <v>629</v>
      </c>
      <c r="CQ187" s="228">
        <v>-77</v>
      </c>
      <c r="CR187" s="229">
        <v>-0.1232</v>
      </c>
      <c r="CS187" s="228">
        <v>472</v>
      </c>
      <c r="CT187" s="228">
        <v>362</v>
      </c>
      <c r="CU187" s="228">
        <v>110</v>
      </c>
      <c r="CV187" s="229">
        <v>0.30370000000000003</v>
      </c>
      <c r="CW187" s="230">
        <v>2232</v>
      </c>
      <c r="CX187" s="230">
        <v>2256</v>
      </c>
      <c r="CY187" s="228">
        <v>-24</v>
      </c>
      <c r="CZ187" s="229">
        <v>-1.06E-2</v>
      </c>
      <c r="DA187" s="228">
        <v>38.33</v>
      </c>
      <c r="DB187" s="228">
        <v>46.01</v>
      </c>
      <c r="DC187" s="228">
        <v>-7.68</v>
      </c>
      <c r="DD187" s="228">
        <v>-7.68</v>
      </c>
      <c r="DE187" s="228">
        <v>41.51</v>
      </c>
      <c r="DF187" s="228">
        <v>41.41</v>
      </c>
      <c r="DG187" s="228">
        <v>-3.18</v>
      </c>
      <c r="DH187" s="228">
        <v>0.1</v>
      </c>
      <c r="DI187" s="228">
        <v>37.840000000000003</v>
      </c>
      <c r="DJ187" s="228">
        <v>35.340000000000003</v>
      </c>
      <c r="DK187" s="228">
        <v>2.5</v>
      </c>
      <c r="DL187" s="228">
        <v>2.5</v>
      </c>
      <c r="DM187" s="228">
        <v>39.770000000000003</v>
      </c>
      <c r="DN187" s="228">
        <v>54.6</v>
      </c>
      <c r="DO187" s="228">
        <v>-14.83</v>
      </c>
      <c r="DP187" s="228">
        <v>-14.83</v>
      </c>
      <c r="DQ187" s="228">
        <v>0.86</v>
      </c>
      <c r="DR187" s="228">
        <v>0.57999999999999996</v>
      </c>
      <c r="DS187" s="228">
        <v>0.28000000000000003</v>
      </c>
      <c r="DT187" s="229">
        <v>0.48280000000000001</v>
      </c>
      <c r="DU187" s="231">
        <v>16000</v>
      </c>
      <c r="DV187" s="231">
        <v>15000</v>
      </c>
      <c r="DW187" s="228">
        <v>0.7</v>
      </c>
      <c r="DX187" s="228">
        <v>1.24</v>
      </c>
      <c r="DY187" s="228">
        <v>-0.54</v>
      </c>
      <c r="DZ187" s="229">
        <v>-0.4355</v>
      </c>
      <c r="EA187" s="229">
        <v>0.42180000000000001</v>
      </c>
      <c r="EB187" s="230">
        <v>159050</v>
      </c>
      <c r="EC187" s="229">
        <v>3.3999999999999998E-3</v>
      </c>
      <c r="ED187" s="229">
        <v>0.42180000000000001</v>
      </c>
      <c r="EE187" s="228">
        <v>41.99</v>
      </c>
      <c r="EF187" s="229">
        <v>2.7000000000000001E-3</v>
      </c>
      <c r="EG187" s="230">
        <v>66613</v>
      </c>
      <c r="EH187" s="230">
        <v>56228</v>
      </c>
      <c r="EI187" s="229">
        <v>0.1847</v>
      </c>
      <c r="EJ187" s="229">
        <v>0.28370000000000001</v>
      </c>
      <c r="EK187" s="231">
        <v>3170.81</v>
      </c>
      <c r="EL187" s="231">
        <v>1866.58</v>
      </c>
      <c r="EM187" s="231">
        <v>1156.83</v>
      </c>
      <c r="EN187" s="228">
        <v>23.24</v>
      </c>
      <c r="EO187" s="231">
        <v>6194.21</v>
      </c>
      <c r="EP187" s="231">
        <v>2843.29</v>
      </c>
      <c r="EQ187" s="231">
        <v>3350.92</v>
      </c>
      <c r="ER187" s="229">
        <v>1.1785000000000001</v>
      </c>
      <c r="ES187" s="228">
        <v>532.67999999999995</v>
      </c>
      <c r="ET187" s="228">
        <v>415.66</v>
      </c>
      <c r="EU187" s="231">
        <v>1210.77</v>
      </c>
      <c r="EV187" s="231">
        <v>3644817</v>
      </c>
      <c r="EW187" s="231">
        <v>2159.11</v>
      </c>
      <c r="EX187" s="231">
        <v>2138.17</v>
      </c>
      <c r="EY187" s="228">
        <v>20.94</v>
      </c>
      <c r="EZ187" s="229">
        <v>9.7999999999999997E-3</v>
      </c>
      <c r="FA187" s="229">
        <v>0.3886</v>
      </c>
      <c r="FB187" s="227" t="s">
        <v>693</v>
      </c>
      <c r="FC187">
        <f t="shared" si="3"/>
        <v>0</v>
      </c>
    </row>
    <row r="188" spans="1:159" ht="17.25" thickBot="1" x14ac:dyDescent="0.3">
      <c r="A188" s="226">
        <v>46135</v>
      </c>
      <c r="B188" s="227" t="s">
        <v>162</v>
      </c>
      <c r="C188" s="227" t="s">
        <v>613</v>
      </c>
      <c r="D188" s="228">
        <v>1225</v>
      </c>
      <c r="E188" s="228">
        <v>5</v>
      </c>
      <c r="F188" s="228">
        <v>574.1</v>
      </c>
      <c r="G188" s="228">
        <v>588</v>
      </c>
      <c r="H188" s="228">
        <v>-13.9</v>
      </c>
      <c r="I188" s="229">
        <v>-2.3599999999999999E-2</v>
      </c>
      <c r="J188" s="228">
        <v>574.54999999999995</v>
      </c>
      <c r="K188" s="228">
        <v>588.45000000000005</v>
      </c>
      <c r="L188" s="228">
        <v>-13.9</v>
      </c>
      <c r="M188" s="229">
        <v>-2.3599999999999999E-2</v>
      </c>
      <c r="N188" s="228">
        <v>574.1</v>
      </c>
      <c r="O188" s="228">
        <v>588</v>
      </c>
      <c r="P188" s="228">
        <v>-13.9</v>
      </c>
      <c r="Q188" s="229">
        <v>-2.3599999999999999E-2</v>
      </c>
      <c r="R188" s="228">
        <v>577.4</v>
      </c>
      <c r="S188" s="228">
        <v>590.65</v>
      </c>
      <c r="T188" s="228">
        <v>-13.25</v>
      </c>
      <c r="U188" s="229">
        <v>-2.24E-2</v>
      </c>
      <c r="V188" s="228">
        <v>581.04999999999995</v>
      </c>
      <c r="W188" s="228">
        <v>593.85</v>
      </c>
      <c r="X188" s="228">
        <v>-12.8</v>
      </c>
      <c r="Y188" s="229">
        <v>-2.1600000000000001E-2</v>
      </c>
      <c r="Z188" s="228">
        <v>-0.45</v>
      </c>
      <c r="AA188" s="228">
        <v>-0.45</v>
      </c>
      <c r="AB188" s="228">
        <v>0</v>
      </c>
      <c r="AC188" s="229">
        <v>-8.0000000000000004E-4</v>
      </c>
      <c r="AD188" s="228">
        <v>-0.45</v>
      </c>
      <c r="AE188" s="228">
        <v>-0.45</v>
      </c>
      <c r="AF188" s="228">
        <v>0</v>
      </c>
      <c r="AG188" s="229">
        <v>-8.0000000000000004E-4</v>
      </c>
      <c r="AH188" s="228">
        <v>2.85</v>
      </c>
      <c r="AI188" s="228">
        <v>2.2000000000000002</v>
      </c>
      <c r="AJ188" s="228">
        <v>0.65</v>
      </c>
      <c r="AK188" s="229">
        <v>5.0000000000000001E-3</v>
      </c>
      <c r="AL188" s="228">
        <v>6.5</v>
      </c>
      <c r="AM188" s="228">
        <v>5.4</v>
      </c>
      <c r="AN188" s="228">
        <v>1.1000000000000001</v>
      </c>
      <c r="AO188" s="229">
        <v>1.1299999999999999E-2</v>
      </c>
      <c r="AP188" s="228">
        <v>577.24</v>
      </c>
      <c r="AQ188" s="228">
        <v>579.94000000000005</v>
      </c>
      <c r="AR188" s="228">
        <v>0</v>
      </c>
      <c r="AS188" s="228">
        <v>457</v>
      </c>
      <c r="AT188" s="228">
        <v>178</v>
      </c>
      <c r="AU188" s="228">
        <v>279</v>
      </c>
      <c r="AV188" s="229">
        <v>1.5723</v>
      </c>
      <c r="AW188" s="228">
        <v>255</v>
      </c>
      <c r="AX188" s="228">
        <v>139</v>
      </c>
      <c r="AY188" s="228">
        <v>116</v>
      </c>
      <c r="AZ188" s="229">
        <v>0.83289999999999997</v>
      </c>
      <c r="BA188" s="228">
        <v>201</v>
      </c>
      <c r="BB188" s="228">
        <v>37</v>
      </c>
      <c r="BC188" s="228">
        <v>163</v>
      </c>
      <c r="BD188" s="229">
        <v>4.3582999999999998</v>
      </c>
      <c r="BE188" s="228">
        <v>1</v>
      </c>
      <c r="BF188" s="228">
        <v>1</v>
      </c>
      <c r="BG188" s="228">
        <v>0</v>
      </c>
      <c r="BH188" s="229">
        <v>-0.2727</v>
      </c>
      <c r="BI188" s="228">
        <v>257</v>
      </c>
      <c r="BJ188" s="228">
        <v>273</v>
      </c>
      <c r="BK188" s="228">
        <v>-15</v>
      </c>
      <c r="BL188" s="229">
        <v>-5.6399999999999999E-2</v>
      </c>
      <c r="BM188" s="228">
        <v>143</v>
      </c>
      <c r="BN188" s="228">
        <v>71</v>
      </c>
      <c r="BO188" s="228">
        <v>72</v>
      </c>
      <c r="BP188" s="229">
        <v>1.0208999999999999</v>
      </c>
      <c r="BQ188" s="228">
        <v>857</v>
      </c>
      <c r="BR188" s="228">
        <v>521</v>
      </c>
      <c r="BS188" s="228">
        <v>336</v>
      </c>
      <c r="BT188" s="229">
        <v>0.64459999999999995</v>
      </c>
      <c r="BU188" s="230">
        <v>1599342</v>
      </c>
      <c r="BV188" s="230">
        <v>1713468</v>
      </c>
      <c r="BW188" s="230">
        <v>-114126</v>
      </c>
      <c r="BX188" s="229">
        <v>-6.6600000000000006E-2</v>
      </c>
      <c r="BY188" s="228">
        <v>819</v>
      </c>
      <c r="BZ188" s="228">
        <v>830</v>
      </c>
      <c r="CA188" s="228">
        <v>-11</v>
      </c>
      <c r="CB188" s="229">
        <v>-1.38E-2</v>
      </c>
      <c r="CC188" s="228">
        <v>630</v>
      </c>
      <c r="CD188" s="228">
        <v>774</v>
      </c>
      <c r="CE188" s="228">
        <v>-144</v>
      </c>
      <c r="CF188" s="229">
        <v>-0.18559999999999999</v>
      </c>
      <c r="CG188" s="228">
        <v>183</v>
      </c>
      <c r="CH188" s="228">
        <v>51</v>
      </c>
      <c r="CI188" s="228">
        <v>132</v>
      </c>
      <c r="CJ188" s="229">
        <v>2.589</v>
      </c>
      <c r="CK188" s="228">
        <v>5</v>
      </c>
      <c r="CL188" s="228">
        <v>5</v>
      </c>
      <c r="CM188" s="228">
        <v>0</v>
      </c>
      <c r="CN188" s="229">
        <v>2.7E-2</v>
      </c>
      <c r="CO188" s="228">
        <v>257</v>
      </c>
      <c r="CP188" s="228">
        <v>253</v>
      </c>
      <c r="CQ188" s="228">
        <v>4</v>
      </c>
      <c r="CR188" s="229">
        <v>1.3899999999999999E-2</v>
      </c>
      <c r="CS188" s="228">
        <v>178</v>
      </c>
      <c r="CT188" s="228">
        <v>182</v>
      </c>
      <c r="CU188" s="228">
        <v>-4</v>
      </c>
      <c r="CV188" s="229">
        <v>-2.12E-2</v>
      </c>
      <c r="CW188" s="230">
        <v>1254</v>
      </c>
      <c r="CX188" s="230">
        <v>1265</v>
      </c>
      <c r="CY188" s="228">
        <v>-12</v>
      </c>
      <c r="CZ188" s="229">
        <v>-9.2999999999999992E-3</v>
      </c>
      <c r="DA188" s="228">
        <v>39.5</v>
      </c>
      <c r="DB188" s="228">
        <v>33.9</v>
      </c>
      <c r="DC188" s="228">
        <v>5.6</v>
      </c>
      <c r="DD188" s="228">
        <v>5.6</v>
      </c>
      <c r="DE188" s="228">
        <v>41.39</v>
      </c>
      <c r="DF188" s="228">
        <v>41.37</v>
      </c>
      <c r="DG188" s="228">
        <v>-1.89</v>
      </c>
      <c r="DH188" s="228">
        <v>0.02</v>
      </c>
      <c r="DI188" s="228">
        <v>39.17</v>
      </c>
      <c r="DJ188" s="228">
        <v>33.119999999999997</v>
      </c>
      <c r="DK188" s="228">
        <v>6.05</v>
      </c>
      <c r="DL188" s="228">
        <v>6.05</v>
      </c>
      <c r="DM188" s="228">
        <v>40.14</v>
      </c>
      <c r="DN188" s="228">
        <v>36.909999999999997</v>
      </c>
      <c r="DO188" s="228">
        <v>3.23</v>
      </c>
      <c r="DP188" s="228">
        <v>3.23</v>
      </c>
      <c r="DQ188" s="228">
        <v>0.69</v>
      </c>
      <c r="DR188" s="228">
        <v>0.72</v>
      </c>
      <c r="DS188" s="228">
        <v>-0.03</v>
      </c>
      <c r="DT188" s="229">
        <v>-4.1700000000000001E-2</v>
      </c>
      <c r="DU188" s="228">
        <v>600</v>
      </c>
      <c r="DV188" s="228">
        <v>580</v>
      </c>
      <c r="DW188" s="228">
        <v>0.55000000000000004</v>
      </c>
      <c r="DX188" s="228">
        <v>0.26</v>
      </c>
      <c r="DY188" s="228">
        <v>0.28999999999999998</v>
      </c>
      <c r="DZ188" s="229">
        <v>1.1153999999999999</v>
      </c>
      <c r="EA188" s="229">
        <v>0.2301</v>
      </c>
      <c r="EB188" s="230">
        <v>978775</v>
      </c>
      <c r="EC188" s="229">
        <v>5.7000000000000002E-3</v>
      </c>
      <c r="ED188" s="229">
        <v>0.2301</v>
      </c>
      <c r="EE188" s="228">
        <v>2.7</v>
      </c>
      <c r="EF188" s="229">
        <v>4.7000000000000002E-3</v>
      </c>
      <c r="EG188" s="230">
        <v>657092</v>
      </c>
      <c r="EH188" s="230">
        <v>863930</v>
      </c>
      <c r="EI188" s="229">
        <v>-0.2394</v>
      </c>
      <c r="EJ188" s="229">
        <v>0.41089999999999999</v>
      </c>
      <c r="EK188" s="228">
        <v>269</v>
      </c>
      <c r="EL188" s="228">
        <v>141.71</v>
      </c>
      <c r="EM188" s="228">
        <v>460.22</v>
      </c>
      <c r="EN188" s="228">
        <v>25.92</v>
      </c>
      <c r="EO188" s="228">
        <v>870.93</v>
      </c>
      <c r="EP188" s="228">
        <v>543.26</v>
      </c>
      <c r="EQ188" s="228">
        <v>327.66000000000003</v>
      </c>
      <c r="ER188" s="229">
        <v>0.60309999999999997</v>
      </c>
      <c r="ES188" s="228">
        <v>257.60000000000002</v>
      </c>
      <c r="ET188" s="228">
        <v>165.65</v>
      </c>
      <c r="EU188" s="228">
        <v>819.66</v>
      </c>
      <c r="EV188" s="231">
        <v>61283708</v>
      </c>
      <c r="EW188" s="231">
        <v>1242.9100000000001</v>
      </c>
      <c r="EX188" s="231">
        <v>1274.07</v>
      </c>
      <c r="EY188" s="228">
        <v>-31.16</v>
      </c>
      <c r="EZ188" s="229">
        <v>-2.4500000000000001E-2</v>
      </c>
      <c r="FA188" s="229">
        <v>0.35630000000000001</v>
      </c>
      <c r="FB188" s="227" t="s">
        <v>567</v>
      </c>
      <c r="FC188">
        <f t="shared" si="3"/>
        <v>0</v>
      </c>
    </row>
    <row r="189" spans="1:159" ht="17.25" thickBot="1" x14ac:dyDescent="0.3">
      <c r="A189" s="226">
        <v>46135</v>
      </c>
      <c r="B189" s="227" t="s">
        <v>197</v>
      </c>
      <c r="C189" s="227" t="s">
        <v>286</v>
      </c>
      <c r="D189" s="228">
        <v>200</v>
      </c>
      <c r="E189" s="228">
        <v>5</v>
      </c>
      <c r="F189" s="231">
        <v>2540.5</v>
      </c>
      <c r="G189" s="231">
        <v>2496.4</v>
      </c>
      <c r="H189" s="228">
        <v>44.1</v>
      </c>
      <c r="I189" s="229">
        <v>1.77E-2</v>
      </c>
      <c r="J189" s="231">
        <v>2542.4</v>
      </c>
      <c r="K189" s="231">
        <v>2492.8000000000002</v>
      </c>
      <c r="L189" s="228">
        <v>49.6</v>
      </c>
      <c r="M189" s="229">
        <v>1.9900000000000001E-2</v>
      </c>
      <c r="N189" s="231">
        <v>2540.5</v>
      </c>
      <c r="O189" s="231">
        <v>2496.4</v>
      </c>
      <c r="P189" s="228">
        <v>44.1</v>
      </c>
      <c r="Q189" s="229">
        <v>1.77E-2</v>
      </c>
      <c r="R189" s="231">
        <v>2547.1999999999998</v>
      </c>
      <c r="S189" s="231">
        <v>2509</v>
      </c>
      <c r="T189" s="228">
        <v>38.200000000000003</v>
      </c>
      <c r="U189" s="229">
        <v>1.52E-2</v>
      </c>
      <c r="V189" s="231">
        <v>2559.9</v>
      </c>
      <c r="W189" s="231">
        <v>2527.6999999999998</v>
      </c>
      <c r="X189" s="228">
        <v>32.200000000000003</v>
      </c>
      <c r="Y189" s="229">
        <v>1.2699999999999999E-2</v>
      </c>
      <c r="Z189" s="228">
        <v>-1.9</v>
      </c>
      <c r="AA189" s="228">
        <v>3.6</v>
      </c>
      <c r="AB189" s="228">
        <v>-5.5</v>
      </c>
      <c r="AC189" s="229">
        <v>-6.9999999999999999E-4</v>
      </c>
      <c r="AD189" s="228">
        <v>-1.9</v>
      </c>
      <c r="AE189" s="228">
        <v>3.6</v>
      </c>
      <c r="AF189" s="228">
        <v>-5.5</v>
      </c>
      <c r="AG189" s="229">
        <v>-6.9999999999999999E-4</v>
      </c>
      <c r="AH189" s="228">
        <v>4.8</v>
      </c>
      <c r="AI189" s="228">
        <v>16.2</v>
      </c>
      <c r="AJ189" s="228">
        <v>-11.4</v>
      </c>
      <c r="AK189" s="229">
        <v>1.9E-3</v>
      </c>
      <c r="AL189" s="228">
        <v>17.5</v>
      </c>
      <c r="AM189" s="228">
        <v>34.9</v>
      </c>
      <c r="AN189" s="228">
        <v>-17.399999999999999</v>
      </c>
      <c r="AO189" s="229">
        <v>6.8999999999999999E-3</v>
      </c>
      <c r="AP189" s="231">
        <v>2523.96</v>
      </c>
      <c r="AQ189" s="231">
        <v>2532.6799999999998</v>
      </c>
      <c r="AR189" s="228">
        <v>0</v>
      </c>
      <c r="AS189" s="228">
        <v>923</v>
      </c>
      <c r="AT189" s="228">
        <v>225</v>
      </c>
      <c r="AU189" s="228">
        <v>699</v>
      </c>
      <c r="AV189" s="229">
        <v>3.1101000000000001</v>
      </c>
      <c r="AW189" s="228">
        <v>521</v>
      </c>
      <c r="AX189" s="228">
        <v>152</v>
      </c>
      <c r="AY189" s="228">
        <v>368</v>
      </c>
      <c r="AZ189" s="229">
        <v>2.4205999999999999</v>
      </c>
      <c r="BA189" s="228">
        <v>398</v>
      </c>
      <c r="BB189" s="228">
        <v>71</v>
      </c>
      <c r="BC189" s="228">
        <v>327</v>
      </c>
      <c r="BD189" s="229">
        <v>4.5952999999999999</v>
      </c>
      <c r="BE189" s="228">
        <v>4</v>
      </c>
      <c r="BF189" s="228">
        <v>1</v>
      </c>
      <c r="BG189" s="228">
        <v>3</v>
      </c>
      <c r="BH189" s="229">
        <v>2.52</v>
      </c>
      <c r="BI189" s="230">
        <v>1778</v>
      </c>
      <c r="BJ189" s="228">
        <v>812</v>
      </c>
      <c r="BK189" s="228">
        <v>966</v>
      </c>
      <c r="BL189" s="229">
        <v>1.19</v>
      </c>
      <c r="BM189" s="228">
        <v>456</v>
      </c>
      <c r="BN189" s="228">
        <v>314</v>
      </c>
      <c r="BO189" s="228">
        <v>142</v>
      </c>
      <c r="BP189" s="229">
        <v>0.45190000000000002</v>
      </c>
      <c r="BQ189" s="230">
        <v>3158</v>
      </c>
      <c r="BR189" s="230">
        <v>1351</v>
      </c>
      <c r="BS189" s="230">
        <v>1807</v>
      </c>
      <c r="BT189" s="229">
        <v>1.3376999999999999</v>
      </c>
      <c r="BU189" s="230">
        <v>987725</v>
      </c>
      <c r="BV189" s="230">
        <v>417354</v>
      </c>
      <c r="BW189" s="230">
        <v>570371</v>
      </c>
      <c r="BX189" s="229">
        <v>1.3666</v>
      </c>
      <c r="BY189" s="228">
        <v>981</v>
      </c>
      <c r="BZ189" s="230">
        <v>1100</v>
      </c>
      <c r="CA189" s="228">
        <v>-119</v>
      </c>
      <c r="CB189" s="229">
        <v>-0.10780000000000001</v>
      </c>
      <c r="CC189" s="228">
        <v>641</v>
      </c>
      <c r="CD189" s="228">
        <v>982</v>
      </c>
      <c r="CE189" s="228">
        <v>-341</v>
      </c>
      <c r="CF189" s="229">
        <v>-0.34699999999999998</v>
      </c>
      <c r="CG189" s="228">
        <v>334</v>
      </c>
      <c r="CH189" s="228">
        <v>111</v>
      </c>
      <c r="CI189" s="228">
        <v>223</v>
      </c>
      <c r="CJ189" s="229">
        <v>2.0072999999999999</v>
      </c>
      <c r="CK189" s="228">
        <v>7</v>
      </c>
      <c r="CL189" s="228">
        <v>7</v>
      </c>
      <c r="CM189" s="228">
        <v>-1</v>
      </c>
      <c r="CN189" s="229">
        <v>-7.7499999999999999E-2</v>
      </c>
      <c r="CO189" s="228">
        <v>546</v>
      </c>
      <c r="CP189" s="228">
        <v>559</v>
      </c>
      <c r="CQ189" s="228">
        <v>-13</v>
      </c>
      <c r="CR189" s="229">
        <v>-2.2800000000000001E-2</v>
      </c>
      <c r="CS189" s="228">
        <v>320</v>
      </c>
      <c r="CT189" s="228">
        <v>298</v>
      </c>
      <c r="CU189" s="228">
        <v>22</v>
      </c>
      <c r="CV189" s="229">
        <v>7.3099999999999998E-2</v>
      </c>
      <c r="CW189" s="230">
        <v>1847</v>
      </c>
      <c r="CX189" s="230">
        <v>1957</v>
      </c>
      <c r="CY189" s="228">
        <v>-109</v>
      </c>
      <c r="CZ189" s="229">
        <v>-5.6000000000000001E-2</v>
      </c>
      <c r="DA189" s="228">
        <v>37.58</v>
      </c>
      <c r="DB189" s="228">
        <v>32.96</v>
      </c>
      <c r="DC189" s="228">
        <v>4.62</v>
      </c>
      <c r="DD189" s="228">
        <v>4.62</v>
      </c>
      <c r="DE189" s="228">
        <v>36.4</v>
      </c>
      <c r="DF189" s="228">
        <v>36.39</v>
      </c>
      <c r="DG189" s="228">
        <v>1.18</v>
      </c>
      <c r="DH189" s="228">
        <v>0.01</v>
      </c>
      <c r="DI189" s="228">
        <v>37.86</v>
      </c>
      <c r="DJ189" s="228">
        <v>32.090000000000003</v>
      </c>
      <c r="DK189" s="228">
        <v>5.77</v>
      </c>
      <c r="DL189" s="228">
        <v>5.77</v>
      </c>
      <c r="DM189" s="228">
        <v>36.82</v>
      </c>
      <c r="DN189" s="228">
        <v>35.21</v>
      </c>
      <c r="DO189" s="228">
        <v>1.61</v>
      </c>
      <c r="DP189" s="228">
        <v>1.61</v>
      </c>
      <c r="DQ189" s="228">
        <v>0.59</v>
      </c>
      <c r="DR189" s="228">
        <v>0.53</v>
      </c>
      <c r="DS189" s="228">
        <v>0.06</v>
      </c>
      <c r="DT189" s="229">
        <v>0.1132</v>
      </c>
      <c r="DU189" s="231">
        <v>2500</v>
      </c>
      <c r="DV189" s="231">
        <v>2500</v>
      </c>
      <c r="DW189" s="228">
        <v>0.26</v>
      </c>
      <c r="DX189" s="228">
        <v>0.39</v>
      </c>
      <c r="DY189" s="228">
        <v>-0.13</v>
      </c>
      <c r="DZ189" s="229">
        <v>-0.33329999999999999</v>
      </c>
      <c r="EA189" s="229">
        <v>0.34670000000000001</v>
      </c>
      <c r="EB189" s="230">
        <v>465000</v>
      </c>
      <c r="EC189" s="229">
        <v>2.5999999999999999E-3</v>
      </c>
      <c r="ED189" s="229">
        <v>0.34670000000000001</v>
      </c>
      <c r="EE189" s="228">
        <v>8.7200000000000006</v>
      </c>
      <c r="EF189" s="229">
        <v>3.5000000000000001E-3</v>
      </c>
      <c r="EG189" s="230">
        <v>592014</v>
      </c>
      <c r="EH189" s="230">
        <v>247566</v>
      </c>
      <c r="EI189" s="229">
        <v>1.3913</v>
      </c>
      <c r="EJ189" s="229">
        <v>0.59940000000000004</v>
      </c>
      <c r="EK189" s="231">
        <v>1826.52</v>
      </c>
      <c r="EL189" s="228">
        <v>451.71</v>
      </c>
      <c r="EM189" s="228">
        <v>918.87</v>
      </c>
      <c r="EN189" s="228">
        <v>31.41</v>
      </c>
      <c r="EO189" s="231">
        <v>3197.1</v>
      </c>
      <c r="EP189" s="231">
        <v>1348.5</v>
      </c>
      <c r="EQ189" s="231">
        <v>1848.6</v>
      </c>
      <c r="ER189" s="229">
        <v>1.3709</v>
      </c>
      <c r="ES189" s="228">
        <v>559.05999999999995</v>
      </c>
      <c r="ET189" s="228">
        <v>309.52999999999997</v>
      </c>
      <c r="EU189" s="228">
        <v>982.17</v>
      </c>
      <c r="EV189" s="231">
        <v>19721628</v>
      </c>
      <c r="EW189" s="231">
        <v>1850.76</v>
      </c>
      <c r="EX189" s="231">
        <v>1934.49</v>
      </c>
      <c r="EY189" s="228">
        <v>-83.73</v>
      </c>
      <c r="EZ189" s="229">
        <v>-4.3299999999999998E-2</v>
      </c>
      <c r="FA189" s="229">
        <v>0.36870000000000003</v>
      </c>
      <c r="FB189" s="227" t="s">
        <v>693</v>
      </c>
      <c r="FC189">
        <f t="shared" si="3"/>
        <v>0</v>
      </c>
    </row>
    <row r="190" spans="1:159" ht="17.25" thickBot="1" x14ac:dyDescent="0.3">
      <c r="A190" s="226">
        <v>46135</v>
      </c>
      <c r="B190" s="227" t="s">
        <v>170</v>
      </c>
      <c r="C190" s="227" t="s">
        <v>288</v>
      </c>
      <c r="D190" s="228">
        <v>350</v>
      </c>
      <c r="E190" s="228">
        <v>5</v>
      </c>
      <c r="F190" s="231">
        <v>1676.7</v>
      </c>
      <c r="G190" s="231">
        <v>1667.2</v>
      </c>
      <c r="H190" s="228">
        <v>9.5</v>
      </c>
      <c r="I190" s="229">
        <v>5.7000000000000002E-3</v>
      </c>
      <c r="J190" s="231">
        <v>1680.1</v>
      </c>
      <c r="K190" s="231">
        <v>1669.8</v>
      </c>
      <c r="L190" s="228">
        <v>10.3</v>
      </c>
      <c r="M190" s="229">
        <v>6.1999999999999998E-3</v>
      </c>
      <c r="N190" s="231">
        <v>1676.7</v>
      </c>
      <c r="O190" s="231">
        <v>1667.2</v>
      </c>
      <c r="P190" s="228">
        <v>9.5</v>
      </c>
      <c r="Q190" s="229">
        <v>5.7000000000000002E-3</v>
      </c>
      <c r="R190" s="231">
        <v>1686</v>
      </c>
      <c r="S190" s="231">
        <v>1676.5</v>
      </c>
      <c r="T190" s="228">
        <v>9.5</v>
      </c>
      <c r="U190" s="229">
        <v>5.7000000000000002E-3</v>
      </c>
      <c r="V190" s="231">
        <v>1696.8</v>
      </c>
      <c r="W190" s="231">
        <v>1687.7</v>
      </c>
      <c r="X190" s="228">
        <v>9.1</v>
      </c>
      <c r="Y190" s="229">
        <v>5.4000000000000003E-3</v>
      </c>
      <c r="Z190" s="228">
        <v>-3.4</v>
      </c>
      <c r="AA190" s="228">
        <v>-2.6</v>
      </c>
      <c r="AB190" s="228">
        <v>-0.8</v>
      </c>
      <c r="AC190" s="229">
        <v>-2E-3</v>
      </c>
      <c r="AD190" s="228">
        <v>-3.4</v>
      </c>
      <c r="AE190" s="228">
        <v>-2.6</v>
      </c>
      <c r="AF190" s="228">
        <v>-0.8</v>
      </c>
      <c r="AG190" s="229">
        <v>-2E-3</v>
      </c>
      <c r="AH190" s="228">
        <v>5.9</v>
      </c>
      <c r="AI190" s="228">
        <v>6.7</v>
      </c>
      <c r="AJ190" s="228">
        <v>-0.8</v>
      </c>
      <c r="AK190" s="229">
        <v>3.5000000000000001E-3</v>
      </c>
      <c r="AL190" s="228">
        <v>16.7</v>
      </c>
      <c r="AM190" s="228">
        <v>17.899999999999999</v>
      </c>
      <c r="AN190" s="228">
        <v>-1.2</v>
      </c>
      <c r="AO190" s="229">
        <v>9.9000000000000008E-3</v>
      </c>
      <c r="AP190" s="231">
        <v>1688.4</v>
      </c>
      <c r="AQ190" s="231">
        <v>1697.48</v>
      </c>
      <c r="AR190" s="228">
        <v>0</v>
      </c>
      <c r="AS190" s="230">
        <v>1619</v>
      </c>
      <c r="AT190" s="228">
        <v>472</v>
      </c>
      <c r="AU190" s="230">
        <v>1147</v>
      </c>
      <c r="AV190" s="229">
        <v>2.4306000000000001</v>
      </c>
      <c r="AW190" s="228">
        <v>824</v>
      </c>
      <c r="AX190" s="228">
        <v>336</v>
      </c>
      <c r="AY190" s="228">
        <v>487</v>
      </c>
      <c r="AZ190" s="229">
        <v>1.4484999999999999</v>
      </c>
      <c r="BA190" s="228">
        <v>776</v>
      </c>
      <c r="BB190" s="228">
        <v>76</v>
      </c>
      <c r="BC190" s="228">
        <v>700</v>
      </c>
      <c r="BD190" s="229">
        <v>9.2599</v>
      </c>
      <c r="BE190" s="228">
        <v>19</v>
      </c>
      <c r="BF190" s="228">
        <v>60</v>
      </c>
      <c r="BG190" s="228">
        <v>-41</v>
      </c>
      <c r="BH190" s="229">
        <v>-0.68569999999999998</v>
      </c>
      <c r="BI190" s="230">
        <v>5039</v>
      </c>
      <c r="BJ190" s="230">
        <v>1514</v>
      </c>
      <c r="BK190" s="230">
        <v>3525</v>
      </c>
      <c r="BL190" s="229">
        <v>2.3273999999999999</v>
      </c>
      <c r="BM190" s="230">
        <v>2033</v>
      </c>
      <c r="BN190" s="228">
        <v>832</v>
      </c>
      <c r="BO190" s="230">
        <v>1201</v>
      </c>
      <c r="BP190" s="229">
        <v>1.4446000000000001</v>
      </c>
      <c r="BQ190" s="230">
        <v>8691</v>
      </c>
      <c r="BR190" s="230">
        <v>2818</v>
      </c>
      <c r="BS190" s="230">
        <v>5873</v>
      </c>
      <c r="BT190" s="229">
        <v>2.0840999999999998</v>
      </c>
      <c r="BU190" s="230">
        <v>3351932</v>
      </c>
      <c r="BV190" s="230">
        <v>2248749</v>
      </c>
      <c r="BW190" s="230">
        <v>1103183</v>
      </c>
      <c r="BX190" s="229">
        <v>0.49059999999999998</v>
      </c>
      <c r="BY190" s="230">
        <v>3094</v>
      </c>
      <c r="BZ190" s="230">
        <v>3090</v>
      </c>
      <c r="CA190" s="228">
        <v>4</v>
      </c>
      <c r="CB190" s="229">
        <v>1.2999999999999999E-3</v>
      </c>
      <c r="CC190" s="230">
        <v>1599</v>
      </c>
      <c r="CD190" s="230">
        <v>2174</v>
      </c>
      <c r="CE190" s="228">
        <v>-575</v>
      </c>
      <c r="CF190" s="229">
        <v>-0.26469999999999999</v>
      </c>
      <c r="CG190" s="230">
        <v>1152</v>
      </c>
      <c r="CH190" s="228">
        <v>582</v>
      </c>
      <c r="CI190" s="228">
        <v>571</v>
      </c>
      <c r="CJ190" s="229">
        <v>0.98109999999999997</v>
      </c>
      <c r="CK190" s="228">
        <v>343</v>
      </c>
      <c r="CL190" s="228">
        <v>334</v>
      </c>
      <c r="CM190" s="228">
        <v>9</v>
      </c>
      <c r="CN190" s="229">
        <v>2.6499999999999999E-2</v>
      </c>
      <c r="CO190" s="230">
        <v>1378</v>
      </c>
      <c r="CP190" s="230">
        <v>1348</v>
      </c>
      <c r="CQ190" s="228">
        <v>30</v>
      </c>
      <c r="CR190" s="229">
        <v>2.2200000000000001E-2</v>
      </c>
      <c r="CS190" s="230">
        <v>1006</v>
      </c>
      <c r="CT190" s="228">
        <v>877</v>
      </c>
      <c r="CU190" s="228">
        <v>129</v>
      </c>
      <c r="CV190" s="229">
        <v>0.14699999999999999</v>
      </c>
      <c r="CW190" s="230">
        <v>5478</v>
      </c>
      <c r="CX190" s="230">
        <v>5315</v>
      </c>
      <c r="CY190" s="228">
        <v>163</v>
      </c>
      <c r="CZ190" s="229">
        <v>3.0700000000000002E-2</v>
      </c>
      <c r="DA190" s="228">
        <v>27.34</v>
      </c>
      <c r="DB190" s="228">
        <v>23.2</v>
      </c>
      <c r="DC190" s="228">
        <v>4.1399999999999997</v>
      </c>
      <c r="DD190" s="228">
        <v>4.1399999999999997</v>
      </c>
      <c r="DE190" s="228">
        <v>23.53</v>
      </c>
      <c r="DF190" s="228">
        <v>23.58</v>
      </c>
      <c r="DG190" s="228">
        <v>3.81</v>
      </c>
      <c r="DH190" s="228">
        <v>-0.05</v>
      </c>
      <c r="DI190" s="228">
        <v>27.22</v>
      </c>
      <c r="DJ190" s="228">
        <v>22.54</v>
      </c>
      <c r="DK190" s="228">
        <v>4.68</v>
      </c>
      <c r="DL190" s="228">
        <v>4.68</v>
      </c>
      <c r="DM190" s="228">
        <v>27.73</v>
      </c>
      <c r="DN190" s="228">
        <v>24.39</v>
      </c>
      <c r="DO190" s="228">
        <v>3.34</v>
      </c>
      <c r="DP190" s="228">
        <v>3.34</v>
      </c>
      <c r="DQ190" s="228">
        <v>0.73</v>
      </c>
      <c r="DR190" s="228">
        <v>0.65</v>
      </c>
      <c r="DS190" s="228">
        <v>0.08</v>
      </c>
      <c r="DT190" s="229">
        <v>0.1231</v>
      </c>
      <c r="DU190" s="231">
        <v>1800</v>
      </c>
      <c r="DV190" s="231">
        <v>1690</v>
      </c>
      <c r="DW190" s="228">
        <v>0.4</v>
      </c>
      <c r="DX190" s="228">
        <v>0.55000000000000004</v>
      </c>
      <c r="DY190" s="228">
        <v>-0.15</v>
      </c>
      <c r="DZ190" s="229">
        <v>-0.2727</v>
      </c>
      <c r="EA190" s="229">
        <v>0.48320000000000002</v>
      </c>
      <c r="EB190" s="230">
        <v>5460000</v>
      </c>
      <c r="EC190" s="229">
        <v>5.4999999999999997E-3</v>
      </c>
      <c r="ED190" s="229">
        <v>0.48320000000000002</v>
      </c>
      <c r="EE190" s="228">
        <v>9.08</v>
      </c>
      <c r="EF190" s="229">
        <v>5.4000000000000003E-3</v>
      </c>
      <c r="EG190" s="230">
        <v>1905182</v>
      </c>
      <c r="EH190" s="230">
        <v>1507342</v>
      </c>
      <c r="EI190" s="229">
        <v>0.26390000000000002</v>
      </c>
      <c r="EJ190" s="229">
        <v>0.56840000000000002</v>
      </c>
      <c r="EK190" s="231">
        <v>5198.12</v>
      </c>
      <c r="EL190" s="231">
        <v>2035.63</v>
      </c>
      <c r="EM190" s="231">
        <v>1634.37</v>
      </c>
      <c r="EN190" s="228">
        <v>84.23</v>
      </c>
      <c r="EO190" s="231">
        <v>8868.1200000000008</v>
      </c>
      <c r="EP190" s="231">
        <v>2839.88</v>
      </c>
      <c r="EQ190" s="231">
        <v>6028.24</v>
      </c>
      <c r="ER190" s="229">
        <v>2.1227</v>
      </c>
      <c r="ES190" s="231">
        <v>1437.7</v>
      </c>
      <c r="ET190" s="228">
        <v>992.33</v>
      </c>
      <c r="EU190" s="231">
        <v>3104.29</v>
      </c>
      <c r="EV190" s="231">
        <v>121755902</v>
      </c>
      <c r="EW190" s="231">
        <v>5534.32</v>
      </c>
      <c r="EX190" s="231">
        <v>5347.36</v>
      </c>
      <c r="EY190" s="228">
        <v>186.96</v>
      </c>
      <c r="EZ190" s="229">
        <v>3.5000000000000003E-2</v>
      </c>
      <c r="FA190" s="229">
        <v>0.26829999999999998</v>
      </c>
      <c r="FB190" s="227" t="s">
        <v>555</v>
      </c>
      <c r="FC190">
        <f t="shared" si="3"/>
        <v>0</v>
      </c>
    </row>
    <row r="191" spans="1:159" ht="17.25" thickBot="1" x14ac:dyDescent="0.3">
      <c r="A191" s="226">
        <v>46135</v>
      </c>
      <c r="B191" s="227" t="s">
        <v>184</v>
      </c>
      <c r="C191" s="227" t="s">
        <v>573</v>
      </c>
      <c r="D191" s="228">
        <v>175</v>
      </c>
      <c r="E191" s="228">
        <v>5</v>
      </c>
      <c r="F191" s="231">
        <v>3688.6</v>
      </c>
      <c r="G191" s="231">
        <v>3703.4</v>
      </c>
      <c r="H191" s="228">
        <v>-14.8</v>
      </c>
      <c r="I191" s="229">
        <v>-4.0000000000000001E-3</v>
      </c>
      <c r="J191" s="231">
        <v>3677.3</v>
      </c>
      <c r="K191" s="231">
        <v>3691.4</v>
      </c>
      <c r="L191" s="228">
        <v>-14.1</v>
      </c>
      <c r="M191" s="229">
        <v>-3.8E-3</v>
      </c>
      <c r="N191" s="231">
        <v>3688.6</v>
      </c>
      <c r="O191" s="231">
        <v>3703.4</v>
      </c>
      <c r="P191" s="228">
        <v>-14.8</v>
      </c>
      <c r="Q191" s="229">
        <v>-4.0000000000000001E-3</v>
      </c>
      <c r="R191" s="231">
        <v>3703.4</v>
      </c>
      <c r="S191" s="231">
        <v>3716.2</v>
      </c>
      <c r="T191" s="228">
        <v>-12.8</v>
      </c>
      <c r="U191" s="229">
        <v>-3.3999999999999998E-3</v>
      </c>
      <c r="V191" s="231">
        <v>3692.1</v>
      </c>
      <c r="W191" s="231">
        <v>3730.2</v>
      </c>
      <c r="X191" s="228">
        <v>-38.1</v>
      </c>
      <c r="Y191" s="229">
        <v>-1.0200000000000001E-2</v>
      </c>
      <c r="Z191" s="228">
        <v>11.3</v>
      </c>
      <c r="AA191" s="228">
        <v>12</v>
      </c>
      <c r="AB191" s="228">
        <v>-0.7</v>
      </c>
      <c r="AC191" s="229">
        <v>3.0999999999999999E-3</v>
      </c>
      <c r="AD191" s="228">
        <v>11.3</v>
      </c>
      <c r="AE191" s="228">
        <v>12</v>
      </c>
      <c r="AF191" s="228">
        <v>-0.7</v>
      </c>
      <c r="AG191" s="229">
        <v>3.0999999999999999E-3</v>
      </c>
      <c r="AH191" s="228">
        <v>26.1</v>
      </c>
      <c r="AI191" s="228">
        <v>24.8</v>
      </c>
      <c r="AJ191" s="228">
        <v>1.3</v>
      </c>
      <c r="AK191" s="229">
        <v>7.1000000000000004E-3</v>
      </c>
      <c r="AL191" s="228">
        <v>14.8</v>
      </c>
      <c r="AM191" s="228">
        <v>38.799999999999997</v>
      </c>
      <c r="AN191" s="228">
        <v>-24</v>
      </c>
      <c r="AO191" s="229">
        <v>4.0000000000000001E-3</v>
      </c>
      <c r="AP191" s="231">
        <v>3693.05</v>
      </c>
      <c r="AQ191" s="231">
        <v>3708.15</v>
      </c>
      <c r="AR191" s="228">
        <v>0</v>
      </c>
      <c r="AS191" s="228">
        <v>547</v>
      </c>
      <c r="AT191" s="228">
        <v>157</v>
      </c>
      <c r="AU191" s="228">
        <v>390</v>
      </c>
      <c r="AV191" s="229">
        <v>2.4881000000000002</v>
      </c>
      <c r="AW191" s="228">
        <v>266</v>
      </c>
      <c r="AX191" s="228">
        <v>107</v>
      </c>
      <c r="AY191" s="228">
        <v>159</v>
      </c>
      <c r="AZ191" s="229">
        <v>1.4926999999999999</v>
      </c>
      <c r="BA191" s="228">
        <v>280</v>
      </c>
      <c r="BB191" s="228">
        <v>49</v>
      </c>
      <c r="BC191" s="228">
        <v>231</v>
      </c>
      <c r="BD191" s="229">
        <v>4.7180999999999997</v>
      </c>
      <c r="BE191" s="228">
        <v>1</v>
      </c>
      <c r="BF191" s="228">
        <v>1</v>
      </c>
      <c r="BG191" s="228">
        <v>0</v>
      </c>
      <c r="BH191" s="229">
        <v>-0.23530000000000001</v>
      </c>
      <c r="BI191" s="228">
        <v>413</v>
      </c>
      <c r="BJ191" s="228">
        <v>281</v>
      </c>
      <c r="BK191" s="228">
        <v>132</v>
      </c>
      <c r="BL191" s="229">
        <v>0.46989999999999998</v>
      </c>
      <c r="BM191" s="228">
        <v>110</v>
      </c>
      <c r="BN191" s="228">
        <v>90</v>
      </c>
      <c r="BO191" s="228">
        <v>20</v>
      </c>
      <c r="BP191" s="229">
        <v>0.22359999999999999</v>
      </c>
      <c r="BQ191" s="230">
        <v>1070</v>
      </c>
      <c r="BR191" s="228">
        <v>527</v>
      </c>
      <c r="BS191" s="228">
        <v>542</v>
      </c>
      <c r="BT191" s="229">
        <v>1.0283</v>
      </c>
      <c r="BU191" s="230">
        <v>360542</v>
      </c>
      <c r="BV191" s="230">
        <v>272139</v>
      </c>
      <c r="BW191" s="230">
        <v>88403</v>
      </c>
      <c r="BX191" s="229">
        <v>0.32479999999999998</v>
      </c>
      <c r="BY191" s="228">
        <v>880</v>
      </c>
      <c r="BZ191" s="228">
        <v>841</v>
      </c>
      <c r="CA191" s="228">
        <v>40</v>
      </c>
      <c r="CB191" s="229">
        <v>4.7100000000000003E-2</v>
      </c>
      <c r="CC191" s="228">
        <v>609</v>
      </c>
      <c r="CD191" s="228">
        <v>759</v>
      </c>
      <c r="CE191" s="228">
        <v>-150</v>
      </c>
      <c r="CF191" s="229">
        <v>-0.19819999999999999</v>
      </c>
      <c r="CG191" s="228">
        <v>269</v>
      </c>
      <c r="CH191" s="228">
        <v>79</v>
      </c>
      <c r="CI191" s="228">
        <v>190</v>
      </c>
      <c r="CJ191" s="229">
        <v>2.4049</v>
      </c>
      <c r="CK191" s="228">
        <v>2</v>
      </c>
      <c r="CL191" s="228">
        <v>3</v>
      </c>
      <c r="CM191" s="228">
        <v>0</v>
      </c>
      <c r="CN191" s="229">
        <v>-5.1299999999999998E-2</v>
      </c>
      <c r="CO191" s="228">
        <v>326</v>
      </c>
      <c r="CP191" s="228">
        <v>323</v>
      </c>
      <c r="CQ191" s="228">
        <v>3</v>
      </c>
      <c r="CR191" s="229">
        <v>0.01</v>
      </c>
      <c r="CS191" s="228">
        <v>157</v>
      </c>
      <c r="CT191" s="228">
        <v>156</v>
      </c>
      <c r="CU191" s="228">
        <v>1</v>
      </c>
      <c r="CV191" s="229">
        <v>7.0000000000000001E-3</v>
      </c>
      <c r="CW191" s="230">
        <v>1364</v>
      </c>
      <c r="CX191" s="230">
        <v>1320</v>
      </c>
      <c r="CY191" s="228">
        <v>44</v>
      </c>
      <c r="CZ191" s="229">
        <v>3.3300000000000003E-2</v>
      </c>
      <c r="DA191" s="228">
        <v>36.6</v>
      </c>
      <c r="DB191" s="228">
        <v>42.76</v>
      </c>
      <c r="DC191" s="228">
        <v>-6.16</v>
      </c>
      <c r="DD191" s="228">
        <v>-6.16</v>
      </c>
      <c r="DE191" s="228">
        <v>38.03</v>
      </c>
      <c r="DF191" s="228">
        <v>38.119999999999997</v>
      </c>
      <c r="DG191" s="228">
        <v>-1.43</v>
      </c>
      <c r="DH191" s="228">
        <v>-0.09</v>
      </c>
      <c r="DI191" s="228">
        <v>36.44</v>
      </c>
      <c r="DJ191" s="228">
        <v>42.62</v>
      </c>
      <c r="DK191" s="228">
        <v>-6.18</v>
      </c>
      <c r="DL191" s="228">
        <v>-6.18</v>
      </c>
      <c r="DM191" s="228">
        <v>37.44</v>
      </c>
      <c r="DN191" s="228">
        <v>43.19</v>
      </c>
      <c r="DO191" s="228">
        <v>-5.75</v>
      </c>
      <c r="DP191" s="228">
        <v>-5.75</v>
      </c>
      <c r="DQ191" s="228">
        <v>0.48</v>
      </c>
      <c r="DR191" s="228">
        <v>0.48</v>
      </c>
      <c r="DS191" s="228">
        <v>0</v>
      </c>
      <c r="DT191" s="229">
        <v>0</v>
      </c>
      <c r="DU191" s="231">
        <v>3700</v>
      </c>
      <c r="DV191" s="231">
        <v>3500</v>
      </c>
      <c r="DW191" s="228">
        <v>0.27</v>
      </c>
      <c r="DX191" s="228">
        <v>0.32</v>
      </c>
      <c r="DY191" s="228">
        <v>-0.05</v>
      </c>
      <c r="DZ191" s="229">
        <v>-0.15620000000000001</v>
      </c>
      <c r="EA191" s="229">
        <v>0.3085</v>
      </c>
      <c r="EB191" s="230">
        <v>221200</v>
      </c>
      <c r="EC191" s="229">
        <v>4.0000000000000001E-3</v>
      </c>
      <c r="ED191" s="229">
        <v>0.3085</v>
      </c>
      <c r="EE191" s="228">
        <v>15.1</v>
      </c>
      <c r="EF191" s="229">
        <v>4.1000000000000003E-3</v>
      </c>
      <c r="EG191" s="230">
        <v>189082</v>
      </c>
      <c r="EH191" s="230">
        <v>151140</v>
      </c>
      <c r="EI191" s="229">
        <v>0.251</v>
      </c>
      <c r="EJ191" s="229">
        <v>0.52439999999999998</v>
      </c>
      <c r="EK191" s="228">
        <v>437.4</v>
      </c>
      <c r="EL191" s="228">
        <v>106.71</v>
      </c>
      <c r="EM191" s="228">
        <v>548.94000000000005</v>
      </c>
      <c r="EN191" s="228">
        <v>29.22</v>
      </c>
      <c r="EO191" s="231">
        <v>1093.05</v>
      </c>
      <c r="EP191" s="228">
        <v>545.46</v>
      </c>
      <c r="EQ191" s="228">
        <v>547.6</v>
      </c>
      <c r="ER191" s="229">
        <v>1.0039</v>
      </c>
      <c r="ES191" s="228">
        <v>345.73</v>
      </c>
      <c r="ET191" s="228">
        <v>153.55000000000001</v>
      </c>
      <c r="EU191" s="228">
        <v>881.55</v>
      </c>
      <c r="EV191" s="231">
        <v>9724371</v>
      </c>
      <c r="EW191" s="231">
        <v>1380.83</v>
      </c>
      <c r="EX191" s="231">
        <v>1340.56</v>
      </c>
      <c r="EY191" s="228">
        <v>40.270000000000003</v>
      </c>
      <c r="EZ191" s="229">
        <v>0.03</v>
      </c>
      <c r="FA191" s="229">
        <v>0.38019999999999998</v>
      </c>
      <c r="FB191" s="227" t="s">
        <v>566</v>
      </c>
      <c r="FC191">
        <f t="shared" si="3"/>
        <v>0</v>
      </c>
    </row>
    <row r="192" spans="1:159" ht="17.25" thickBot="1" x14ac:dyDescent="0.3">
      <c r="A192" s="226">
        <v>46135</v>
      </c>
      <c r="B192" s="227" t="s">
        <v>161</v>
      </c>
      <c r="C192" s="227" t="s">
        <v>682</v>
      </c>
      <c r="D192" s="228">
        <v>9025</v>
      </c>
      <c r="E192" s="228">
        <v>5</v>
      </c>
      <c r="F192" s="228">
        <v>53.73</v>
      </c>
      <c r="G192" s="228">
        <v>54.55</v>
      </c>
      <c r="H192" s="228">
        <v>-0.82</v>
      </c>
      <c r="I192" s="229">
        <v>-1.4999999999999999E-2</v>
      </c>
      <c r="J192" s="228">
        <v>53.73</v>
      </c>
      <c r="K192" s="228">
        <v>54.57</v>
      </c>
      <c r="L192" s="228">
        <v>-0.84</v>
      </c>
      <c r="M192" s="229">
        <v>-1.54E-2</v>
      </c>
      <c r="N192" s="228">
        <v>53.73</v>
      </c>
      <c r="O192" s="228">
        <v>54.55</v>
      </c>
      <c r="P192" s="228">
        <v>-0.82</v>
      </c>
      <c r="Q192" s="229">
        <v>-1.4999999999999999E-2</v>
      </c>
      <c r="R192" s="228">
        <v>53.89</v>
      </c>
      <c r="S192" s="228">
        <v>54.89</v>
      </c>
      <c r="T192" s="228">
        <v>-1</v>
      </c>
      <c r="U192" s="229">
        <v>-1.8200000000000001E-2</v>
      </c>
      <c r="V192" s="228">
        <v>54.21</v>
      </c>
      <c r="W192" s="228">
        <v>55.23</v>
      </c>
      <c r="X192" s="228">
        <v>-1.02</v>
      </c>
      <c r="Y192" s="229">
        <v>-1.8499999999999999E-2</v>
      </c>
      <c r="Z192" s="228">
        <v>0</v>
      </c>
      <c r="AA192" s="228">
        <v>-0.02</v>
      </c>
      <c r="AB192" s="228">
        <v>0.02</v>
      </c>
      <c r="AC192" s="229">
        <v>0</v>
      </c>
      <c r="AD192" s="228">
        <v>0</v>
      </c>
      <c r="AE192" s="228">
        <v>-0.02</v>
      </c>
      <c r="AF192" s="228">
        <v>0.02</v>
      </c>
      <c r="AG192" s="229">
        <v>0</v>
      </c>
      <c r="AH192" s="228">
        <v>0.16</v>
      </c>
      <c r="AI192" s="228">
        <v>0.32</v>
      </c>
      <c r="AJ192" s="228">
        <v>-0.16</v>
      </c>
      <c r="AK192" s="229">
        <v>3.0000000000000001E-3</v>
      </c>
      <c r="AL192" s="228">
        <v>0.48</v>
      </c>
      <c r="AM192" s="228">
        <v>0.66</v>
      </c>
      <c r="AN192" s="228">
        <v>-0.18</v>
      </c>
      <c r="AO192" s="229">
        <v>8.8999999999999999E-3</v>
      </c>
      <c r="AP192" s="228">
        <v>54.14</v>
      </c>
      <c r="AQ192" s="228">
        <v>54.35</v>
      </c>
      <c r="AR192" s="228">
        <v>0</v>
      </c>
      <c r="AS192" s="230">
        <v>1344</v>
      </c>
      <c r="AT192" s="228">
        <v>584</v>
      </c>
      <c r="AU192" s="228">
        <v>760</v>
      </c>
      <c r="AV192" s="229">
        <v>1.3010999999999999</v>
      </c>
      <c r="AW192" s="228">
        <v>736</v>
      </c>
      <c r="AX192" s="228">
        <v>369</v>
      </c>
      <c r="AY192" s="228">
        <v>367</v>
      </c>
      <c r="AZ192" s="229">
        <v>0.99570000000000003</v>
      </c>
      <c r="BA192" s="228">
        <v>580</v>
      </c>
      <c r="BB192" s="228">
        <v>202</v>
      </c>
      <c r="BC192" s="228">
        <v>377</v>
      </c>
      <c r="BD192" s="229">
        <v>1.8675999999999999</v>
      </c>
      <c r="BE192" s="228">
        <v>28</v>
      </c>
      <c r="BF192" s="228">
        <v>13</v>
      </c>
      <c r="BG192" s="228">
        <v>15</v>
      </c>
      <c r="BH192" s="229">
        <v>1.1593</v>
      </c>
      <c r="BI192" s="230">
        <v>1622</v>
      </c>
      <c r="BJ192" s="230">
        <v>1871</v>
      </c>
      <c r="BK192" s="228">
        <v>-249</v>
      </c>
      <c r="BL192" s="229">
        <v>-0.1331</v>
      </c>
      <c r="BM192" s="228">
        <v>772</v>
      </c>
      <c r="BN192" s="228">
        <v>993</v>
      </c>
      <c r="BO192" s="228">
        <v>-221</v>
      </c>
      <c r="BP192" s="229">
        <v>-0.2228</v>
      </c>
      <c r="BQ192" s="230">
        <v>3737</v>
      </c>
      <c r="BR192" s="230">
        <v>3448</v>
      </c>
      <c r="BS192" s="228">
        <v>289</v>
      </c>
      <c r="BT192" s="229">
        <v>8.3900000000000002E-2</v>
      </c>
      <c r="BU192" s="230">
        <v>120587652</v>
      </c>
      <c r="BV192" s="230">
        <v>154062094</v>
      </c>
      <c r="BW192" s="230">
        <v>-33474442</v>
      </c>
      <c r="BX192" s="229">
        <v>-0.21729999999999999</v>
      </c>
      <c r="BY192" s="230">
        <v>1864</v>
      </c>
      <c r="BZ192" s="230">
        <v>2006</v>
      </c>
      <c r="CA192" s="228">
        <v>-142</v>
      </c>
      <c r="CB192" s="229">
        <v>-7.0800000000000002E-2</v>
      </c>
      <c r="CC192" s="228">
        <v>950</v>
      </c>
      <c r="CD192" s="230">
        <v>1455</v>
      </c>
      <c r="CE192" s="228">
        <v>-505</v>
      </c>
      <c r="CF192" s="229">
        <v>-0.34699999999999998</v>
      </c>
      <c r="CG192" s="228">
        <v>797</v>
      </c>
      <c r="CH192" s="228">
        <v>454</v>
      </c>
      <c r="CI192" s="228">
        <v>343</v>
      </c>
      <c r="CJ192" s="229">
        <v>0.75549999999999995</v>
      </c>
      <c r="CK192" s="228">
        <v>118</v>
      </c>
      <c r="CL192" s="228">
        <v>98</v>
      </c>
      <c r="CM192" s="228">
        <v>20</v>
      </c>
      <c r="CN192" s="229">
        <v>0.20319999999999999</v>
      </c>
      <c r="CO192" s="230">
        <v>1111</v>
      </c>
      <c r="CP192" s="230">
        <v>1136</v>
      </c>
      <c r="CQ192" s="228">
        <v>-24</v>
      </c>
      <c r="CR192" s="229">
        <v>-2.1499999999999998E-2</v>
      </c>
      <c r="CS192" s="228">
        <v>915</v>
      </c>
      <c r="CT192" s="228">
        <v>965</v>
      </c>
      <c r="CU192" s="228">
        <v>-50</v>
      </c>
      <c r="CV192" s="229">
        <v>-5.1900000000000002E-2</v>
      </c>
      <c r="CW192" s="230">
        <v>3890</v>
      </c>
      <c r="CX192" s="230">
        <v>4107</v>
      </c>
      <c r="CY192" s="228">
        <v>-217</v>
      </c>
      <c r="CZ192" s="229">
        <v>-5.2699999999999997E-2</v>
      </c>
      <c r="DA192" s="228">
        <v>47.09</v>
      </c>
      <c r="DB192" s="228">
        <v>39.96</v>
      </c>
      <c r="DC192" s="228">
        <v>7.13</v>
      </c>
      <c r="DD192" s="228">
        <v>7.13</v>
      </c>
      <c r="DE192" s="228">
        <v>47.26</v>
      </c>
      <c r="DF192" s="228">
        <v>47.33</v>
      </c>
      <c r="DG192" s="228">
        <v>-0.17</v>
      </c>
      <c r="DH192" s="228">
        <v>-7.0000000000000007E-2</v>
      </c>
      <c r="DI192" s="228">
        <v>46.93</v>
      </c>
      <c r="DJ192" s="228">
        <v>38.81</v>
      </c>
      <c r="DK192" s="228">
        <v>8.1199999999999992</v>
      </c>
      <c r="DL192" s="228">
        <v>8.1199999999999992</v>
      </c>
      <c r="DM192" s="228">
        <v>47.74</v>
      </c>
      <c r="DN192" s="228">
        <v>42.13</v>
      </c>
      <c r="DO192" s="228">
        <v>5.61</v>
      </c>
      <c r="DP192" s="228">
        <v>5.61</v>
      </c>
      <c r="DQ192" s="228">
        <v>0.82</v>
      </c>
      <c r="DR192" s="228">
        <v>0.85</v>
      </c>
      <c r="DS192" s="228">
        <v>-0.03</v>
      </c>
      <c r="DT192" s="229">
        <v>-3.5299999999999998E-2</v>
      </c>
      <c r="DU192" s="228">
        <v>60</v>
      </c>
      <c r="DV192" s="228">
        <v>46</v>
      </c>
      <c r="DW192" s="228">
        <v>0.48</v>
      </c>
      <c r="DX192" s="228">
        <v>0.53</v>
      </c>
      <c r="DY192" s="228">
        <v>-0.05</v>
      </c>
      <c r="DZ192" s="229">
        <v>-9.4299999999999995E-2</v>
      </c>
      <c r="EA192" s="229">
        <v>0.4904</v>
      </c>
      <c r="EB192" s="230">
        <v>102668400</v>
      </c>
      <c r="EC192" s="229">
        <v>3.0000000000000001E-3</v>
      </c>
      <c r="ED192" s="229">
        <v>0.4904</v>
      </c>
      <c r="EE192" s="228">
        <v>0.21</v>
      </c>
      <c r="EF192" s="229">
        <v>3.8999999999999998E-3</v>
      </c>
      <c r="EG192" s="230">
        <v>42491203</v>
      </c>
      <c r="EH192" s="230">
        <v>55807682</v>
      </c>
      <c r="EI192" s="229">
        <v>-0.23860000000000001</v>
      </c>
      <c r="EJ192" s="229">
        <v>0.35239999999999999</v>
      </c>
      <c r="EK192" s="231">
        <v>1704.51</v>
      </c>
      <c r="EL192" s="228">
        <v>733.81</v>
      </c>
      <c r="EM192" s="231">
        <v>1356.5</v>
      </c>
      <c r="EN192" s="228">
        <v>136.13</v>
      </c>
      <c r="EO192" s="231">
        <v>3794.82</v>
      </c>
      <c r="EP192" s="231">
        <v>3500.01</v>
      </c>
      <c r="EQ192" s="228">
        <v>294.81</v>
      </c>
      <c r="ER192" s="229">
        <v>8.4199999999999997E-2</v>
      </c>
      <c r="ES192" s="231">
        <v>1088.8</v>
      </c>
      <c r="ET192" s="228">
        <v>798.46</v>
      </c>
      <c r="EU192" s="231">
        <v>1867.77</v>
      </c>
      <c r="EV192" s="231">
        <v>1815546735</v>
      </c>
      <c r="EW192" s="231">
        <v>3755.03</v>
      </c>
      <c r="EX192" s="231">
        <v>3970</v>
      </c>
      <c r="EY192" s="228">
        <v>-214.97</v>
      </c>
      <c r="EZ192" s="229">
        <v>-5.4100000000000002E-2</v>
      </c>
      <c r="FA192" s="229">
        <v>0.39879999999999999</v>
      </c>
      <c r="FB192" s="227" t="s">
        <v>567</v>
      </c>
      <c r="FC192">
        <f t="shared" si="3"/>
        <v>0</v>
      </c>
    </row>
    <row r="193" spans="1:159" ht="17.25" thickBot="1" x14ac:dyDescent="0.3">
      <c r="A193" s="226">
        <v>46135</v>
      </c>
      <c r="B193" s="227" t="s">
        <v>614</v>
      </c>
      <c r="C193" s="227" t="s">
        <v>691</v>
      </c>
      <c r="D193" s="228">
        <v>1300</v>
      </c>
      <c r="E193" s="228">
        <v>5</v>
      </c>
      <c r="F193" s="228">
        <v>292.8</v>
      </c>
      <c r="G193" s="228">
        <v>294.45</v>
      </c>
      <c r="H193" s="228">
        <v>-1.65</v>
      </c>
      <c r="I193" s="229">
        <v>-5.5999999999999999E-3</v>
      </c>
      <c r="J193" s="228">
        <v>293.05</v>
      </c>
      <c r="K193" s="228">
        <v>294.7</v>
      </c>
      <c r="L193" s="228">
        <v>-1.65</v>
      </c>
      <c r="M193" s="229">
        <v>-5.5999999999999999E-3</v>
      </c>
      <c r="N193" s="228">
        <v>292.8</v>
      </c>
      <c r="O193" s="228">
        <v>294.45</v>
      </c>
      <c r="P193" s="228">
        <v>-1.65</v>
      </c>
      <c r="Q193" s="229">
        <v>-5.5999999999999999E-3</v>
      </c>
      <c r="R193" s="228">
        <v>290.14999999999998</v>
      </c>
      <c r="S193" s="228">
        <v>292.55</v>
      </c>
      <c r="T193" s="228">
        <v>-2.4</v>
      </c>
      <c r="U193" s="229">
        <v>-8.2000000000000007E-3</v>
      </c>
      <c r="V193" s="228">
        <v>289.3</v>
      </c>
      <c r="W193" s="228">
        <v>292.85000000000002</v>
      </c>
      <c r="X193" s="228">
        <v>-3.55</v>
      </c>
      <c r="Y193" s="229">
        <v>-1.21E-2</v>
      </c>
      <c r="Z193" s="228">
        <v>-0.25</v>
      </c>
      <c r="AA193" s="228">
        <v>-0.25</v>
      </c>
      <c r="AB193" s="228">
        <v>0</v>
      </c>
      <c r="AC193" s="229">
        <v>-8.9999999999999998E-4</v>
      </c>
      <c r="AD193" s="228">
        <v>-0.25</v>
      </c>
      <c r="AE193" s="228">
        <v>-0.25</v>
      </c>
      <c r="AF193" s="228">
        <v>0</v>
      </c>
      <c r="AG193" s="229">
        <v>-8.9999999999999998E-4</v>
      </c>
      <c r="AH193" s="228">
        <v>-2.9</v>
      </c>
      <c r="AI193" s="228">
        <v>-2.15</v>
      </c>
      <c r="AJ193" s="228">
        <v>-0.75</v>
      </c>
      <c r="AK193" s="229">
        <v>-9.9000000000000008E-3</v>
      </c>
      <c r="AL193" s="228">
        <v>-3.75</v>
      </c>
      <c r="AM193" s="228">
        <v>-1.85</v>
      </c>
      <c r="AN193" s="228">
        <v>-1.9</v>
      </c>
      <c r="AO193" s="229">
        <v>-1.2800000000000001E-2</v>
      </c>
      <c r="AP193" s="228">
        <v>292.64999999999998</v>
      </c>
      <c r="AQ193" s="228">
        <v>290.35000000000002</v>
      </c>
      <c r="AR193" s="228">
        <v>0</v>
      </c>
      <c r="AS193" s="230">
        <v>1405</v>
      </c>
      <c r="AT193" s="228">
        <v>354</v>
      </c>
      <c r="AU193" s="230">
        <v>1051</v>
      </c>
      <c r="AV193" s="229">
        <v>2.9634999999999998</v>
      </c>
      <c r="AW193" s="228">
        <v>729</v>
      </c>
      <c r="AX193" s="228">
        <v>265</v>
      </c>
      <c r="AY193" s="228">
        <v>464</v>
      </c>
      <c r="AZ193" s="229">
        <v>1.7490000000000001</v>
      </c>
      <c r="BA193" s="228">
        <v>671</v>
      </c>
      <c r="BB193" s="228">
        <v>84</v>
      </c>
      <c r="BC193" s="228">
        <v>587</v>
      </c>
      <c r="BD193" s="229">
        <v>7.0319000000000003</v>
      </c>
      <c r="BE193" s="228">
        <v>5</v>
      </c>
      <c r="BF193" s="228">
        <v>6</v>
      </c>
      <c r="BG193" s="228">
        <v>-1</v>
      </c>
      <c r="BH193" s="229">
        <v>-0.12</v>
      </c>
      <c r="BI193" s="228">
        <v>694</v>
      </c>
      <c r="BJ193" s="228">
        <v>961</v>
      </c>
      <c r="BK193" s="228">
        <v>-267</v>
      </c>
      <c r="BL193" s="229">
        <v>-0.27810000000000001</v>
      </c>
      <c r="BM193" s="228">
        <v>244</v>
      </c>
      <c r="BN193" s="228">
        <v>332</v>
      </c>
      <c r="BO193" s="228">
        <v>-88</v>
      </c>
      <c r="BP193" s="229">
        <v>-0.26490000000000002</v>
      </c>
      <c r="BQ193" s="230">
        <v>2343</v>
      </c>
      <c r="BR193" s="230">
        <v>1647</v>
      </c>
      <c r="BS193" s="228">
        <v>695</v>
      </c>
      <c r="BT193" s="229">
        <v>0.42220000000000002</v>
      </c>
      <c r="BU193" s="230">
        <v>10095456</v>
      </c>
      <c r="BV193" s="230">
        <v>11377031</v>
      </c>
      <c r="BW193" s="230">
        <v>-1281575</v>
      </c>
      <c r="BX193" s="229">
        <v>-0.11260000000000001</v>
      </c>
      <c r="BY193" s="230">
        <v>1495</v>
      </c>
      <c r="BZ193" s="230">
        <v>1600</v>
      </c>
      <c r="CA193" s="228">
        <v>-105</v>
      </c>
      <c r="CB193" s="229">
        <v>-6.5699999999999995E-2</v>
      </c>
      <c r="CC193" s="228">
        <v>904</v>
      </c>
      <c r="CD193" s="230">
        <v>1401</v>
      </c>
      <c r="CE193" s="228">
        <v>-497</v>
      </c>
      <c r="CF193" s="229">
        <v>-0.3548</v>
      </c>
      <c r="CG193" s="228">
        <v>578</v>
      </c>
      <c r="CH193" s="228">
        <v>186</v>
      </c>
      <c r="CI193" s="228">
        <v>392</v>
      </c>
      <c r="CJ193" s="229">
        <v>2.1151</v>
      </c>
      <c r="CK193" s="228">
        <v>13</v>
      </c>
      <c r="CL193" s="228">
        <v>14</v>
      </c>
      <c r="CM193" s="228">
        <v>-1</v>
      </c>
      <c r="CN193" s="229">
        <v>-4.7100000000000003E-2</v>
      </c>
      <c r="CO193" s="228">
        <v>272</v>
      </c>
      <c r="CP193" s="228">
        <v>282</v>
      </c>
      <c r="CQ193" s="228">
        <v>-10</v>
      </c>
      <c r="CR193" s="229">
        <v>-3.5499999999999997E-2</v>
      </c>
      <c r="CS193" s="228">
        <v>194</v>
      </c>
      <c r="CT193" s="228">
        <v>201</v>
      </c>
      <c r="CU193" s="228">
        <v>-7</v>
      </c>
      <c r="CV193" s="229">
        <v>-3.5000000000000003E-2</v>
      </c>
      <c r="CW193" s="230">
        <v>1961</v>
      </c>
      <c r="CX193" s="230">
        <v>2084</v>
      </c>
      <c r="CY193" s="228">
        <v>-122</v>
      </c>
      <c r="CZ193" s="229">
        <v>-5.8599999999999999E-2</v>
      </c>
      <c r="DA193" s="228">
        <v>51.79</v>
      </c>
      <c r="DB193" s="228">
        <v>46.35</v>
      </c>
      <c r="DC193" s="228">
        <v>5.44</v>
      </c>
      <c r="DD193" s="228">
        <v>5.44</v>
      </c>
      <c r="DE193" s="228">
        <v>45.38</v>
      </c>
      <c r="DF193" s="228">
        <v>45.49</v>
      </c>
      <c r="DG193" s="228">
        <v>6.41</v>
      </c>
      <c r="DH193" s="228">
        <v>-0.11</v>
      </c>
      <c r="DI193" s="228">
        <v>52</v>
      </c>
      <c r="DJ193" s="228">
        <v>45.58</v>
      </c>
      <c r="DK193" s="228">
        <v>6.42</v>
      </c>
      <c r="DL193" s="228">
        <v>6.42</v>
      </c>
      <c r="DM193" s="228">
        <v>50.94</v>
      </c>
      <c r="DN193" s="228">
        <v>48.58</v>
      </c>
      <c r="DO193" s="228">
        <v>2.36</v>
      </c>
      <c r="DP193" s="228">
        <v>2.36</v>
      </c>
      <c r="DQ193" s="228">
        <v>0.71</v>
      </c>
      <c r="DR193" s="228">
        <v>0.71</v>
      </c>
      <c r="DS193" s="228">
        <v>0</v>
      </c>
      <c r="DT193" s="229">
        <v>0</v>
      </c>
      <c r="DU193" s="228">
        <v>300</v>
      </c>
      <c r="DV193" s="228">
        <v>280</v>
      </c>
      <c r="DW193" s="228">
        <v>0.35</v>
      </c>
      <c r="DX193" s="228">
        <v>0.35</v>
      </c>
      <c r="DY193" s="228">
        <v>0</v>
      </c>
      <c r="DZ193" s="229">
        <v>0</v>
      </c>
      <c r="EA193" s="229">
        <v>0.39550000000000002</v>
      </c>
      <c r="EB193" s="230">
        <v>6806800</v>
      </c>
      <c r="EC193" s="229">
        <v>-9.1000000000000004E-3</v>
      </c>
      <c r="ED193" s="229">
        <v>0.39550000000000002</v>
      </c>
      <c r="EE193" s="228">
        <v>-2.2999999999999998</v>
      </c>
      <c r="EF193" s="229">
        <v>-7.9000000000000008E-3</v>
      </c>
      <c r="EG193" s="230">
        <v>4855905</v>
      </c>
      <c r="EH193" s="230">
        <v>4402395</v>
      </c>
      <c r="EI193" s="229">
        <v>0.10299999999999999</v>
      </c>
      <c r="EJ193" s="229">
        <v>0.48099999999999998</v>
      </c>
      <c r="EK193" s="228">
        <v>721.9</v>
      </c>
      <c r="EL193" s="228">
        <v>241.54</v>
      </c>
      <c r="EM193" s="231">
        <v>1398.97</v>
      </c>
      <c r="EN193" s="228">
        <v>76.36</v>
      </c>
      <c r="EO193" s="231">
        <v>2362.41</v>
      </c>
      <c r="EP193" s="231">
        <v>1660.13</v>
      </c>
      <c r="EQ193" s="228">
        <v>702.29</v>
      </c>
      <c r="ER193" s="229">
        <v>0.42299999999999999</v>
      </c>
      <c r="ES193" s="228">
        <v>275.3</v>
      </c>
      <c r="ET193" s="228">
        <v>184.73</v>
      </c>
      <c r="EU193" s="231">
        <v>1489.39</v>
      </c>
      <c r="EV193" s="231">
        <v>389472858</v>
      </c>
      <c r="EW193" s="231">
        <v>1949.41</v>
      </c>
      <c r="EX193" s="231">
        <v>2081.79</v>
      </c>
      <c r="EY193" s="228">
        <v>-132.38</v>
      </c>
      <c r="EZ193" s="229">
        <v>-6.3600000000000004E-2</v>
      </c>
      <c r="FA193" s="229">
        <v>0.17199999999999999</v>
      </c>
      <c r="FB193" s="227" t="s">
        <v>567</v>
      </c>
      <c r="FC193">
        <f t="shared" si="3"/>
        <v>0</v>
      </c>
    </row>
    <row r="194" spans="1:159" ht="17.25" thickBot="1" x14ac:dyDescent="0.3">
      <c r="A194" s="226">
        <v>46135</v>
      </c>
      <c r="B194" s="227" t="s">
        <v>168</v>
      </c>
      <c r="C194" s="227" t="s">
        <v>291</v>
      </c>
      <c r="D194" s="228">
        <v>550</v>
      </c>
      <c r="E194" s="228">
        <v>5</v>
      </c>
      <c r="F194" s="231">
        <v>1182.8</v>
      </c>
      <c r="G194" s="231">
        <v>1177.3</v>
      </c>
      <c r="H194" s="228">
        <v>5.5</v>
      </c>
      <c r="I194" s="229">
        <v>4.7000000000000002E-3</v>
      </c>
      <c r="J194" s="231">
        <v>1184.4000000000001</v>
      </c>
      <c r="K194" s="231">
        <v>1178.5999999999999</v>
      </c>
      <c r="L194" s="228">
        <v>5.8</v>
      </c>
      <c r="M194" s="229">
        <v>4.8999999999999998E-3</v>
      </c>
      <c r="N194" s="231">
        <v>1182.8</v>
      </c>
      <c r="O194" s="231">
        <v>1177.3</v>
      </c>
      <c r="P194" s="228">
        <v>5.5</v>
      </c>
      <c r="Q194" s="229">
        <v>4.7000000000000002E-3</v>
      </c>
      <c r="R194" s="231">
        <v>1186.7</v>
      </c>
      <c r="S194" s="231">
        <v>1181.8</v>
      </c>
      <c r="T194" s="228">
        <v>4.9000000000000004</v>
      </c>
      <c r="U194" s="229">
        <v>4.1000000000000003E-3</v>
      </c>
      <c r="V194" s="231">
        <v>1186.5</v>
      </c>
      <c r="W194" s="231">
        <v>1183.4000000000001</v>
      </c>
      <c r="X194" s="228">
        <v>3.1</v>
      </c>
      <c r="Y194" s="229">
        <v>2.5999999999999999E-3</v>
      </c>
      <c r="Z194" s="228">
        <v>-1.6</v>
      </c>
      <c r="AA194" s="228">
        <v>-1.3</v>
      </c>
      <c r="AB194" s="228">
        <v>-0.3</v>
      </c>
      <c r="AC194" s="229">
        <v>-1.4E-3</v>
      </c>
      <c r="AD194" s="228">
        <v>-1.6</v>
      </c>
      <c r="AE194" s="228">
        <v>-1.3</v>
      </c>
      <c r="AF194" s="228">
        <v>-0.3</v>
      </c>
      <c r="AG194" s="229">
        <v>-1.4E-3</v>
      </c>
      <c r="AH194" s="228">
        <v>2.2999999999999998</v>
      </c>
      <c r="AI194" s="228">
        <v>3.2</v>
      </c>
      <c r="AJ194" s="228">
        <v>-0.9</v>
      </c>
      <c r="AK194" s="229">
        <v>1.9E-3</v>
      </c>
      <c r="AL194" s="228">
        <v>2.1</v>
      </c>
      <c r="AM194" s="228">
        <v>4.8</v>
      </c>
      <c r="AN194" s="228">
        <v>-2.7</v>
      </c>
      <c r="AO194" s="229">
        <v>1.8E-3</v>
      </c>
      <c r="AP194" s="231">
        <v>1178.83</v>
      </c>
      <c r="AQ194" s="231">
        <v>1182.54</v>
      </c>
      <c r="AR194" s="228">
        <v>0</v>
      </c>
      <c r="AS194" s="228">
        <v>607</v>
      </c>
      <c r="AT194" s="228">
        <v>527</v>
      </c>
      <c r="AU194" s="228">
        <v>81</v>
      </c>
      <c r="AV194" s="229">
        <v>0.15310000000000001</v>
      </c>
      <c r="AW194" s="228">
        <v>345</v>
      </c>
      <c r="AX194" s="228">
        <v>427</v>
      </c>
      <c r="AY194" s="228">
        <v>-82</v>
      </c>
      <c r="AZ194" s="229">
        <v>-0.19170000000000001</v>
      </c>
      <c r="BA194" s="228">
        <v>256</v>
      </c>
      <c r="BB194" s="228">
        <v>89</v>
      </c>
      <c r="BC194" s="228">
        <v>167</v>
      </c>
      <c r="BD194" s="229">
        <v>1.8819999999999999</v>
      </c>
      <c r="BE194" s="228">
        <v>7</v>
      </c>
      <c r="BF194" s="228">
        <v>11</v>
      </c>
      <c r="BG194" s="228">
        <v>-5</v>
      </c>
      <c r="BH194" s="229">
        <v>-0.4118</v>
      </c>
      <c r="BI194" s="228">
        <v>561</v>
      </c>
      <c r="BJ194" s="230">
        <v>2663</v>
      </c>
      <c r="BK194" s="230">
        <v>-2102</v>
      </c>
      <c r="BL194" s="229">
        <v>-0.7893</v>
      </c>
      <c r="BM194" s="228">
        <v>412</v>
      </c>
      <c r="BN194" s="230">
        <v>1094</v>
      </c>
      <c r="BO194" s="228">
        <v>-682</v>
      </c>
      <c r="BP194" s="229">
        <v>-0.62329999999999997</v>
      </c>
      <c r="BQ194" s="230">
        <v>1581</v>
      </c>
      <c r="BR194" s="230">
        <v>4284</v>
      </c>
      <c r="BS194" s="230">
        <v>-2703</v>
      </c>
      <c r="BT194" s="229">
        <v>-0.63100000000000001</v>
      </c>
      <c r="BU194" s="230">
        <v>1633965</v>
      </c>
      <c r="BV194" s="230">
        <v>4496735</v>
      </c>
      <c r="BW194" s="230">
        <v>-2862770</v>
      </c>
      <c r="BX194" s="229">
        <v>-0.63660000000000005</v>
      </c>
      <c r="BY194" s="230">
        <v>1362</v>
      </c>
      <c r="BZ194" s="230">
        <v>1401</v>
      </c>
      <c r="CA194" s="228">
        <v>-39</v>
      </c>
      <c r="CB194" s="229">
        <v>-2.7799999999999998E-2</v>
      </c>
      <c r="CC194" s="230">
        <v>1065</v>
      </c>
      <c r="CD194" s="230">
        <v>1248</v>
      </c>
      <c r="CE194" s="228">
        <v>-182</v>
      </c>
      <c r="CF194" s="229">
        <v>-0.14610000000000001</v>
      </c>
      <c r="CG194" s="228">
        <v>277</v>
      </c>
      <c r="CH194" s="228">
        <v>137</v>
      </c>
      <c r="CI194" s="228">
        <v>140</v>
      </c>
      <c r="CJ194" s="229">
        <v>1.0199</v>
      </c>
      <c r="CK194" s="228">
        <v>20</v>
      </c>
      <c r="CL194" s="228">
        <v>16</v>
      </c>
      <c r="CM194" s="228">
        <v>3</v>
      </c>
      <c r="CN194" s="229">
        <v>0.20799999999999999</v>
      </c>
      <c r="CO194" s="228">
        <v>345</v>
      </c>
      <c r="CP194" s="228">
        <v>355</v>
      </c>
      <c r="CQ194" s="228">
        <v>-10</v>
      </c>
      <c r="CR194" s="229">
        <v>-2.8400000000000002E-2</v>
      </c>
      <c r="CS194" s="228">
        <v>460</v>
      </c>
      <c r="CT194" s="228">
        <v>423</v>
      </c>
      <c r="CU194" s="228">
        <v>37</v>
      </c>
      <c r="CV194" s="229">
        <v>8.6400000000000005E-2</v>
      </c>
      <c r="CW194" s="230">
        <v>2167</v>
      </c>
      <c r="CX194" s="230">
        <v>2179</v>
      </c>
      <c r="CY194" s="228">
        <v>-12</v>
      </c>
      <c r="CZ194" s="229">
        <v>-5.7000000000000002E-3</v>
      </c>
      <c r="DA194" s="228">
        <v>27.17</v>
      </c>
      <c r="DB194" s="228">
        <v>28.76</v>
      </c>
      <c r="DC194" s="228">
        <v>-1.59</v>
      </c>
      <c r="DD194" s="228">
        <v>-1.59</v>
      </c>
      <c r="DE194" s="228">
        <v>27.56</v>
      </c>
      <c r="DF194" s="228">
        <v>27.62</v>
      </c>
      <c r="DG194" s="228">
        <v>-0.39</v>
      </c>
      <c r="DH194" s="228">
        <v>-0.06</v>
      </c>
      <c r="DI194" s="228">
        <v>26.87</v>
      </c>
      <c r="DJ194" s="228">
        <v>28.35</v>
      </c>
      <c r="DK194" s="228">
        <v>-1.48</v>
      </c>
      <c r="DL194" s="228">
        <v>-1.48</v>
      </c>
      <c r="DM194" s="228">
        <v>28.19</v>
      </c>
      <c r="DN194" s="228">
        <v>29.76</v>
      </c>
      <c r="DO194" s="228">
        <v>-1.57</v>
      </c>
      <c r="DP194" s="228">
        <v>-1.57</v>
      </c>
      <c r="DQ194" s="228">
        <v>1.33</v>
      </c>
      <c r="DR194" s="228">
        <v>1.19</v>
      </c>
      <c r="DS194" s="228">
        <v>0.14000000000000001</v>
      </c>
      <c r="DT194" s="229">
        <v>0.1176</v>
      </c>
      <c r="DU194" s="231">
        <v>1200</v>
      </c>
      <c r="DV194" s="228">
        <v>930</v>
      </c>
      <c r="DW194" s="228">
        <v>0.73</v>
      </c>
      <c r="DX194" s="228">
        <v>0.41</v>
      </c>
      <c r="DY194" s="228">
        <v>0.32</v>
      </c>
      <c r="DZ194" s="229">
        <v>0.78049999999999997</v>
      </c>
      <c r="EA194" s="229">
        <v>0.21790000000000001</v>
      </c>
      <c r="EB194" s="230">
        <v>1297450</v>
      </c>
      <c r="EC194" s="229">
        <v>3.3E-3</v>
      </c>
      <c r="ED194" s="229">
        <v>0.21790000000000001</v>
      </c>
      <c r="EE194" s="228">
        <v>3.71</v>
      </c>
      <c r="EF194" s="229">
        <v>3.0999999999999999E-3</v>
      </c>
      <c r="EG194" s="230">
        <v>925930</v>
      </c>
      <c r="EH194" s="230">
        <v>2648561</v>
      </c>
      <c r="EI194" s="229">
        <v>-0.65039999999999998</v>
      </c>
      <c r="EJ194" s="229">
        <v>0.56669999999999998</v>
      </c>
      <c r="EK194" s="228">
        <v>573.6</v>
      </c>
      <c r="EL194" s="228">
        <v>404.12</v>
      </c>
      <c r="EM194" s="228">
        <v>606</v>
      </c>
      <c r="EN194" s="228">
        <v>39.409999999999997</v>
      </c>
      <c r="EO194" s="231">
        <v>1583.73</v>
      </c>
      <c r="EP194" s="231">
        <v>4285.38</v>
      </c>
      <c r="EQ194" s="231">
        <v>-2701.65</v>
      </c>
      <c r="ER194" s="229">
        <v>-0.63039999999999996</v>
      </c>
      <c r="ES194" s="228">
        <v>339.95</v>
      </c>
      <c r="ET194" s="228">
        <v>414.21</v>
      </c>
      <c r="EU194" s="231">
        <v>1363.21</v>
      </c>
      <c r="EV194" s="231">
        <v>65472757</v>
      </c>
      <c r="EW194" s="231">
        <v>2117.36</v>
      </c>
      <c r="EX194" s="231">
        <v>2122.1999999999998</v>
      </c>
      <c r="EY194" s="228">
        <v>-4.84</v>
      </c>
      <c r="EZ194" s="229">
        <v>-2.3E-3</v>
      </c>
      <c r="FA194" s="229">
        <v>0.27979999999999999</v>
      </c>
      <c r="FB194" s="227" t="s">
        <v>693</v>
      </c>
      <c r="FC194">
        <f t="shared" si="3"/>
        <v>0</v>
      </c>
    </row>
    <row r="195" spans="1:159" ht="17.25" thickBot="1" x14ac:dyDescent="0.3">
      <c r="A195" s="226">
        <v>46135</v>
      </c>
      <c r="B195" s="227" t="s">
        <v>221</v>
      </c>
      <c r="C195" s="227" t="s">
        <v>603</v>
      </c>
      <c r="D195" s="228">
        <v>100</v>
      </c>
      <c r="E195" s="228">
        <v>5</v>
      </c>
      <c r="F195" s="231">
        <v>4226.3999999999996</v>
      </c>
      <c r="G195" s="231">
        <v>4311.6000000000004</v>
      </c>
      <c r="H195" s="228">
        <v>-85.2</v>
      </c>
      <c r="I195" s="229">
        <v>-1.9800000000000002E-2</v>
      </c>
      <c r="J195" s="231">
        <v>4233.5</v>
      </c>
      <c r="K195" s="231">
        <v>4362.5</v>
      </c>
      <c r="L195" s="228">
        <v>-129</v>
      </c>
      <c r="M195" s="229">
        <v>-2.9600000000000001E-2</v>
      </c>
      <c r="N195" s="231">
        <v>4226.3999999999996</v>
      </c>
      <c r="O195" s="231">
        <v>4311.6000000000004</v>
      </c>
      <c r="P195" s="228">
        <v>-85.2</v>
      </c>
      <c r="Q195" s="229">
        <v>-1.9800000000000002E-2</v>
      </c>
      <c r="R195" s="231">
        <v>4167.7</v>
      </c>
      <c r="S195" s="231">
        <v>4289.8</v>
      </c>
      <c r="T195" s="228">
        <v>-122.1</v>
      </c>
      <c r="U195" s="229">
        <v>-2.8500000000000001E-2</v>
      </c>
      <c r="V195" s="231">
        <v>4072.2</v>
      </c>
      <c r="W195" s="231">
        <v>4229.8999999999996</v>
      </c>
      <c r="X195" s="228">
        <v>-157.69999999999999</v>
      </c>
      <c r="Y195" s="229">
        <v>-3.73E-2</v>
      </c>
      <c r="Z195" s="228">
        <v>-7.1</v>
      </c>
      <c r="AA195" s="228">
        <v>-50.9</v>
      </c>
      <c r="AB195" s="228">
        <v>43.8</v>
      </c>
      <c r="AC195" s="229">
        <v>-1.6999999999999999E-3</v>
      </c>
      <c r="AD195" s="228">
        <v>-7.1</v>
      </c>
      <c r="AE195" s="228">
        <v>-50.9</v>
      </c>
      <c r="AF195" s="228">
        <v>43.8</v>
      </c>
      <c r="AG195" s="229">
        <v>-1.6999999999999999E-3</v>
      </c>
      <c r="AH195" s="228">
        <v>-65.8</v>
      </c>
      <c r="AI195" s="228">
        <v>-72.7</v>
      </c>
      <c r="AJ195" s="228">
        <v>6.9</v>
      </c>
      <c r="AK195" s="229">
        <v>-1.55E-2</v>
      </c>
      <c r="AL195" s="228">
        <v>-161.30000000000001</v>
      </c>
      <c r="AM195" s="228">
        <v>-132.6</v>
      </c>
      <c r="AN195" s="228">
        <v>-28.7</v>
      </c>
      <c r="AO195" s="229">
        <v>-3.8100000000000002E-2</v>
      </c>
      <c r="AP195" s="231">
        <v>4243.3500000000004</v>
      </c>
      <c r="AQ195" s="231">
        <v>4188.99</v>
      </c>
      <c r="AR195" s="228">
        <v>0</v>
      </c>
      <c r="AS195" s="230">
        <v>1326</v>
      </c>
      <c r="AT195" s="230">
        <v>1110</v>
      </c>
      <c r="AU195" s="228">
        <v>216</v>
      </c>
      <c r="AV195" s="229">
        <v>0.1943</v>
      </c>
      <c r="AW195" s="228">
        <v>601</v>
      </c>
      <c r="AX195" s="228">
        <v>730</v>
      </c>
      <c r="AY195" s="228">
        <v>-129</v>
      </c>
      <c r="AZ195" s="229">
        <v>-0.17680000000000001</v>
      </c>
      <c r="BA195" s="228">
        <v>689</v>
      </c>
      <c r="BB195" s="228">
        <v>353</v>
      </c>
      <c r="BC195" s="228">
        <v>337</v>
      </c>
      <c r="BD195" s="229">
        <v>0.95550000000000002</v>
      </c>
      <c r="BE195" s="228">
        <v>36</v>
      </c>
      <c r="BF195" s="228">
        <v>28</v>
      </c>
      <c r="BG195" s="228">
        <v>8</v>
      </c>
      <c r="BH195" s="229">
        <v>0.28139999999999998</v>
      </c>
      <c r="BI195" s="230">
        <v>2984</v>
      </c>
      <c r="BJ195" s="230">
        <v>4856</v>
      </c>
      <c r="BK195" s="230">
        <v>-1872</v>
      </c>
      <c r="BL195" s="229">
        <v>-0.38540000000000002</v>
      </c>
      <c r="BM195" s="230">
        <v>1268</v>
      </c>
      <c r="BN195" s="230">
        <v>2798</v>
      </c>
      <c r="BO195" s="230">
        <v>-1530</v>
      </c>
      <c r="BP195" s="229">
        <v>-0.54679999999999995</v>
      </c>
      <c r="BQ195" s="230">
        <v>5579</v>
      </c>
      <c r="BR195" s="230">
        <v>8765</v>
      </c>
      <c r="BS195" s="230">
        <v>-3186</v>
      </c>
      <c r="BT195" s="229">
        <v>-0.36349999999999999</v>
      </c>
      <c r="BU195" s="230">
        <v>704874</v>
      </c>
      <c r="BV195" s="230">
        <v>1877219</v>
      </c>
      <c r="BW195" s="230">
        <v>-1172345</v>
      </c>
      <c r="BX195" s="229">
        <v>-0.62450000000000006</v>
      </c>
      <c r="BY195" s="230">
        <v>1161</v>
      </c>
      <c r="BZ195" s="230">
        <v>1228</v>
      </c>
      <c r="CA195" s="228">
        <v>-66</v>
      </c>
      <c r="CB195" s="229">
        <v>-5.4100000000000002E-2</v>
      </c>
      <c r="CC195" s="228">
        <v>474</v>
      </c>
      <c r="CD195" s="228">
        <v>838</v>
      </c>
      <c r="CE195" s="228">
        <v>-364</v>
      </c>
      <c r="CF195" s="229">
        <v>-0.43419999999999997</v>
      </c>
      <c r="CG195" s="228">
        <v>640</v>
      </c>
      <c r="CH195" s="228">
        <v>358</v>
      </c>
      <c r="CI195" s="228">
        <v>283</v>
      </c>
      <c r="CJ195" s="229">
        <v>0.79049999999999998</v>
      </c>
      <c r="CK195" s="228">
        <v>47</v>
      </c>
      <c r="CL195" s="228">
        <v>32</v>
      </c>
      <c r="CM195" s="228">
        <v>15</v>
      </c>
      <c r="CN195" s="229">
        <v>0.4642</v>
      </c>
      <c r="CO195" s="230">
        <v>1210</v>
      </c>
      <c r="CP195" s="230">
        <v>1135</v>
      </c>
      <c r="CQ195" s="228">
        <v>75</v>
      </c>
      <c r="CR195" s="229">
        <v>6.6199999999999995E-2</v>
      </c>
      <c r="CS195" s="228">
        <v>415</v>
      </c>
      <c r="CT195" s="228">
        <v>398</v>
      </c>
      <c r="CU195" s="228">
        <v>16</v>
      </c>
      <c r="CV195" s="229">
        <v>4.0399999999999998E-2</v>
      </c>
      <c r="CW195" s="230">
        <v>2786</v>
      </c>
      <c r="CX195" s="230">
        <v>2761</v>
      </c>
      <c r="CY195" s="228">
        <v>25</v>
      </c>
      <c r="CZ195" s="229">
        <v>8.9999999999999993E-3</v>
      </c>
      <c r="DA195" s="228">
        <v>41.44</v>
      </c>
      <c r="DB195" s="228">
        <v>48.21</v>
      </c>
      <c r="DC195" s="228">
        <v>-6.77</v>
      </c>
      <c r="DD195" s="228">
        <v>-6.77</v>
      </c>
      <c r="DE195" s="228">
        <v>40.19</v>
      </c>
      <c r="DF195" s="228">
        <v>40.200000000000003</v>
      </c>
      <c r="DG195" s="228">
        <v>1.25</v>
      </c>
      <c r="DH195" s="228">
        <v>-0.01</v>
      </c>
      <c r="DI195" s="228">
        <v>41.93</v>
      </c>
      <c r="DJ195" s="228">
        <v>50.04</v>
      </c>
      <c r="DK195" s="228">
        <v>-8.11</v>
      </c>
      <c r="DL195" s="228">
        <v>-8.11</v>
      </c>
      <c r="DM195" s="228">
        <v>40.119999999999997</v>
      </c>
      <c r="DN195" s="228">
        <v>45.03</v>
      </c>
      <c r="DO195" s="228">
        <v>-4.91</v>
      </c>
      <c r="DP195" s="228">
        <v>-4.91</v>
      </c>
      <c r="DQ195" s="228">
        <v>0.34</v>
      </c>
      <c r="DR195" s="228">
        <v>0.35</v>
      </c>
      <c r="DS195" s="228">
        <v>-0.01</v>
      </c>
      <c r="DT195" s="229">
        <v>-2.86E-2</v>
      </c>
      <c r="DU195" s="231">
        <v>4500</v>
      </c>
      <c r="DV195" s="231">
        <v>4000</v>
      </c>
      <c r="DW195" s="228">
        <v>0.42</v>
      </c>
      <c r="DX195" s="228">
        <v>0.57999999999999996</v>
      </c>
      <c r="DY195" s="228">
        <v>-0.16</v>
      </c>
      <c r="DZ195" s="229">
        <v>-0.27589999999999998</v>
      </c>
      <c r="EA195" s="229">
        <v>0.59160000000000001</v>
      </c>
      <c r="EB195" s="230">
        <v>921700</v>
      </c>
      <c r="EC195" s="229">
        <v>-1.3899999999999999E-2</v>
      </c>
      <c r="ED195" s="229">
        <v>0.59160000000000001</v>
      </c>
      <c r="EE195" s="228">
        <v>-54.36</v>
      </c>
      <c r="EF195" s="229">
        <v>-1.2800000000000001E-2</v>
      </c>
      <c r="EG195" s="230">
        <v>226796</v>
      </c>
      <c r="EH195" s="230">
        <v>690998</v>
      </c>
      <c r="EI195" s="229">
        <v>-0.67179999999999995</v>
      </c>
      <c r="EJ195" s="229">
        <v>0.32179999999999997</v>
      </c>
      <c r="EK195" s="231">
        <v>3223.57</v>
      </c>
      <c r="EL195" s="231">
        <v>1275.3699999999999</v>
      </c>
      <c r="EM195" s="231">
        <v>1321.44</v>
      </c>
      <c r="EN195" s="228">
        <v>97.41</v>
      </c>
      <c r="EO195" s="231">
        <v>5820.38</v>
      </c>
      <c r="EP195" s="231">
        <v>9498.59</v>
      </c>
      <c r="EQ195" s="231">
        <v>-3678.22</v>
      </c>
      <c r="ER195" s="229">
        <v>-0.38719999999999999</v>
      </c>
      <c r="ES195" s="231">
        <v>1331.83</v>
      </c>
      <c r="ET195" s="228">
        <v>417.47</v>
      </c>
      <c r="EU195" s="231">
        <v>1150.78</v>
      </c>
      <c r="EV195" s="231">
        <v>5241946</v>
      </c>
      <c r="EW195" s="231">
        <v>2900.07</v>
      </c>
      <c r="EX195" s="231">
        <v>2913.32</v>
      </c>
      <c r="EY195" s="228">
        <v>-13.25</v>
      </c>
      <c r="EZ195" s="229">
        <v>-4.4999999999999997E-3</v>
      </c>
      <c r="FA195" s="229">
        <v>1.2575000000000001</v>
      </c>
      <c r="FB195" s="227" t="s">
        <v>567</v>
      </c>
      <c r="FC195">
        <f t="shared" ref="FC195:FC258" si="4">BY266-CC266</f>
        <v>0</v>
      </c>
    </row>
    <row r="196" spans="1:159" ht="17.25" thickBot="1" x14ac:dyDescent="0.3">
      <c r="A196" s="226">
        <v>46135</v>
      </c>
      <c r="B196" s="227" t="s">
        <v>161</v>
      </c>
      <c r="C196" s="227" t="s">
        <v>293</v>
      </c>
      <c r="D196" s="228">
        <v>1450</v>
      </c>
      <c r="E196" s="228">
        <v>5</v>
      </c>
      <c r="F196" s="228">
        <v>430.75</v>
      </c>
      <c r="G196" s="228">
        <v>436.6</v>
      </c>
      <c r="H196" s="228">
        <v>-5.85</v>
      </c>
      <c r="I196" s="229">
        <v>-1.34E-2</v>
      </c>
      <c r="J196" s="228">
        <v>430.3</v>
      </c>
      <c r="K196" s="228">
        <v>436.05</v>
      </c>
      <c r="L196" s="228">
        <v>-5.75</v>
      </c>
      <c r="M196" s="229">
        <v>-1.32E-2</v>
      </c>
      <c r="N196" s="228">
        <v>430.75</v>
      </c>
      <c r="O196" s="228">
        <v>436.6</v>
      </c>
      <c r="P196" s="228">
        <v>-5.85</v>
      </c>
      <c r="Q196" s="229">
        <v>-1.34E-2</v>
      </c>
      <c r="R196" s="228">
        <v>433.1</v>
      </c>
      <c r="S196" s="228">
        <v>439</v>
      </c>
      <c r="T196" s="228">
        <v>-5.9</v>
      </c>
      <c r="U196" s="229">
        <v>-1.34E-2</v>
      </c>
      <c r="V196" s="228">
        <v>433.75</v>
      </c>
      <c r="W196" s="228">
        <v>439.35</v>
      </c>
      <c r="X196" s="228">
        <v>-5.6</v>
      </c>
      <c r="Y196" s="229">
        <v>-1.2699999999999999E-2</v>
      </c>
      <c r="Z196" s="228">
        <v>0.45</v>
      </c>
      <c r="AA196" s="228">
        <v>0.55000000000000004</v>
      </c>
      <c r="AB196" s="228">
        <v>-0.1</v>
      </c>
      <c r="AC196" s="229">
        <v>1E-3</v>
      </c>
      <c r="AD196" s="228">
        <v>0.45</v>
      </c>
      <c r="AE196" s="228">
        <v>0.55000000000000004</v>
      </c>
      <c r="AF196" s="228">
        <v>-0.1</v>
      </c>
      <c r="AG196" s="229">
        <v>1E-3</v>
      </c>
      <c r="AH196" s="228">
        <v>2.8</v>
      </c>
      <c r="AI196" s="228">
        <v>2.95</v>
      </c>
      <c r="AJ196" s="228">
        <v>-0.15</v>
      </c>
      <c r="AK196" s="229">
        <v>6.4999999999999997E-3</v>
      </c>
      <c r="AL196" s="228">
        <v>3.45</v>
      </c>
      <c r="AM196" s="228">
        <v>3.3</v>
      </c>
      <c r="AN196" s="228">
        <v>0.15</v>
      </c>
      <c r="AO196" s="229">
        <v>8.0000000000000002E-3</v>
      </c>
      <c r="AP196" s="228">
        <v>432.4</v>
      </c>
      <c r="AQ196" s="228">
        <v>434.74</v>
      </c>
      <c r="AR196" s="228">
        <v>0</v>
      </c>
      <c r="AS196" s="230">
        <v>1316</v>
      </c>
      <c r="AT196" s="228">
        <v>448</v>
      </c>
      <c r="AU196" s="228">
        <v>868</v>
      </c>
      <c r="AV196" s="229">
        <v>1.9389000000000001</v>
      </c>
      <c r="AW196" s="228">
        <v>671</v>
      </c>
      <c r="AX196" s="228">
        <v>283</v>
      </c>
      <c r="AY196" s="228">
        <v>387</v>
      </c>
      <c r="AZ196" s="229">
        <v>1.3674999999999999</v>
      </c>
      <c r="BA196" s="228">
        <v>636</v>
      </c>
      <c r="BB196" s="228">
        <v>158</v>
      </c>
      <c r="BC196" s="228">
        <v>478</v>
      </c>
      <c r="BD196" s="229">
        <v>3.0329000000000002</v>
      </c>
      <c r="BE196" s="228">
        <v>10</v>
      </c>
      <c r="BF196" s="228">
        <v>7</v>
      </c>
      <c r="BG196" s="228">
        <v>3</v>
      </c>
      <c r="BH196" s="229">
        <v>0.4375</v>
      </c>
      <c r="BI196" s="230">
        <v>2079</v>
      </c>
      <c r="BJ196" s="230">
        <v>2263</v>
      </c>
      <c r="BK196" s="228">
        <v>-184</v>
      </c>
      <c r="BL196" s="229">
        <v>-8.1299999999999997E-2</v>
      </c>
      <c r="BM196" s="230">
        <v>1330</v>
      </c>
      <c r="BN196" s="230">
        <v>1288</v>
      </c>
      <c r="BO196" s="228">
        <v>42</v>
      </c>
      <c r="BP196" s="229">
        <v>3.2300000000000002E-2</v>
      </c>
      <c r="BQ196" s="230">
        <v>4725</v>
      </c>
      <c r="BR196" s="230">
        <v>3999</v>
      </c>
      <c r="BS196" s="228">
        <v>726</v>
      </c>
      <c r="BT196" s="229">
        <v>0.18149999999999999</v>
      </c>
      <c r="BU196" s="230">
        <v>8390812</v>
      </c>
      <c r="BV196" s="230">
        <v>6332928</v>
      </c>
      <c r="BW196" s="230">
        <v>2057884</v>
      </c>
      <c r="BX196" s="229">
        <v>0.32490000000000002</v>
      </c>
      <c r="BY196" s="230">
        <v>2589</v>
      </c>
      <c r="BZ196" s="230">
        <v>2525</v>
      </c>
      <c r="CA196" s="228">
        <v>64</v>
      </c>
      <c r="CB196" s="229">
        <v>2.53E-2</v>
      </c>
      <c r="CC196" s="230">
        <v>1650</v>
      </c>
      <c r="CD196" s="230">
        <v>2098</v>
      </c>
      <c r="CE196" s="228">
        <v>-448</v>
      </c>
      <c r="CF196" s="229">
        <v>-0.21360000000000001</v>
      </c>
      <c r="CG196" s="228">
        <v>908</v>
      </c>
      <c r="CH196" s="228">
        <v>401</v>
      </c>
      <c r="CI196" s="228">
        <v>507</v>
      </c>
      <c r="CJ196" s="229">
        <v>1.2626999999999999</v>
      </c>
      <c r="CK196" s="228">
        <v>31</v>
      </c>
      <c r="CL196" s="228">
        <v>26</v>
      </c>
      <c r="CM196" s="228">
        <v>5</v>
      </c>
      <c r="CN196" s="229">
        <v>0.1961</v>
      </c>
      <c r="CO196" s="230">
        <v>1589</v>
      </c>
      <c r="CP196" s="230">
        <v>1554</v>
      </c>
      <c r="CQ196" s="228">
        <v>35</v>
      </c>
      <c r="CR196" s="229">
        <v>2.2499999999999999E-2</v>
      </c>
      <c r="CS196" s="230">
        <v>1213</v>
      </c>
      <c r="CT196" s="230">
        <v>1291</v>
      </c>
      <c r="CU196" s="228">
        <v>-78</v>
      </c>
      <c r="CV196" s="229">
        <v>-6.0199999999999997E-2</v>
      </c>
      <c r="CW196" s="230">
        <v>5391</v>
      </c>
      <c r="CX196" s="230">
        <v>5370</v>
      </c>
      <c r="CY196" s="228">
        <v>21</v>
      </c>
      <c r="CZ196" s="229">
        <v>3.8999999999999998E-3</v>
      </c>
      <c r="DA196" s="228">
        <v>29.63</v>
      </c>
      <c r="DB196" s="228">
        <v>28.78</v>
      </c>
      <c r="DC196" s="228">
        <v>0.85</v>
      </c>
      <c r="DD196" s="228">
        <v>0.85</v>
      </c>
      <c r="DE196" s="228">
        <v>31.36</v>
      </c>
      <c r="DF196" s="228">
        <v>31.39</v>
      </c>
      <c r="DG196" s="228">
        <v>-1.73</v>
      </c>
      <c r="DH196" s="228">
        <v>-0.03</v>
      </c>
      <c r="DI196" s="228">
        <v>29.91</v>
      </c>
      <c r="DJ196" s="228">
        <v>28.46</v>
      </c>
      <c r="DK196" s="228">
        <v>1.45</v>
      </c>
      <c r="DL196" s="228">
        <v>1.45</v>
      </c>
      <c r="DM196" s="228">
        <v>28.99</v>
      </c>
      <c r="DN196" s="228">
        <v>29.33</v>
      </c>
      <c r="DO196" s="228">
        <v>-0.34</v>
      </c>
      <c r="DP196" s="228">
        <v>-0.34</v>
      </c>
      <c r="DQ196" s="228">
        <v>0.76</v>
      </c>
      <c r="DR196" s="228">
        <v>0.83</v>
      </c>
      <c r="DS196" s="228">
        <v>-7.0000000000000007E-2</v>
      </c>
      <c r="DT196" s="229">
        <v>-8.43E-2</v>
      </c>
      <c r="DU196" s="228">
        <v>440</v>
      </c>
      <c r="DV196" s="228">
        <v>400</v>
      </c>
      <c r="DW196" s="228">
        <v>0.64</v>
      </c>
      <c r="DX196" s="228">
        <v>0.56999999999999995</v>
      </c>
      <c r="DY196" s="228">
        <v>7.0000000000000007E-2</v>
      </c>
      <c r="DZ196" s="229">
        <v>0.12280000000000001</v>
      </c>
      <c r="EA196" s="229">
        <v>0.36270000000000002</v>
      </c>
      <c r="EB196" s="230">
        <v>9915100</v>
      </c>
      <c r="EC196" s="229">
        <v>5.4999999999999997E-3</v>
      </c>
      <c r="ED196" s="229">
        <v>0.36270000000000002</v>
      </c>
      <c r="EE196" s="228">
        <v>2.34</v>
      </c>
      <c r="EF196" s="229">
        <v>5.4000000000000003E-3</v>
      </c>
      <c r="EG196" s="230">
        <v>4603754</v>
      </c>
      <c r="EH196" s="230">
        <v>2778329</v>
      </c>
      <c r="EI196" s="229">
        <v>0.65700000000000003</v>
      </c>
      <c r="EJ196" s="229">
        <v>0.54869999999999997</v>
      </c>
      <c r="EK196" s="231">
        <v>2158.71</v>
      </c>
      <c r="EL196" s="231">
        <v>1322.26</v>
      </c>
      <c r="EM196" s="231">
        <v>1324.88</v>
      </c>
      <c r="EN196" s="228">
        <v>99.55</v>
      </c>
      <c r="EO196" s="231">
        <v>4805.8500000000004</v>
      </c>
      <c r="EP196" s="231">
        <v>4111.42</v>
      </c>
      <c r="EQ196" s="228">
        <v>694.43</v>
      </c>
      <c r="ER196" s="229">
        <v>0.16889999999999999</v>
      </c>
      <c r="ES196" s="231">
        <v>1586</v>
      </c>
      <c r="ET196" s="231">
        <v>1137.42</v>
      </c>
      <c r="EU196" s="231">
        <v>2593.83</v>
      </c>
      <c r="EV196" s="231">
        <v>169808198</v>
      </c>
      <c r="EW196" s="231">
        <v>5317.26</v>
      </c>
      <c r="EX196" s="231">
        <v>5320.43</v>
      </c>
      <c r="EY196" s="228">
        <v>-3.17</v>
      </c>
      <c r="EZ196" s="229">
        <v>-5.9999999999999995E-4</v>
      </c>
      <c r="FA196" s="229">
        <v>0.73699999999999999</v>
      </c>
      <c r="FB196" s="227" t="s">
        <v>566</v>
      </c>
      <c r="FC196">
        <f t="shared" si="4"/>
        <v>0</v>
      </c>
    </row>
    <row r="197" spans="1:159" ht="17.25" thickBot="1" x14ac:dyDescent="0.3">
      <c r="A197" s="226">
        <v>46135</v>
      </c>
      <c r="B197" s="227" t="s">
        <v>227</v>
      </c>
      <c r="C197" s="227" t="s">
        <v>294</v>
      </c>
      <c r="D197" s="228">
        <v>5500</v>
      </c>
      <c r="E197" s="228">
        <v>5</v>
      </c>
      <c r="F197" s="228">
        <v>210.67</v>
      </c>
      <c r="G197" s="228">
        <v>213.02</v>
      </c>
      <c r="H197" s="228">
        <v>-2.35</v>
      </c>
      <c r="I197" s="229">
        <v>-1.0999999999999999E-2</v>
      </c>
      <c r="J197" s="228">
        <v>210.91</v>
      </c>
      <c r="K197" s="228">
        <v>213.03</v>
      </c>
      <c r="L197" s="228">
        <v>-2.12</v>
      </c>
      <c r="M197" s="229">
        <v>-0.01</v>
      </c>
      <c r="N197" s="228">
        <v>210.67</v>
      </c>
      <c r="O197" s="228">
        <v>213.02</v>
      </c>
      <c r="P197" s="228">
        <v>-2.35</v>
      </c>
      <c r="Q197" s="229">
        <v>-1.0999999999999999E-2</v>
      </c>
      <c r="R197" s="228">
        <v>211.84</v>
      </c>
      <c r="S197" s="228">
        <v>214.13</v>
      </c>
      <c r="T197" s="228">
        <v>-2.29</v>
      </c>
      <c r="U197" s="229">
        <v>-1.0699999999999999E-2</v>
      </c>
      <c r="V197" s="228">
        <v>210.03</v>
      </c>
      <c r="W197" s="228">
        <v>212.32</v>
      </c>
      <c r="X197" s="228">
        <v>-2.29</v>
      </c>
      <c r="Y197" s="229">
        <v>-1.0800000000000001E-2</v>
      </c>
      <c r="Z197" s="228">
        <v>-0.24</v>
      </c>
      <c r="AA197" s="228">
        <v>-0.01</v>
      </c>
      <c r="AB197" s="228">
        <v>-0.23</v>
      </c>
      <c r="AC197" s="229">
        <v>-1.1000000000000001E-3</v>
      </c>
      <c r="AD197" s="228">
        <v>-0.24</v>
      </c>
      <c r="AE197" s="228">
        <v>-0.01</v>
      </c>
      <c r="AF197" s="228">
        <v>-0.23</v>
      </c>
      <c r="AG197" s="229">
        <v>-1.1000000000000001E-3</v>
      </c>
      <c r="AH197" s="228">
        <v>0.93</v>
      </c>
      <c r="AI197" s="228">
        <v>1.1000000000000001</v>
      </c>
      <c r="AJ197" s="228">
        <v>-0.17</v>
      </c>
      <c r="AK197" s="229">
        <v>4.4000000000000003E-3</v>
      </c>
      <c r="AL197" s="228">
        <v>-0.88</v>
      </c>
      <c r="AM197" s="228">
        <v>-0.71</v>
      </c>
      <c r="AN197" s="228">
        <v>-0.17</v>
      </c>
      <c r="AO197" s="229">
        <v>-4.1999999999999997E-3</v>
      </c>
      <c r="AP197" s="228">
        <v>211.04</v>
      </c>
      <c r="AQ197" s="228">
        <v>212.22</v>
      </c>
      <c r="AR197" s="228">
        <v>0</v>
      </c>
      <c r="AS197" s="230">
        <v>1594</v>
      </c>
      <c r="AT197" s="228">
        <v>799</v>
      </c>
      <c r="AU197" s="228">
        <v>794</v>
      </c>
      <c r="AV197" s="229">
        <v>0.99409999999999998</v>
      </c>
      <c r="AW197" s="228">
        <v>841</v>
      </c>
      <c r="AX197" s="228">
        <v>480</v>
      </c>
      <c r="AY197" s="228">
        <v>360</v>
      </c>
      <c r="AZ197" s="229">
        <v>0.74990000000000001</v>
      </c>
      <c r="BA197" s="228">
        <v>724</v>
      </c>
      <c r="BB197" s="228">
        <v>292</v>
      </c>
      <c r="BC197" s="228">
        <v>432</v>
      </c>
      <c r="BD197" s="229">
        <v>1.4792000000000001</v>
      </c>
      <c r="BE197" s="228">
        <v>29</v>
      </c>
      <c r="BF197" s="228">
        <v>27</v>
      </c>
      <c r="BG197" s="228">
        <v>2</v>
      </c>
      <c r="BH197" s="229">
        <v>9.0499999999999997E-2</v>
      </c>
      <c r="BI197" s="230">
        <v>1831</v>
      </c>
      <c r="BJ197" s="230">
        <v>2488</v>
      </c>
      <c r="BK197" s="228">
        <v>-657</v>
      </c>
      <c r="BL197" s="229">
        <v>-0.26419999999999999</v>
      </c>
      <c r="BM197" s="230">
        <v>1130</v>
      </c>
      <c r="BN197" s="230">
        <v>1513</v>
      </c>
      <c r="BO197" s="228">
        <v>-383</v>
      </c>
      <c r="BP197" s="229">
        <v>-0.25309999999999999</v>
      </c>
      <c r="BQ197" s="230">
        <v>4554</v>
      </c>
      <c r="BR197" s="230">
        <v>4800</v>
      </c>
      <c r="BS197" s="228">
        <v>-246</v>
      </c>
      <c r="BT197" s="229">
        <v>-5.1200000000000002E-2</v>
      </c>
      <c r="BU197" s="230">
        <v>20415328</v>
      </c>
      <c r="BV197" s="230">
        <v>22304183</v>
      </c>
      <c r="BW197" s="230">
        <v>-1888855</v>
      </c>
      <c r="BX197" s="229">
        <v>-8.4699999999999998E-2</v>
      </c>
      <c r="BY197" s="230">
        <v>3851</v>
      </c>
      <c r="BZ197" s="230">
        <v>3804</v>
      </c>
      <c r="CA197" s="228">
        <v>47</v>
      </c>
      <c r="CB197" s="229">
        <v>1.24E-2</v>
      </c>
      <c r="CC197" s="230">
        <v>2455</v>
      </c>
      <c r="CD197" s="230">
        <v>2969</v>
      </c>
      <c r="CE197" s="228">
        <v>-513</v>
      </c>
      <c r="CF197" s="229">
        <v>-0.1729</v>
      </c>
      <c r="CG197" s="230">
        <v>1249</v>
      </c>
      <c r="CH197" s="228">
        <v>704</v>
      </c>
      <c r="CI197" s="228">
        <v>545</v>
      </c>
      <c r="CJ197" s="229">
        <v>0.77359999999999995</v>
      </c>
      <c r="CK197" s="228">
        <v>147</v>
      </c>
      <c r="CL197" s="228">
        <v>131</v>
      </c>
      <c r="CM197" s="228">
        <v>16</v>
      </c>
      <c r="CN197" s="229">
        <v>0.1195</v>
      </c>
      <c r="CO197" s="230">
        <v>2571</v>
      </c>
      <c r="CP197" s="230">
        <v>2623</v>
      </c>
      <c r="CQ197" s="228">
        <v>-52</v>
      </c>
      <c r="CR197" s="229">
        <v>-1.9800000000000002E-2</v>
      </c>
      <c r="CS197" s="230">
        <v>2022</v>
      </c>
      <c r="CT197" s="230">
        <v>2114</v>
      </c>
      <c r="CU197" s="228">
        <v>-92</v>
      </c>
      <c r="CV197" s="229">
        <v>-4.36E-2</v>
      </c>
      <c r="CW197" s="230">
        <v>8443</v>
      </c>
      <c r="CX197" s="230">
        <v>8540</v>
      </c>
      <c r="CY197" s="228">
        <v>-97</v>
      </c>
      <c r="CZ197" s="229">
        <v>-1.14E-2</v>
      </c>
      <c r="DA197" s="228">
        <v>30.37</v>
      </c>
      <c r="DB197" s="228">
        <v>28.96</v>
      </c>
      <c r="DC197" s="228">
        <v>1.41</v>
      </c>
      <c r="DD197" s="228">
        <v>1.41</v>
      </c>
      <c r="DE197" s="228">
        <v>35.840000000000003</v>
      </c>
      <c r="DF197" s="228">
        <v>35.9</v>
      </c>
      <c r="DG197" s="228">
        <v>-5.47</v>
      </c>
      <c r="DH197" s="228">
        <v>-0.06</v>
      </c>
      <c r="DI197" s="228">
        <v>30.11</v>
      </c>
      <c r="DJ197" s="228">
        <v>27.48</v>
      </c>
      <c r="DK197" s="228">
        <v>2.63</v>
      </c>
      <c r="DL197" s="228">
        <v>2.63</v>
      </c>
      <c r="DM197" s="228">
        <v>30.84</v>
      </c>
      <c r="DN197" s="228">
        <v>31.4</v>
      </c>
      <c r="DO197" s="228">
        <v>-0.56000000000000005</v>
      </c>
      <c r="DP197" s="228">
        <v>-0.56000000000000005</v>
      </c>
      <c r="DQ197" s="228">
        <v>0.79</v>
      </c>
      <c r="DR197" s="228">
        <v>0.81</v>
      </c>
      <c r="DS197" s="228">
        <v>-0.02</v>
      </c>
      <c r="DT197" s="229">
        <v>-2.47E-2</v>
      </c>
      <c r="DU197" s="228">
        <v>195</v>
      </c>
      <c r="DV197" s="228">
        <v>200</v>
      </c>
      <c r="DW197" s="228">
        <v>0.62</v>
      </c>
      <c r="DX197" s="228">
        <v>0.61</v>
      </c>
      <c r="DY197" s="228">
        <v>0.01</v>
      </c>
      <c r="DZ197" s="229">
        <v>1.6400000000000001E-2</v>
      </c>
      <c r="EA197" s="229">
        <v>0.3624</v>
      </c>
      <c r="EB197" s="230">
        <v>39644000</v>
      </c>
      <c r="EC197" s="229">
        <v>5.5999999999999999E-3</v>
      </c>
      <c r="ED197" s="229">
        <v>0.3624</v>
      </c>
      <c r="EE197" s="228">
        <v>1.18</v>
      </c>
      <c r="EF197" s="229">
        <v>5.5999999999999999E-3</v>
      </c>
      <c r="EG197" s="230">
        <v>8967831</v>
      </c>
      <c r="EH197" s="230">
        <v>8100886</v>
      </c>
      <c r="EI197" s="229">
        <v>0.107</v>
      </c>
      <c r="EJ197" s="229">
        <v>0.43930000000000002</v>
      </c>
      <c r="EK197" s="231">
        <v>1893.06</v>
      </c>
      <c r="EL197" s="231">
        <v>1107.1600000000001</v>
      </c>
      <c r="EM197" s="231">
        <v>1600.31</v>
      </c>
      <c r="EN197" s="228">
        <v>60.74</v>
      </c>
      <c r="EO197" s="231">
        <v>4600.54</v>
      </c>
      <c r="EP197" s="231">
        <v>4879.17</v>
      </c>
      <c r="EQ197" s="228">
        <v>-278.63</v>
      </c>
      <c r="ER197" s="229">
        <v>-5.7099999999999998E-2</v>
      </c>
      <c r="ES197" s="231">
        <v>2549.7199999999998</v>
      </c>
      <c r="ET197" s="231">
        <v>1886.94</v>
      </c>
      <c r="EU197" s="231">
        <v>3857.38</v>
      </c>
      <c r="EV197" s="231">
        <v>1049350971</v>
      </c>
      <c r="EW197" s="231">
        <v>8294.0400000000009</v>
      </c>
      <c r="EX197" s="231">
        <v>8421.27</v>
      </c>
      <c r="EY197" s="228">
        <v>-127.23</v>
      </c>
      <c r="EZ197" s="229">
        <v>-1.5100000000000001E-2</v>
      </c>
      <c r="FA197" s="229">
        <v>0.38190000000000002</v>
      </c>
      <c r="FB197" s="227" t="s">
        <v>566</v>
      </c>
      <c r="FC197">
        <f t="shared" si="4"/>
        <v>0</v>
      </c>
    </row>
    <row r="198" spans="1:159" ht="17.25" thickBot="1" x14ac:dyDescent="0.3">
      <c r="A198" s="226">
        <v>46135</v>
      </c>
      <c r="B198" s="227" t="s">
        <v>221</v>
      </c>
      <c r="C198" s="227" t="s">
        <v>662</v>
      </c>
      <c r="D198" s="228">
        <v>800</v>
      </c>
      <c r="E198" s="228">
        <v>5</v>
      </c>
      <c r="F198" s="228">
        <v>562.70000000000005</v>
      </c>
      <c r="G198" s="228">
        <v>575.4</v>
      </c>
      <c r="H198" s="228">
        <v>-12.7</v>
      </c>
      <c r="I198" s="229">
        <v>-2.2100000000000002E-2</v>
      </c>
      <c r="J198" s="228">
        <v>563.5</v>
      </c>
      <c r="K198" s="228">
        <v>575.29999999999995</v>
      </c>
      <c r="L198" s="228">
        <v>-11.8</v>
      </c>
      <c r="M198" s="229">
        <v>-2.0500000000000001E-2</v>
      </c>
      <c r="N198" s="228">
        <v>562.70000000000005</v>
      </c>
      <c r="O198" s="228">
        <v>575.4</v>
      </c>
      <c r="P198" s="228">
        <v>-12.7</v>
      </c>
      <c r="Q198" s="229">
        <v>-2.2100000000000002E-2</v>
      </c>
      <c r="R198" s="228">
        <v>0</v>
      </c>
      <c r="S198" s="228">
        <v>0</v>
      </c>
      <c r="T198" s="228">
        <v>0</v>
      </c>
      <c r="U198" s="229">
        <v>0</v>
      </c>
      <c r="V198" s="228">
        <v>0</v>
      </c>
      <c r="W198" s="228">
        <v>0</v>
      </c>
      <c r="X198" s="228">
        <v>0</v>
      </c>
      <c r="Y198" s="229">
        <v>0</v>
      </c>
      <c r="Z198" s="228">
        <v>-0.8</v>
      </c>
      <c r="AA198" s="228">
        <v>0.1</v>
      </c>
      <c r="AB198" s="228">
        <v>-0.9</v>
      </c>
      <c r="AC198" s="229">
        <v>-1.4E-3</v>
      </c>
      <c r="AD198" s="228">
        <v>-0.8</v>
      </c>
      <c r="AE198" s="228">
        <v>0.1</v>
      </c>
      <c r="AF198" s="228">
        <v>-0.9</v>
      </c>
      <c r="AG198" s="229">
        <v>-1.4E-3</v>
      </c>
      <c r="AH198" s="228">
        <v>0</v>
      </c>
      <c r="AI198" s="228">
        <v>0</v>
      </c>
      <c r="AJ198" s="228">
        <v>0</v>
      </c>
      <c r="AK198" s="229">
        <v>0</v>
      </c>
      <c r="AL198" s="228">
        <v>0</v>
      </c>
      <c r="AM198" s="228">
        <v>0</v>
      </c>
      <c r="AN198" s="228">
        <v>0</v>
      </c>
      <c r="AO198" s="229">
        <v>0</v>
      </c>
      <c r="AP198" s="228">
        <v>566.9</v>
      </c>
      <c r="AQ198" s="228">
        <v>0</v>
      </c>
      <c r="AR198" s="228">
        <v>0</v>
      </c>
      <c r="AS198" s="228">
        <v>106</v>
      </c>
      <c r="AT198" s="228">
        <v>35</v>
      </c>
      <c r="AU198" s="228">
        <v>70</v>
      </c>
      <c r="AV198" s="229">
        <v>1.986</v>
      </c>
      <c r="AW198" s="228">
        <v>106</v>
      </c>
      <c r="AX198" s="228">
        <v>35</v>
      </c>
      <c r="AY198" s="228">
        <v>70</v>
      </c>
      <c r="AZ198" s="229">
        <v>1.986</v>
      </c>
      <c r="BA198" s="228">
        <v>0</v>
      </c>
      <c r="BB198" s="228">
        <v>0</v>
      </c>
      <c r="BC198" s="228">
        <v>0</v>
      </c>
      <c r="BD198" s="229">
        <v>0</v>
      </c>
      <c r="BE198" s="228">
        <v>0</v>
      </c>
      <c r="BF198" s="228">
        <v>0</v>
      </c>
      <c r="BG198" s="228">
        <v>0</v>
      </c>
      <c r="BH198" s="229">
        <v>0</v>
      </c>
      <c r="BI198" s="228">
        <v>142</v>
      </c>
      <c r="BJ198" s="228">
        <v>116</v>
      </c>
      <c r="BK198" s="228">
        <v>26</v>
      </c>
      <c r="BL198" s="229">
        <v>0.22650000000000001</v>
      </c>
      <c r="BM198" s="228">
        <v>105</v>
      </c>
      <c r="BN198" s="228">
        <v>62</v>
      </c>
      <c r="BO198" s="228">
        <v>43</v>
      </c>
      <c r="BP198" s="229">
        <v>0.70340000000000003</v>
      </c>
      <c r="BQ198" s="228">
        <v>353</v>
      </c>
      <c r="BR198" s="228">
        <v>213</v>
      </c>
      <c r="BS198" s="228">
        <v>140</v>
      </c>
      <c r="BT198" s="229">
        <v>0.65739999999999998</v>
      </c>
      <c r="BU198" s="230">
        <v>890833</v>
      </c>
      <c r="BV198" s="230">
        <v>791215</v>
      </c>
      <c r="BW198" s="230">
        <v>99618</v>
      </c>
      <c r="BX198" s="229">
        <v>0.12590000000000001</v>
      </c>
      <c r="BY198" s="228">
        <v>263</v>
      </c>
      <c r="BZ198" s="228">
        <v>315</v>
      </c>
      <c r="CA198" s="228">
        <v>-51</v>
      </c>
      <c r="CB198" s="229">
        <v>-0.1628</v>
      </c>
      <c r="CC198" s="228">
        <v>263</v>
      </c>
      <c r="CD198" s="228">
        <v>315</v>
      </c>
      <c r="CE198" s="228">
        <v>-51</v>
      </c>
      <c r="CF198" s="229">
        <v>-0.1628</v>
      </c>
      <c r="CG198" s="228">
        <v>0</v>
      </c>
      <c r="CH198" s="228">
        <v>0</v>
      </c>
      <c r="CI198" s="228">
        <v>0</v>
      </c>
      <c r="CJ198" s="229">
        <v>0</v>
      </c>
      <c r="CK198" s="228">
        <v>0</v>
      </c>
      <c r="CL198" s="228">
        <v>0</v>
      </c>
      <c r="CM198" s="228">
        <v>0</v>
      </c>
      <c r="CN198" s="229">
        <v>0</v>
      </c>
      <c r="CO198" s="228">
        <v>153</v>
      </c>
      <c r="CP198" s="228">
        <v>146</v>
      </c>
      <c r="CQ198" s="228">
        <v>6</v>
      </c>
      <c r="CR198" s="229">
        <v>4.3099999999999999E-2</v>
      </c>
      <c r="CS198" s="228">
        <v>119</v>
      </c>
      <c r="CT198" s="228">
        <v>113</v>
      </c>
      <c r="CU198" s="228">
        <v>7</v>
      </c>
      <c r="CV198" s="229">
        <v>6.0299999999999999E-2</v>
      </c>
      <c r="CW198" s="228">
        <v>536</v>
      </c>
      <c r="CX198" s="228">
        <v>574</v>
      </c>
      <c r="CY198" s="228">
        <v>-38</v>
      </c>
      <c r="CZ198" s="229">
        <v>-6.6500000000000004E-2</v>
      </c>
      <c r="DA198" s="228">
        <v>33.74</v>
      </c>
      <c r="DB198" s="228">
        <v>33.46</v>
      </c>
      <c r="DC198" s="228">
        <v>0.28000000000000003</v>
      </c>
      <c r="DD198" s="228">
        <v>0.28000000000000003</v>
      </c>
      <c r="DE198" s="228">
        <v>33.74</v>
      </c>
      <c r="DF198" s="228">
        <v>33.69</v>
      </c>
      <c r="DG198" s="228">
        <v>0</v>
      </c>
      <c r="DH198" s="228">
        <v>0.05</v>
      </c>
      <c r="DI198" s="228">
        <v>33.74</v>
      </c>
      <c r="DJ198" s="228">
        <v>32.47</v>
      </c>
      <c r="DK198" s="228">
        <v>1.27</v>
      </c>
      <c r="DL198" s="228">
        <v>1.27</v>
      </c>
      <c r="DM198" s="228">
        <v>33.74</v>
      </c>
      <c r="DN198" s="228">
        <v>35.31</v>
      </c>
      <c r="DO198" s="228">
        <v>-1.57</v>
      </c>
      <c r="DP198" s="228">
        <v>-1.57</v>
      </c>
      <c r="DQ198" s="228">
        <v>0.78</v>
      </c>
      <c r="DR198" s="228">
        <v>0.77</v>
      </c>
      <c r="DS198" s="228">
        <v>0.01</v>
      </c>
      <c r="DT198" s="229">
        <v>1.2999999999999999E-2</v>
      </c>
      <c r="DU198" s="228">
        <v>600</v>
      </c>
      <c r="DV198" s="228">
        <v>550</v>
      </c>
      <c r="DW198" s="228">
        <v>0.74</v>
      </c>
      <c r="DX198" s="228">
        <v>0.53</v>
      </c>
      <c r="DY198" s="228">
        <v>0.21</v>
      </c>
      <c r="DZ198" s="229">
        <v>0.3962</v>
      </c>
      <c r="EA198" s="229">
        <v>0</v>
      </c>
      <c r="EB198" s="228">
        <v>0</v>
      </c>
      <c r="EC198" s="229">
        <v>0</v>
      </c>
      <c r="ED198" s="229">
        <v>0</v>
      </c>
      <c r="EE198" s="228">
        <v>0</v>
      </c>
      <c r="EF198" s="229">
        <v>0</v>
      </c>
      <c r="EG198" s="230">
        <v>399295</v>
      </c>
      <c r="EH198" s="230">
        <v>357414</v>
      </c>
      <c r="EI198" s="229">
        <v>0.1172</v>
      </c>
      <c r="EJ198" s="229">
        <v>0.44819999999999999</v>
      </c>
      <c r="EK198" s="228">
        <v>148.27000000000001</v>
      </c>
      <c r="EL198" s="228">
        <v>106.01</v>
      </c>
      <c r="EM198" s="228">
        <v>106.44</v>
      </c>
      <c r="EN198" s="228">
        <v>9.18</v>
      </c>
      <c r="EO198" s="228">
        <v>360.72</v>
      </c>
      <c r="EP198" s="228">
        <v>221.6</v>
      </c>
      <c r="EQ198" s="228">
        <v>139.12</v>
      </c>
      <c r="ER198" s="229">
        <v>0.62780000000000002</v>
      </c>
      <c r="ES198" s="228">
        <v>160.26</v>
      </c>
      <c r="ET198" s="228">
        <v>117.78</v>
      </c>
      <c r="EU198" s="228">
        <v>263.48</v>
      </c>
      <c r="EV198" s="231">
        <v>27144562</v>
      </c>
      <c r="EW198" s="228">
        <v>541.52</v>
      </c>
      <c r="EX198" s="228">
        <v>587.05999999999995</v>
      </c>
      <c r="EY198" s="228">
        <v>-45.54</v>
      </c>
      <c r="EZ198" s="229">
        <v>-7.7600000000000002E-2</v>
      </c>
      <c r="FA198" s="229">
        <v>0.35070000000000001</v>
      </c>
      <c r="FB198" s="227" t="s">
        <v>567</v>
      </c>
      <c r="FC198">
        <f t="shared" si="4"/>
        <v>0</v>
      </c>
    </row>
    <row r="199" spans="1:159" ht="17.25" thickBot="1" x14ac:dyDescent="0.3">
      <c r="A199" s="226">
        <v>46135</v>
      </c>
      <c r="B199" s="227" t="s">
        <v>221</v>
      </c>
      <c r="C199" s="227" t="s">
        <v>295</v>
      </c>
      <c r="D199" s="228">
        <v>175</v>
      </c>
      <c r="E199" s="228">
        <v>5</v>
      </c>
      <c r="F199" s="231">
        <v>2516.9</v>
      </c>
      <c r="G199" s="231">
        <v>2529.1999999999998</v>
      </c>
      <c r="H199" s="228">
        <v>-12.3</v>
      </c>
      <c r="I199" s="229">
        <v>-4.8999999999999998E-3</v>
      </c>
      <c r="J199" s="231">
        <v>2521.8000000000002</v>
      </c>
      <c r="K199" s="231">
        <v>2538.5</v>
      </c>
      <c r="L199" s="228">
        <v>-16.7</v>
      </c>
      <c r="M199" s="229">
        <v>-6.6E-3</v>
      </c>
      <c r="N199" s="231">
        <v>2516.9</v>
      </c>
      <c r="O199" s="231">
        <v>2529.1999999999998</v>
      </c>
      <c r="P199" s="228">
        <v>-12.3</v>
      </c>
      <c r="Q199" s="229">
        <v>-4.8999999999999998E-3</v>
      </c>
      <c r="R199" s="231">
        <v>2502.4</v>
      </c>
      <c r="S199" s="231">
        <v>2530.9</v>
      </c>
      <c r="T199" s="228">
        <v>-28.5</v>
      </c>
      <c r="U199" s="229">
        <v>-1.1299999999999999E-2</v>
      </c>
      <c r="V199" s="231">
        <v>2497.3000000000002</v>
      </c>
      <c r="W199" s="231">
        <v>2530.1</v>
      </c>
      <c r="X199" s="228">
        <v>-32.799999999999997</v>
      </c>
      <c r="Y199" s="229">
        <v>-1.2999999999999999E-2</v>
      </c>
      <c r="Z199" s="228">
        <v>-4.9000000000000004</v>
      </c>
      <c r="AA199" s="228">
        <v>-9.3000000000000007</v>
      </c>
      <c r="AB199" s="228">
        <v>4.4000000000000004</v>
      </c>
      <c r="AC199" s="229">
        <v>-1.9E-3</v>
      </c>
      <c r="AD199" s="228">
        <v>-4.9000000000000004</v>
      </c>
      <c r="AE199" s="228">
        <v>-9.3000000000000007</v>
      </c>
      <c r="AF199" s="228">
        <v>4.4000000000000004</v>
      </c>
      <c r="AG199" s="229">
        <v>-1.9E-3</v>
      </c>
      <c r="AH199" s="228">
        <v>-19.399999999999999</v>
      </c>
      <c r="AI199" s="228">
        <v>-7.6</v>
      </c>
      <c r="AJ199" s="228">
        <v>-11.8</v>
      </c>
      <c r="AK199" s="229">
        <v>-7.7000000000000002E-3</v>
      </c>
      <c r="AL199" s="228">
        <v>-24.5</v>
      </c>
      <c r="AM199" s="228">
        <v>-8.4</v>
      </c>
      <c r="AN199" s="228">
        <v>-16.100000000000001</v>
      </c>
      <c r="AO199" s="229">
        <v>-9.7000000000000003E-3</v>
      </c>
      <c r="AP199" s="231">
        <v>2537.37</v>
      </c>
      <c r="AQ199" s="231">
        <v>2523.3000000000002</v>
      </c>
      <c r="AR199" s="228">
        <v>0</v>
      </c>
      <c r="AS199" s="230">
        <v>5396</v>
      </c>
      <c r="AT199" s="230">
        <v>2178</v>
      </c>
      <c r="AU199" s="230">
        <v>3218</v>
      </c>
      <c r="AV199" s="229">
        <v>1.4777</v>
      </c>
      <c r="AW199" s="230">
        <v>2695</v>
      </c>
      <c r="AX199" s="230">
        <v>1511</v>
      </c>
      <c r="AY199" s="230">
        <v>1184</v>
      </c>
      <c r="AZ199" s="229">
        <v>0.78349999999999997</v>
      </c>
      <c r="BA199" s="230">
        <v>2565</v>
      </c>
      <c r="BB199" s="228">
        <v>585</v>
      </c>
      <c r="BC199" s="230">
        <v>1980</v>
      </c>
      <c r="BD199" s="229">
        <v>3.3847999999999998</v>
      </c>
      <c r="BE199" s="228">
        <v>136</v>
      </c>
      <c r="BF199" s="228">
        <v>82</v>
      </c>
      <c r="BG199" s="228">
        <v>54</v>
      </c>
      <c r="BH199" s="229">
        <v>0.66579999999999995</v>
      </c>
      <c r="BI199" s="230">
        <v>6010</v>
      </c>
      <c r="BJ199" s="230">
        <v>10492</v>
      </c>
      <c r="BK199" s="230">
        <v>-4482</v>
      </c>
      <c r="BL199" s="229">
        <v>-0.42720000000000002</v>
      </c>
      <c r="BM199" s="230">
        <v>3447</v>
      </c>
      <c r="BN199" s="230">
        <v>6325</v>
      </c>
      <c r="BO199" s="230">
        <v>-2878</v>
      </c>
      <c r="BP199" s="229">
        <v>-0.45500000000000002</v>
      </c>
      <c r="BQ199" s="230">
        <v>14853</v>
      </c>
      <c r="BR199" s="230">
        <v>18995</v>
      </c>
      <c r="BS199" s="230">
        <v>-4142</v>
      </c>
      <c r="BT199" s="229">
        <v>-0.218</v>
      </c>
      <c r="BU199" s="230">
        <v>2715816</v>
      </c>
      <c r="BV199" s="230">
        <v>5533440</v>
      </c>
      <c r="BW199" s="230">
        <v>-2817624</v>
      </c>
      <c r="BX199" s="229">
        <v>-0.50919999999999999</v>
      </c>
      <c r="BY199" s="230">
        <v>9075</v>
      </c>
      <c r="BZ199" s="230">
        <v>9283</v>
      </c>
      <c r="CA199" s="228">
        <v>-209</v>
      </c>
      <c r="CB199" s="229">
        <v>-2.2499999999999999E-2</v>
      </c>
      <c r="CC199" s="230">
        <v>6134</v>
      </c>
      <c r="CD199" s="230">
        <v>7765</v>
      </c>
      <c r="CE199" s="230">
        <v>-1631</v>
      </c>
      <c r="CF199" s="229">
        <v>-0.21010000000000001</v>
      </c>
      <c r="CG199" s="230">
        <v>2632</v>
      </c>
      <c r="CH199" s="230">
        <v>1289</v>
      </c>
      <c r="CI199" s="230">
        <v>1344</v>
      </c>
      <c r="CJ199" s="229">
        <v>1.0427</v>
      </c>
      <c r="CK199" s="228">
        <v>309</v>
      </c>
      <c r="CL199" s="228">
        <v>230</v>
      </c>
      <c r="CM199" s="228">
        <v>79</v>
      </c>
      <c r="CN199" s="229">
        <v>0.34289999999999998</v>
      </c>
      <c r="CO199" s="230">
        <v>4776</v>
      </c>
      <c r="CP199" s="230">
        <v>4583</v>
      </c>
      <c r="CQ199" s="228">
        <v>193</v>
      </c>
      <c r="CR199" s="229">
        <v>4.2099999999999999E-2</v>
      </c>
      <c r="CS199" s="230">
        <v>2899</v>
      </c>
      <c r="CT199" s="230">
        <v>2766</v>
      </c>
      <c r="CU199" s="228">
        <v>133</v>
      </c>
      <c r="CV199" s="229">
        <v>4.82E-2</v>
      </c>
      <c r="CW199" s="230">
        <v>16750</v>
      </c>
      <c r="CX199" s="230">
        <v>16632</v>
      </c>
      <c r="CY199" s="228">
        <v>118</v>
      </c>
      <c r="CZ199" s="229">
        <v>7.1000000000000004E-3</v>
      </c>
      <c r="DA199" s="228">
        <v>26.97</v>
      </c>
      <c r="DB199" s="228">
        <v>26.4</v>
      </c>
      <c r="DC199" s="228">
        <v>0.56999999999999995</v>
      </c>
      <c r="DD199" s="228">
        <v>0.56999999999999995</v>
      </c>
      <c r="DE199" s="228">
        <v>27.37</v>
      </c>
      <c r="DF199" s="228">
        <v>27.42</v>
      </c>
      <c r="DG199" s="228">
        <v>-0.4</v>
      </c>
      <c r="DH199" s="228">
        <v>-0.05</v>
      </c>
      <c r="DI199" s="228">
        <v>27.29</v>
      </c>
      <c r="DJ199" s="228">
        <v>25.44</v>
      </c>
      <c r="DK199" s="228">
        <v>1.85</v>
      </c>
      <c r="DL199" s="228">
        <v>1.85</v>
      </c>
      <c r="DM199" s="228">
        <v>26.47</v>
      </c>
      <c r="DN199" s="228">
        <v>27.98</v>
      </c>
      <c r="DO199" s="228">
        <v>-1.51</v>
      </c>
      <c r="DP199" s="228">
        <v>-1.51</v>
      </c>
      <c r="DQ199" s="228">
        <v>0.61</v>
      </c>
      <c r="DR199" s="228">
        <v>0.6</v>
      </c>
      <c r="DS199" s="228">
        <v>0.01</v>
      </c>
      <c r="DT199" s="229">
        <v>1.67E-2</v>
      </c>
      <c r="DU199" s="231">
        <v>2600</v>
      </c>
      <c r="DV199" s="231">
        <v>2400</v>
      </c>
      <c r="DW199" s="228">
        <v>0.56999999999999995</v>
      </c>
      <c r="DX199" s="228">
        <v>0.6</v>
      </c>
      <c r="DY199" s="228">
        <v>-0.03</v>
      </c>
      <c r="DZ199" s="229">
        <v>-0.05</v>
      </c>
      <c r="EA199" s="229">
        <v>0.3241</v>
      </c>
      <c r="EB199" s="230">
        <v>6033650</v>
      </c>
      <c r="EC199" s="229">
        <v>-5.7999999999999996E-3</v>
      </c>
      <c r="ED199" s="229">
        <v>0.3241</v>
      </c>
      <c r="EE199" s="228">
        <v>-14.07</v>
      </c>
      <c r="EF199" s="229">
        <v>-5.4999999999999997E-3</v>
      </c>
      <c r="EG199" s="230">
        <v>1240471</v>
      </c>
      <c r="EH199" s="230">
        <v>3020997</v>
      </c>
      <c r="EI199" s="229">
        <v>-0.58940000000000003</v>
      </c>
      <c r="EJ199" s="229">
        <v>0.45679999999999998</v>
      </c>
      <c r="EK199" s="231">
        <v>6273.22</v>
      </c>
      <c r="EL199" s="231">
        <v>3481.42</v>
      </c>
      <c r="EM199" s="231">
        <v>5424.08</v>
      </c>
      <c r="EN199" s="228">
        <v>267.88</v>
      </c>
      <c r="EO199" s="231">
        <v>15178.71</v>
      </c>
      <c r="EP199" s="231">
        <v>19513.18</v>
      </c>
      <c r="EQ199" s="231">
        <v>-4334.47</v>
      </c>
      <c r="ER199" s="229">
        <v>-0.22209999999999999</v>
      </c>
      <c r="ES199" s="231">
        <v>5015.8500000000004</v>
      </c>
      <c r="ET199" s="231">
        <v>2920.55</v>
      </c>
      <c r="EU199" s="231">
        <v>9057.26</v>
      </c>
      <c r="EV199" s="231">
        <v>153229333</v>
      </c>
      <c r="EW199" s="231">
        <v>16993.669999999998</v>
      </c>
      <c r="EX199" s="231">
        <v>16938.43</v>
      </c>
      <c r="EY199" s="228">
        <v>55.24</v>
      </c>
      <c r="EZ199" s="229">
        <v>3.3E-3</v>
      </c>
      <c r="FA199" s="229">
        <v>0.43430000000000002</v>
      </c>
      <c r="FB199" s="227" t="s">
        <v>567</v>
      </c>
      <c r="FC199">
        <f t="shared" si="4"/>
        <v>0</v>
      </c>
    </row>
    <row r="200" spans="1:159" ht="17.25" thickBot="1" x14ac:dyDescent="0.3">
      <c r="A200" s="226">
        <v>46135</v>
      </c>
      <c r="B200" s="227" t="s">
        <v>221</v>
      </c>
      <c r="C200" s="227" t="s">
        <v>296</v>
      </c>
      <c r="D200" s="228">
        <v>600</v>
      </c>
      <c r="E200" s="228">
        <v>5</v>
      </c>
      <c r="F200" s="231">
        <v>1424.8</v>
      </c>
      <c r="G200" s="231">
        <v>1466.7</v>
      </c>
      <c r="H200" s="228">
        <v>-41.9</v>
      </c>
      <c r="I200" s="229">
        <v>-2.86E-2</v>
      </c>
      <c r="J200" s="231">
        <v>1421.5</v>
      </c>
      <c r="K200" s="231">
        <v>1462.6</v>
      </c>
      <c r="L200" s="228">
        <v>-41.1</v>
      </c>
      <c r="M200" s="229">
        <v>-2.81E-2</v>
      </c>
      <c r="N200" s="231">
        <v>1424.8</v>
      </c>
      <c r="O200" s="231">
        <v>1466.7</v>
      </c>
      <c r="P200" s="228">
        <v>-41.9</v>
      </c>
      <c r="Q200" s="229">
        <v>-2.86E-2</v>
      </c>
      <c r="R200" s="231">
        <v>1420.5</v>
      </c>
      <c r="S200" s="231">
        <v>1468.5</v>
      </c>
      <c r="T200" s="228">
        <v>-48</v>
      </c>
      <c r="U200" s="229">
        <v>-3.27E-2</v>
      </c>
      <c r="V200" s="231">
        <v>1419.6</v>
      </c>
      <c r="W200" s="231">
        <v>1474.6</v>
      </c>
      <c r="X200" s="228">
        <v>-55</v>
      </c>
      <c r="Y200" s="229">
        <v>-3.73E-2</v>
      </c>
      <c r="Z200" s="228">
        <v>3.3</v>
      </c>
      <c r="AA200" s="228">
        <v>4.0999999999999996</v>
      </c>
      <c r="AB200" s="228">
        <v>-0.8</v>
      </c>
      <c r="AC200" s="229">
        <v>2.3E-3</v>
      </c>
      <c r="AD200" s="228">
        <v>3.3</v>
      </c>
      <c r="AE200" s="228">
        <v>4.0999999999999996</v>
      </c>
      <c r="AF200" s="228">
        <v>-0.8</v>
      </c>
      <c r="AG200" s="229">
        <v>2.3E-3</v>
      </c>
      <c r="AH200" s="228">
        <v>-1</v>
      </c>
      <c r="AI200" s="228">
        <v>5.9</v>
      </c>
      <c r="AJ200" s="228">
        <v>-6.9</v>
      </c>
      <c r="AK200" s="229">
        <v>-6.9999999999999999E-4</v>
      </c>
      <c r="AL200" s="228">
        <v>-1.9</v>
      </c>
      <c r="AM200" s="228">
        <v>12</v>
      </c>
      <c r="AN200" s="228">
        <v>-13.9</v>
      </c>
      <c r="AO200" s="229">
        <v>-1.2999999999999999E-3</v>
      </c>
      <c r="AP200" s="231">
        <v>1436.5</v>
      </c>
      <c r="AQ200" s="231">
        <v>1431.9</v>
      </c>
      <c r="AR200" s="228">
        <v>0</v>
      </c>
      <c r="AS200" s="230">
        <v>2832</v>
      </c>
      <c r="AT200" s="230">
        <v>3089</v>
      </c>
      <c r="AU200" s="228">
        <v>-257</v>
      </c>
      <c r="AV200" s="229">
        <v>-8.3199999999999996E-2</v>
      </c>
      <c r="AW200" s="230">
        <v>1494</v>
      </c>
      <c r="AX200" s="230">
        <v>2421</v>
      </c>
      <c r="AY200" s="228">
        <v>-927</v>
      </c>
      <c r="AZ200" s="229">
        <v>-0.38290000000000002</v>
      </c>
      <c r="BA200" s="230">
        <v>1303</v>
      </c>
      <c r="BB200" s="228">
        <v>643</v>
      </c>
      <c r="BC200" s="228">
        <v>660</v>
      </c>
      <c r="BD200" s="229">
        <v>1.0265</v>
      </c>
      <c r="BE200" s="228">
        <v>35</v>
      </c>
      <c r="BF200" s="228">
        <v>25</v>
      </c>
      <c r="BG200" s="228">
        <v>10</v>
      </c>
      <c r="BH200" s="229">
        <v>0.38929999999999998</v>
      </c>
      <c r="BI200" s="230">
        <v>6584</v>
      </c>
      <c r="BJ200" s="230">
        <v>16388</v>
      </c>
      <c r="BK200" s="230">
        <v>-9804</v>
      </c>
      <c r="BL200" s="229">
        <v>-0.59819999999999995</v>
      </c>
      <c r="BM200" s="230">
        <v>3492</v>
      </c>
      <c r="BN200" s="230">
        <v>10950</v>
      </c>
      <c r="BO200" s="230">
        <v>-7459</v>
      </c>
      <c r="BP200" s="229">
        <v>-0.68110000000000004</v>
      </c>
      <c r="BQ200" s="230">
        <v>12908</v>
      </c>
      <c r="BR200" s="230">
        <v>30428</v>
      </c>
      <c r="BS200" s="230">
        <v>-17520</v>
      </c>
      <c r="BT200" s="229">
        <v>-0.57579999999999998</v>
      </c>
      <c r="BU200" s="230">
        <v>4323764</v>
      </c>
      <c r="BV200" s="230">
        <v>12203411</v>
      </c>
      <c r="BW200" s="230">
        <v>-7879647</v>
      </c>
      <c r="BX200" s="229">
        <v>-0.64570000000000005</v>
      </c>
      <c r="BY200" s="230">
        <v>2823</v>
      </c>
      <c r="BZ200" s="230">
        <v>2776</v>
      </c>
      <c r="CA200" s="228">
        <v>47</v>
      </c>
      <c r="CB200" s="229">
        <v>1.6899999999999998E-2</v>
      </c>
      <c r="CC200" s="230">
        <v>1649</v>
      </c>
      <c r="CD200" s="230">
        <v>2401</v>
      </c>
      <c r="CE200" s="228">
        <v>-752</v>
      </c>
      <c r="CF200" s="229">
        <v>-0.31309999999999999</v>
      </c>
      <c r="CG200" s="230">
        <v>1141</v>
      </c>
      <c r="CH200" s="228">
        <v>349</v>
      </c>
      <c r="CI200" s="228">
        <v>792</v>
      </c>
      <c r="CJ200" s="229">
        <v>2.2700999999999998</v>
      </c>
      <c r="CK200" s="228">
        <v>32</v>
      </c>
      <c r="CL200" s="228">
        <v>26</v>
      </c>
      <c r="CM200" s="228">
        <v>6</v>
      </c>
      <c r="CN200" s="229">
        <v>0.23449999999999999</v>
      </c>
      <c r="CO200" s="230">
        <v>1810</v>
      </c>
      <c r="CP200" s="230">
        <v>1611</v>
      </c>
      <c r="CQ200" s="228">
        <v>198</v>
      </c>
      <c r="CR200" s="229">
        <v>0.123</v>
      </c>
      <c r="CS200" s="228">
        <v>862</v>
      </c>
      <c r="CT200" s="230">
        <v>1130</v>
      </c>
      <c r="CU200" s="228">
        <v>-267</v>
      </c>
      <c r="CV200" s="229">
        <v>-0.23669999999999999</v>
      </c>
      <c r="CW200" s="230">
        <v>5495</v>
      </c>
      <c r="CX200" s="230">
        <v>5517</v>
      </c>
      <c r="CY200" s="228">
        <v>-22</v>
      </c>
      <c r="CZ200" s="229">
        <v>-4.0000000000000001E-3</v>
      </c>
      <c r="DA200" s="228">
        <v>31.9</v>
      </c>
      <c r="DB200" s="228">
        <v>40.799999999999997</v>
      </c>
      <c r="DC200" s="228">
        <v>-8.9</v>
      </c>
      <c r="DD200" s="228">
        <v>-8.9</v>
      </c>
      <c r="DE200" s="228">
        <v>31.43</v>
      </c>
      <c r="DF200" s="228">
        <v>31.27</v>
      </c>
      <c r="DG200" s="228">
        <v>0.47</v>
      </c>
      <c r="DH200" s="228">
        <v>0.16</v>
      </c>
      <c r="DI200" s="228">
        <v>31.92</v>
      </c>
      <c r="DJ200" s="228">
        <v>39.380000000000003</v>
      </c>
      <c r="DK200" s="228">
        <v>-7.46</v>
      </c>
      <c r="DL200" s="228">
        <v>-7.46</v>
      </c>
      <c r="DM200" s="228">
        <v>31.87</v>
      </c>
      <c r="DN200" s="228">
        <v>42.92</v>
      </c>
      <c r="DO200" s="228">
        <v>-11.05</v>
      </c>
      <c r="DP200" s="228">
        <v>-11.05</v>
      </c>
      <c r="DQ200" s="228">
        <v>0.48</v>
      </c>
      <c r="DR200" s="228">
        <v>0.7</v>
      </c>
      <c r="DS200" s="228">
        <v>-0.22</v>
      </c>
      <c r="DT200" s="229">
        <v>-0.31430000000000002</v>
      </c>
      <c r="DU200" s="231">
        <v>1500</v>
      </c>
      <c r="DV200" s="231">
        <v>1400</v>
      </c>
      <c r="DW200" s="228">
        <v>0.53</v>
      </c>
      <c r="DX200" s="228">
        <v>0.67</v>
      </c>
      <c r="DY200" s="228">
        <v>-0.14000000000000001</v>
      </c>
      <c r="DZ200" s="229">
        <v>-0.20899999999999999</v>
      </c>
      <c r="EA200" s="229">
        <v>0.4158</v>
      </c>
      <c r="EB200" s="230">
        <v>2634000</v>
      </c>
      <c r="EC200" s="229">
        <v>-3.0000000000000001E-3</v>
      </c>
      <c r="ED200" s="229">
        <v>0.4158</v>
      </c>
      <c r="EE200" s="228">
        <v>-4.5999999999999996</v>
      </c>
      <c r="EF200" s="229">
        <v>-3.2000000000000002E-3</v>
      </c>
      <c r="EG200" s="230">
        <v>1972888</v>
      </c>
      <c r="EH200" s="230">
        <v>4328643</v>
      </c>
      <c r="EI200" s="229">
        <v>-0.54420000000000002</v>
      </c>
      <c r="EJ200" s="229">
        <v>0.45629999999999998</v>
      </c>
      <c r="EK200" s="231">
        <v>6965.01</v>
      </c>
      <c r="EL200" s="231">
        <v>3482.8</v>
      </c>
      <c r="EM200" s="231">
        <v>2850.79</v>
      </c>
      <c r="EN200" s="228">
        <v>112.68</v>
      </c>
      <c r="EO200" s="231">
        <v>13298.6</v>
      </c>
      <c r="EP200" s="231">
        <v>31785.02</v>
      </c>
      <c r="EQ200" s="231">
        <v>-18486.419999999998</v>
      </c>
      <c r="ER200" s="229">
        <v>-0.58160000000000001</v>
      </c>
      <c r="ES200" s="231">
        <v>1927.36</v>
      </c>
      <c r="ET200" s="228">
        <v>853.03</v>
      </c>
      <c r="EU200" s="231">
        <v>2819.42</v>
      </c>
      <c r="EV200" s="231">
        <v>95553300</v>
      </c>
      <c r="EW200" s="231">
        <v>5599.81</v>
      </c>
      <c r="EX200" s="231">
        <v>5701.95</v>
      </c>
      <c r="EY200" s="228">
        <v>-102.14</v>
      </c>
      <c r="EZ200" s="229">
        <v>-1.7899999999999999E-2</v>
      </c>
      <c r="FA200" s="229">
        <v>0.40360000000000001</v>
      </c>
      <c r="FB200" s="227" t="s">
        <v>566</v>
      </c>
      <c r="FC200">
        <f t="shared" si="4"/>
        <v>0</v>
      </c>
    </row>
    <row r="201" spans="1:159" ht="17.25" thickBot="1" x14ac:dyDescent="0.3">
      <c r="A201" s="226">
        <v>46135</v>
      </c>
      <c r="B201" s="227" t="s">
        <v>184</v>
      </c>
      <c r="C201" s="227" t="s">
        <v>594</v>
      </c>
      <c r="D201" s="228">
        <v>200</v>
      </c>
      <c r="E201" s="228">
        <v>5</v>
      </c>
      <c r="F201" s="231">
        <v>3099</v>
      </c>
      <c r="G201" s="231">
        <v>3027.7</v>
      </c>
      <c r="H201" s="228">
        <v>71.3</v>
      </c>
      <c r="I201" s="229">
        <v>2.35E-2</v>
      </c>
      <c r="J201" s="231">
        <v>3086.8</v>
      </c>
      <c r="K201" s="231">
        <v>3024.4</v>
      </c>
      <c r="L201" s="228">
        <v>62.4</v>
      </c>
      <c r="M201" s="229">
        <v>2.06E-2</v>
      </c>
      <c r="N201" s="231">
        <v>3099</v>
      </c>
      <c r="O201" s="231">
        <v>3027.7</v>
      </c>
      <c r="P201" s="228">
        <v>71.3</v>
      </c>
      <c r="Q201" s="229">
        <v>2.35E-2</v>
      </c>
      <c r="R201" s="231">
        <v>3102.8</v>
      </c>
      <c r="S201" s="231">
        <v>3041.3</v>
      </c>
      <c r="T201" s="228">
        <v>61.5</v>
      </c>
      <c r="U201" s="229">
        <v>2.0199999999999999E-2</v>
      </c>
      <c r="V201" s="231">
        <v>3111.6</v>
      </c>
      <c r="W201" s="231">
        <v>3055</v>
      </c>
      <c r="X201" s="228">
        <v>56.6</v>
      </c>
      <c r="Y201" s="229">
        <v>1.8499999999999999E-2</v>
      </c>
      <c r="Z201" s="228">
        <v>12.2</v>
      </c>
      <c r="AA201" s="228">
        <v>3.3</v>
      </c>
      <c r="AB201" s="228">
        <v>8.9</v>
      </c>
      <c r="AC201" s="229">
        <v>4.0000000000000001E-3</v>
      </c>
      <c r="AD201" s="228">
        <v>12.2</v>
      </c>
      <c r="AE201" s="228">
        <v>3.3</v>
      </c>
      <c r="AF201" s="228">
        <v>8.9</v>
      </c>
      <c r="AG201" s="229">
        <v>4.0000000000000001E-3</v>
      </c>
      <c r="AH201" s="228">
        <v>16</v>
      </c>
      <c r="AI201" s="228">
        <v>16.899999999999999</v>
      </c>
      <c r="AJ201" s="228">
        <v>-0.9</v>
      </c>
      <c r="AK201" s="229">
        <v>5.1999999999999998E-3</v>
      </c>
      <c r="AL201" s="228">
        <v>24.8</v>
      </c>
      <c r="AM201" s="228">
        <v>30.6</v>
      </c>
      <c r="AN201" s="228">
        <v>-5.8</v>
      </c>
      <c r="AO201" s="229">
        <v>8.0000000000000002E-3</v>
      </c>
      <c r="AP201" s="231">
        <v>3101.32</v>
      </c>
      <c r="AQ201" s="231">
        <v>3097.67</v>
      </c>
      <c r="AR201" s="228">
        <v>0</v>
      </c>
      <c r="AS201" s="228">
        <v>754</v>
      </c>
      <c r="AT201" s="228">
        <v>177</v>
      </c>
      <c r="AU201" s="228">
        <v>577</v>
      </c>
      <c r="AV201" s="229">
        <v>3.2545999999999999</v>
      </c>
      <c r="AW201" s="228">
        <v>417</v>
      </c>
      <c r="AX201" s="228">
        <v>139</v>
      </c>
      <c r="AY201" s="228">
        <v>278</v>
      </c>
      <c r="AZ201" s="229">
        <v>2.0030999999999999</v>
      </c>
      <c r="BA201" s="228">
        <v>334</v>
      </c>
      <c r="BB201" s="228">
        <v>37</v>
      </c>
      <c r="BC201" s="228">
        <v>297</v>
      </c>
      <c r="BD201" s="229">
        <v>7.9618000000000002</v>
      </c>
      <c r="BE201" s="228">
        <v>2</v>
      </c>
      <c r="BF201" s="228">
        <v>1</v>
      </c>
      <c r="BG201" s="228">
        <v>1</v>
      </c>
      <c r="BH201" s="229">
        <v>1.3571</v>
      </c>
      <c r="BI201" s="230">
        <v>1073</v>
      </c>
      <c r="BJ201" s="230">
        <v>1280</v>
      </c>
      <c r="BK201" s="228">
        <v>-207</v>
      </c>
      <c r="BL201" s="229">
        <v>-0.16159999999999999</v>
      </c>
      <c r="BM201" s="228">
        <v>456</v>
      </c>
      <c r="BN201" s="228">
        <v>467</v>
      </c>
      <c r="BO201" s="228">
        <v>-11</v>
      </c>
      <c r="BP201" s="229">
        <v>-2.46E-2</v>
      </c>
      <c r="BQ201" s="230">
        <v>2283</v>
      </c>
      <c r="BR201" s="230">
        <v>1925</v>
      </c>
      <c r="BS201" s="228">
        <v>358</v>
      </c>
      <c r="BT201" s="229">
        <v>0.1862</v>
      </c>
      <c r="BU201" s="230">
        <v>798534</v>
      </c>
      <c r="BV201" s="230">
        <v>559785</v>
      </c>
      <c r="BW201" s="230">
        <v>238749</v>
      </c>
      <c r="BX201" s="229">
        <v>0.42649999999999999</v>
      </c>
      <c r="BY201" s="228">
        <v>788</v>
      </c>
      <c r="BZ201" s="228">
        <v>782</v>
      </c>
      <c r="CA201" s="228">
        <v>6</v>
      </c>
      <c r="CB201" s="229">
        <v>7.1000000000000004E-3</v>
      </c>
      <c r="CC201" s="228">
        <v>530</v>
      </c>
      <c r="CD201" s="228">
        <v>734</v>
      </c>
      <c r="CE201" s="228">
        <v>-203</v>
      </c>
      <c r="CF201" s="229">
        <v>-0.27710000000000001</v>
      </c>
      <c r="CG201" s="228">
        <v>256</v>
      </c>
      <c r="CH201" s="228">
        <v>47</v>
      </c>
      <c r="CI201" s="228">
        <v>209</v>
      </c>
      <c r="CJ201" s="229">
        <v>4.4537000000000004</v>
      </c>
      <c r="CK201" s="228">
        <v>2</v>
      </c>
      <c r="CL201" s="228">
        <v>2</v>
      </c>
      <c r="CM201" s="228">
        <v>0</v>
      </c>
      <c r="CN201" s="229">
        <v>0.12</v>
      </c>
      <c r="CO201" s="228">
        <v>261</v>
      </c>
      <c r="CP201" s="228">
        <v>227</v>
      </c>
      <c r="CQ201" s="228">
        <v>34</v>
      </c>
      <c r="CR201" s="229">
        <v>0.15040000000000001</v>
      </c>
      <c r="CS201" s="228">
        <v>217</v>
      </c>
      <c r="CT201" s="228">
        <v>192</v>
      </c>
      <c r="CU201" s="228">
        <v>25</v>
      </c>
      <c r="CV201" s="229">
        <v>0.1308</v>
      </c>
      <c r="CW201" s="230">
        <v>1266</v>
      </c>
      <c r="CX201" s="230">
        <v>1201</v>
      </c>
      <c r="CY201" s="228">
        <v>65</v>
      </c>
      <c r="CZ201" s="229">
        <v>5.3900000000000003E-2</v>
      </c>
      <c r="DA201" s="228">
        <v>37.74</v>
      </c>
      <c r="DB201" s="228">
        <v>35.369999999999997</v>
      </c>
      <c r="DC201" s="228">
        <v>2.37</v>
      </c>
      <c r="DD201" s="228">
        <v>2.37</v>
      </c>
      <c r="DE201" s="228">
        <v>44.39</v>
      </c>
      <c r="DF201" s="228">
        <v>44.39</v>
      </c>
      <c r="DG201" s="228">
        <v>-6.65</v>
      </c>
      <c r="DH201" s="228">
        <v>0</v>
      </c>
      <c r="DI201" s="228">
        <v>36.83</v>
      </c>
      <c r="DJ201" s="228">
        <v>34.5</v>
      </c>
      <c r="DK201" s="228">
        <v>2.33</v>
      </c>
      <c r="DL201" s="228">
        <v>2.33</v>
      </c>
      <c r="DM201" s="228">
        <v>40.26</v>
      </c>
      <c r="DN201" s="228">
        <v>37.76</v>
      </c>
      <c r="DO201" s="228">
        <v>2.5</v>
      </c>
      <c r="DP201" s="228">
        <v>2.5</v>
      </c>
      <c r="DQ201" s="228">
        <v>0.83</v>
      </c>
      <c r="DR201" s="228">
        <v>0.85</v>
      </c>
      <c r="DS201" s="228">
        <v>-0.02</v>
      </c>
      <c r="DT201" s="229">
        <v>-2.35E-2</v>
      </c>
      <c r="DU201" s="231">
        <v>3200</v>
      </c>
      <c r="DV201" s="231">
        <v>3000</v>
      </c>
      <c r="DW201" s="228">
        <v>0.42</v>
      </c>
      <c r="DX201" s="228">
        <v>0.36</v>
      </c>
      <c r="DY201" s="228">
        <v>0.06</v>
      </c>
      <c r="DZ201" s="229">
        <v>0.16669999999999999</v>
      </c>
      <c r="EA201" s="229">
        <v>0.3266</v>
      </c>
      <c r="EB201" s="230">
        <v>156200</v>
      </c>
      <c r="EC201" s="229">
        <v>1.1999999999999999E-3</v>
      </c>
      <c r="ED201" s="229">
        <v>0.3266</v>
      </c>
      <c r="EE201" s="228">
        <v>-3.65</v>
      </c>
      <c r="EF201" s="229">
        <v>-1.1999999999999999E-3</v>
      </c>
      <c r="EG201" s="230">
        <v>356186</v>
      </c>
      <c r="EH201" s="230">
        <v>229584</v>
      </c>
      <c r="EI201" s="229">
        <v>0.5514</v>
      </c>
      <c r="EJ201" s="229">
        <v>0.44600000000000001</v>
      </c>
      <c r="EK201" s="231">
        <v>1104.2</v>
      </c>
      <c r="EL201" s="228">
        <v>439.53</v>
      </c>
      <c r="EM201" s="228">
        <v>754.11</v>
      </c>
      <c r="EN201" s="228">
        <v>21.84</v>
      </c>
      <c r="EO201" s="231">
        <v>2297.84</v>
      </c>
      <c r="EP201" s="231">
        <v>1873.34</v>
      </c>
      <c r="EQ201" s="228">
        <v>424.5</v>
      </c>
      <c r="ER201" s="229">
        <v>0.2266</v>
      </c>
      <c r="ES201" s="228">
        <v>253.29</v>
      </c>
      <c r="ET201" s="228">
        <v>199.03</v>
      </c>
      <c r="EU201" s="228">
        <v>788.09</v>
      </c>
      <c r="EV201" s="231">
        <v>16239060</v>
      </c>
      <c r="EW201" s="231">
        <v>1240.4000000000001</v>
      </c>
      <c r="EX201" s="231">
        <v>1152.5899999999999</v>
      </c>
      <c r="EY201" s="228">
        <v>87.81</v>
      </c>
      <c r="EZ201" s="229">
        <v>7.6200000000000004E-2</v>
      </c>
      <c r="FA201" s="229">
        <v>0.25159999999999999</v>
      </c>
      <c r="FB201" s="227" t="s">
        <v>555</v>
      </c>
      <c r="FC201">
        <f t="shared" si="4"/>
        <v>0</v>
      </c>
    </row>
    <row r="202" spans="1:159" ht="17.25" thickBot="1" x14ac:dyDescent="0.3">
      <c r="A202" s="226">
        <v>46135</v>
      </c>
      <c r="B202" s="227" t="s">
        <v>168</v>
      </c>
      <c r="C202" s="227" t="s">
        <v>297</v>
      </c>
      <c r="D202" s="228">
        <v>175</v>
      </c>
      <c r="E202" s="228">
        <v>5</v>
      </c>
      <c r="F202" s="231">
        <v>4453.5</v>
      </c>
      <c r="G202" s="231">
        <v>4455.6000000000004</v>
      </c>
      <c r="H202" s="228">
        <v>-2.1</v>
      </c>
      <c r="I202" s="229">
        <v>-5.0000000000000001E-4</v>
      </c>
      <c r="J202" s="231">
        <v>4456.5</v>
      </c>
      <c r="K202" s="231">
        <v>4454.6000000000004</v>
      </c>
      <c r="L202" s="228">
        <v>1.9</v>
      </c>
      <c r="M202" s="229">
        <v>4.0000000000000002E-4</v>
      </c>
      <c r="N202" s="231">
        <v>4453.5</v>
      </c>
      <c r="O202" s="231">
        <v>4455.6000000000004</v>
      </c>
      <c r="P202" s="228">
        <v>-2.1</v>
      </c>
      <c r="Q202" s="229">
        <v>-5.0000000000000001E-4</v>
      </c>
      <c r="R202" s="231">
        <v>4478</v>
      </c>
      <c r="S202" s="231">
        <v>4479.6000000000004</v>
      </c>
      <c r="T202" s="228">
        <v>-1.6</v>
      </c>
      <c r="U202" s="229">
        <v>-4.0000000000000002E-4</v>
      </c>
      <c r="V202" s="231">
        <v>4504.5</v>
      </c>
      <c r="W202" s="231">
        <v>4510.8</v>
      </c>
      <c r="X202" s="228">
        <v>-6.3</v>
      </c>
      <c r="Y202" s="229">
        <v>-1.4E-3</v>
      </c>
      <c r="Z202" s="228">
        <v>-3</v>
      </c>
      <c r="AA202" s="228">
        <v>1</v>
      </c>
      <c r="AB202" s="228">
        <v>-4</v>
      </c>
      <c r="AC202" s="229">
        <v>-6.9999999999999999E-4</v>
      </c>
      <c r="AD202" s="228">
        <v>-3</v>
      </c>
      <c r="AE202" s="228">
        <v>1</v>
      </c>
      <c r="AF202" s="228">
        <v>-4</v>
      </c>
      <c r="AG202" s="229">
        <v>-6.9999999999999999E-4</v>
      </c>
      <c r="AH202" s="228">
        <v>21.5</v>
      </c>
      <c r="AI202" s="228">
        <v>25</v>
      </c>
      <c r="AJ202" s="228">
        <v>-3.5</v>
      </c>
      <c r="AK202" s="229">
        <v>4.7999999999999996E-3</v>
      </c>
      <c r="AL202" s="228">
        <v>48</v>
      </c>
      <c r="AM202" s="228">
        <v>56.2</v>
      </c>
      <c r="AN202" s="228">
        <v>-8.1999999999999993</v>
      </c>
      <c r="AO202" s="229">
        <v>1.0800000000000001E-2</v>
      </c>
      <c r="AP202" s="231">
        <v>4448.63</v>
      </c>
      <c r="AQ202" s="231">
        <v>4474.21</v>
      </c>
      <c r="AR202" s="228">
        <v>0</v>
      </c>
      <c r="AS202" s="230">
        <v>1732</v>
      </c>
      <c r="AT202" s="228">
        <v>464</v>
      </c>
      <c r="AU202" s="230">
        <v>1268</v>
      </c>
      <c r="AV202" s="229">
        <v>2.7364000000000002</v>
      </c>
      <c r="AW202" s="228">
        <v>887</v>
      </c>
      <c r="AX202" s="228">
        <v>295</v>
      </c>
      <c r="AY202" s="228">
        <v>592</v>
      </c>
      <c r="AZ202" s="229">
        <v>2.0034000000000001</v>
      </c>
      <c r="BA202" s="228">
        <v>775</v>
      </c>
      <c r="BB202" s="228">
        <v>126</v>
      </c>
      <c r="BC202" s="228">
        <v>649</v>
      </c>
      <c r="BD202" s="229">
        <v>5.1452</v>
      </c>
      <c r="BE202" s="228">
        <v>69</v>
      </c>
      <c r="BF202" s="228">
        <v>42</v>
      </c>
      <c r="BG202" s="228">
        <v>27</v>
      </c>
      <c r="BH202" s="229">
        <v>0.65239999999999998</v>
      </c>
      <c r="BI202" s="230">
        <v>1713</v>
      </c>
      <c r="BJ202" s="230">
        <v>1463</v>
      </c>
      <c r="BK202" s="228">
        <v>250</v>
      </c>
      <c r="BL202" s="229">
        <v>0.17080000000000001</v>
      </c>
      <c r="BM202" s="230">
        <v>1401</v>
      </c>
      <c r="BN202" s="230">
        <v>1115</v>
      </c>
      <c r="BO202" s="228">
        <v>286</v>
      </c>
      <c r="BP202" s="229">
        <v>0.25640000000000002</v>
      </c>
      <c r="BQ202" s="230">
        <v>4846</v>
      </c>
      <c r="BR202" s="230">
        <v>3042</v>
      </c>
      <c r="BS202" s="230">
        <v>1804</v>
      </c>
      <c r="BT202" s="229">
        <v>0.59309999999999996</v>
      </c>
      <c r="BU202" s="230">
        <v>728034</v>
      </c>
      <c r="BV202" s="230">
        <v>620614</v>
      </c>
      <c r="BW202" s="230">
        <v>107420</v>
      </c>
      <c r="BX202" s="229">
        <v>0.1731</v>
      </c>
      <c r="BY202" s="230">
        <v>3985</v>
      </c>
      <c r="BZ202" s="230">
        <v>3903</v>
      </c>
      <c r="CA202" s="228">
        <v>82</v>
      </c>
      <c r="CB202" s="229">
        <v>2.1100000000000001E-2</v>
      </c>
      <c r="CC202" s="230">
        <v>2606</v>
      </c>
      <c r="CD202" s="230">
        <v>3222</v>
      </c>
      <c r="CE202" s="228">
        <v>-616</v>
      </c>
      <c r="CF202" s="229">
        <v>-0.19120000000000001</v>
      </c>
      <c r="CG202" s="230">
        <v>1099</v>
      </c>
      <c r="CH202" s="228">
        <v>465</v>
      </c>
      <c r="CI202" s="228">
        <v>634</v>
      </c>
      <c r="CJ202" s="229">
        <v>1.3653</v>
      </c>
      <c r="CK202" s="228">
        <v>280</v>
      </c>
      <c r="CL202" s="228">
        <v>216</v>
      </c>
      <c r="CM202" s="228">
        <v>64</v>
      </c>
      <c r="CN202" s="229">
        <v>0.29559999999999997</v>
      </c>
      <c r="CO202" s="230">
        <v>1700</v>
      </c>
      <c r="CP202" s="230">
        <v>1769</v>
      </c>
      <c r="CQ202" s="228">
        <v>-69</v>
      </c>
      <c r="CR202" s="229">
        <v>-3.9199999999999999E-2</v>
      </c>
      <c r="CS202" s="230">
        <v>1284</v>
      </c>
      <c r="CT202" s="230">
        <v>1401</v>
      </c>
      <c r="CU202" s="228">
        <v>-117</v>
      </c>
      <c r="CV202" s="229">
        <v>-8.3299999999999999E-2</v>
      </c>
      <c r="CW202" s="230">
        <v>6969</v>
      </c>
      <c r="CX202" s="230">
        <v>7073</v>
      </c>
      <c r="CY202" s="228">
        <v>-104</v>
      </c>
      <c r="CZ202" s="229">
        <v>-1.47E-2</v>
      </c>
      <c r="DA202" s="228">
        <v>29.52</v>
      </c>
      <c r="DB202" s="228">
        <v>25.77</v>
      </c>
      <c r="DC202" s="228">
        <v>3.75</v>
      </c>
      <c r="DD202" s="228">
        <v>3.75</v>
      </c>
      <c r="DE202" s="228">
        <v>27.72</v>
      </c>
      <c r="DF202" s="228">
        <v>27.79</v>
      </c>
      <c r="DG202" s="228">
        <v>1.8</v>
      </c>
      <c r="DH202" s="228">
        <v>-7.0000000000000007E-2</v>
      </c>
      <c r="DI202" s="228">
        <v>29.04</v>
      </c>
      <c r="DJ202" s="228">
        <v>25.5</v>
      </c>
      <c r="DK202" s="228">
        <v>3.54</v>
      </c>
      <c r="DL202" s="228">
        <v>3.54</v>
      </c>
      <c r="DM202" s="228">
        <v>30.07</v>
      </c>
      <c r="DN202" s="228">
        <v>26.13</v>
      </c>
      <c r="DO202" s="228">
        <v>3.94</v>
      </c>
      <c r="DP202" s="228">
        <v>3.94</v>
      </c>
      <c r="DQ202" s="228">
        <v>0.76</v>
      </c>
      <c r="DR202" s="228">
        <v>0.79</v>
      </c>
      <c r="DS202" s="228">
        <v>-0.03</v>
      </c>
      <c r="DT202" s="229">
        <v>-3.7999999999999999E-2</v>
      </c>
      <c r="DU202" s="231">
        <v>4500</v>
      </c>
      <c r="DV202" s="231">
        <v>4400</v>
      </c>
      <c r="DW202" s="228">
        <v>0.82</v>
      </c>
      <c r="DX202" s="228">
        <v>0.76</v>
      </c>
      <c r="DY202" s="228">
        <v>0.06</v>
      </c>
      <c r="DZ202" s="229">
        <v>7.8899999999999998E-2</v>
      </c>
      <c r="EA202" s="229">
        <v>0.34610000000000002</v>
      </c>
      <c r="EB202" s="230">
        <v>1528450</v>
      </c>
      <c r="EC202" s="229">
        <v>5.4999999999999997E-3</v>
      </c>
      <c r="ED202" s="229">
        <v>0.34610000000000002</v>
      </c>
      <c r="EE202" s="228">
        <v>25.58</v>
      </c>
      <c r="EF202" s="229">
        <v>5.7999999999999996E-3</v>
      </c>
      <c r="EG202" s="230">
        <v>368708</v>
      </c>
      <c r="EH202" s="230">
        <v>307958</v>
      </c>
      <c r="EI202" s="229">
        <v>0.1973</v>
      </c>
      <c r="EJ202" s="229">
        <v>0.50639999999999996</v>
      </c>
      <c r="EK202" s="231">
        <v>1759.83</v>
      </c>
      <c r="EL202" s="231">
        <v>1380.23</v>
      </c>
      <c r="EM202" s="231">
        <v>1735.35</v>
      </c>
      <c r="EN202" s="228">
        <v>90.23</v>
      </c>
      <c r="EO202" s="231">
        <v>4875.3999999999996</v>
      </c>
      <c r="EP202" s="231">
        <v>3075.27</v>
      </c>
      <c r="EQ202" s="231">
        <v>1800.13</v>
      </c>
      <c r="ER202" s="229">
        <v>0.58540000000000003</v>
      </c>
      <c r="ES202" s="231">
        <v>1687.87</v>
      </c>
      <c r="ET202" s="231">
        <v>1198.3900000000001</v>
      </c>
      <c r="EU202" s="231">
        <v>3994.21</v>
      </c>
      <c r="EV202" s="231">
        <v>41744334</v>
      </c>
      <c r="EW202" s="231">
        <v>6880.47</v>
      </c>
      <c r="EX202" s="231">
        <v>6981.85</v>
      </c>
      <c r="EY202" s="228">
        <v>-101.38</v>
      </c>
      <c r="EZ202" s="229">
        <v>-1.4500000000000001E-2</v>
      </c>
      <c r="FA202" s="229">
        <v>0.37490000000000001</v>
      </c>
      <c r="FB202" s="227" t="s">
        <v>566</v>
      </c>
      <c r="FC202">
        <f t="shared" si="4"/>
        <v>0</v>
      </c>
    </row>
    <row r="203" spans="1:159" ht="17.25" thickBot="1" x14ac:dyDescent="0.3">
      <c r="A203" s="226">
        <v>46135</v>
      </c>
      <c r="B203" s="227" t="s">
        <v>162</v>
      </c>
      <c r="C203" s="227" t="s">
        <v>687</v>
      </c>
      <c r="D203" s="228">
        <v>800</v>
      </c>
      <c r="E203" s="228">
        <v>5</v>
      </c>
      <c r="F203" s="228">
        <v>350.95</v>
      </c>
      <c r="G203" s="228">
        <v>360.5</v>
      </c>
      <c r="H203" s="228">
        <v>-9.5500000000000007</v>
      </c>
      <c r="I203" s="229">
        <v>-2.6499999999999999E-2</v>
      </c>
      <c r="J203" s="228">
        <v>351.95</v>
      </c>
      <c r="K203" s="228">
        <v>361.85</v>
      </c>
      <c r="L203" s="228">
        <v>-9.9</v>
      </c>
      <c r="M203" s="229">
        <v>-2.7400000000000001E-2</v>
      </c>
      <c r="N203" s="228">
        <v>350.95</v>
      </c>
      <c r="O203" s="228">
        <v>360.5</v>
      </c>
      <c r="P203" s="228">
        <v>-9.5500000000000007</v>
      </c>
      <c r="Q203" s="229">
        <v>-2.6499999999999999E-2</v>
      </c>
      <c r="R203" s="228">
        <v>352.2</v>
      </c>
      <c r="S203" s="228">
        <v>362.75</v>
      </c>
      <c r="T203" s="228">
        <v>-10.55</v>
      </c>
      <c r="U203" s="229">
        <v>-2.9100000000000001E-2</v>
      </c>
      <c r="V203" s="228">
        <v>352.35</v>
      </c>
      <c r="W203" s="228">
        <v>362.8</v>
      </c>
      <c r="X203" s="228">
        <v>-10.45</v>
      </c>
      <c r="Y203" s="229">
        <v>-2.8799999999999999E-2</v>
      </c>
      <c r="Z203" s="228">
        <v>-1</v>
      </c>
      <c r="AA203" s="228">
        <v>-1.35</v>
      </c>
      <c r="AB203" s="228">
        <v>0.35</v>
      </c>
      <c r="AC203" s="229">
        <v>-2.8E-3</v>
      </c>
      <c r="AD203" s="228">
        <v>-1</v>
      </c>
      <c r="AE203" s="228">
        <v>-1.35</v>
      </c>
      <c r="AF203" s="228">
        <v>0.35</v>
      </c>
      <c r="AG203" s="229">
        <v>-2.8E-3</v>
      </c>
      <c r="AH203" s="228">
        <v>0.25</v>
      </c>
      <c r="AI203" s="228">
        <v>0.9</v>
      </c>
      <c r="AJ203" s="228">
        <v>-0.65</v>
      </c>
      <c r="AK203" s="229">
        <v>6.9999999999999999E-4</v>
      </c>
      <c r="AL203" s="228">
        <v>0.4</v>
      </c>
      <c r="AM203" s="228">
        <v>0.95</v>
      </c>
      <c r="AN203" s="228">
        <v>-0.55000000000000004</v>
      </c>
      <c r="AO203" s="229">
        <v>1.1000000000000001E-3</v>
      </c>
      <c r="AP203" s="228">
        <v>353.93</v>
      </c>
      <c r="AQ203" s="228">
        <v>355.23</v>
      </c>
      <c r="AR203" s="228">
        <v>0</v>
      </c>
      <c r="AS203" s="230">
        <v>1852</v>
      </c>
      <c r="AT203" s="228">
        <v>674</v>
      </c>
      <c r="AU203" s="230">
        <v>1178</v>
      </c>
      <c r="AV203" s="229">
        <v>1.7464999999999999</v>
      </c>
      <c r="AW203" s="228">
        <v>940</v>
      </c>
      <c r="AX203" s="228">
        <v>432</v>
      </c>
      <c r="AY203" s="228">
        <v>508</v>
      </c>
      <c r="AZ203" s="229">
        <v>1.1775</v>
      </c>
      <c r="BA203" s="228">
        <v>889</v>
      </c>
      <c r="BB203" s="228">
        <v>216</v>
      </c>
      <c r="BC203" s="228">
        <v>673</v>
      </c>
      <c r="BD203" s="229">
        <v>3.1139000000000001</v>
      </c>
      <c r="BE203" s="228">
        <v>23</v>
      </c>
      <c r="BF203" s="228">
        <v>27</v>
      </c>
      <c r="BG203" s="228">
        <v>-4</v>
      </c>
      <c r="BH203" s="229">
        <v>-0.1323</v>
      </c>
      <c r="BI203" s="230">
        <v>2163</v>
      </c>
      <c r="BJ203" s="230">
        <v>3152</v>
      </c>
      <c r="BK203" s="228">
        <v>-989</v>
      </c>
      <c r="BL203" s="229">
        <v>-0.31369999999999998</v>
      </c>
      <c r="BM203" s="230">
        <v>1589</v>
      </c>
      <c r="BN203" s="230">
        <v>1877</v>
      </c>
      <c r="BO203" s="228">
        <v>-288</v>
      </c>
      <c r="BP203" s="229">
        <v>-0.15340000000000001</v>
      </c>
      <c r="BQ203" s="230">
        <v>5604</v>
      </c>
      <c r="BR203" s="230">
        <v>5703</v>
      </c>
      <c r="BS203" s="228">
        <v>-99</v>
      </c>
      <c r="BT203" s="229">
        <v>-1.7299999999999999E-2</v>
      </c>
      <c r="BU203" s="230">
        <v>11374109</v>
      </c>
      <c r="BV203" s="230">
        <v>14994313</v>
      </c>
      <c r="BW203" s="230">
        <v>-3620204</v>
      </c>
      <c r="BX203" s="229">
        <v>-0.2414</v>
      </c>
      <c r="BY203" s="230">
        <v>2267</v>
      </c>
      <c r="BZ203" s="230">
        <v>2205</v>
      </c>
      <c r="CA203" s="228">
        <v>62</v>
      </c>
      <c r="CB203" s="229">
        <v>2.8199999999999999E-2</v>
      </c>
      <c r="CC203" s="230">
        <v>1199</v>
      </c>
      <c r="CD203" s="230">
        <v>1783</v>
      </c>
      <c r="CE203" s="228">
        <v>-584</v>
      </c>
      <c r="CF203" s="229">
        <v>-0.3276</v>
      </c>
      <c r="CG203" s="230">
        <v>1014</v>
      </c>
      <c r="CH203" s="228">
        <v>377</v>
      </c>
      <c r="CI203" s="228">
        <v>637</v>
      </c>
      <c r="CJ203" s="229">
        <v>1.6876</v>
      </c>
      <c r="CK203" s="228">
        <v>55</v>
      </c>
      <c r="CL203" s="228">
        <v>45</v>
      </c>
      <c r="CM203" s="228">
        <v>10</v>
      </c>
      <c r="CN203" s="229">
        <v>0.2185</v>
      </c>
      <c r="CO203" s="230">
        <v>1305</v>
      </c>
      <c r="CP203" s="230">
        <v>1281</v>
      </c>
      <c r="CQ203" s="228">
        <v>24</v>
      </c>
      <c r="CR203" s="229">
        <v>1.89E-2</v>
      </c>
      <c r="CS203" s="228">
        <v>963</v>
      </c>
      <c r="CT203" s="230">
        <v>1030</v>
      </c>
      <c r="CU203" s="228">
        <v>-67</v>
      </c>
      <c r="CV203" s="229">
        <v>-6.5100000000000005E-2</v>
      </c>
      <c r="CW203" s="230">
        <v>4536</v>
      </c>
      <c r="CX203" s="230">
        <v>4516</v>
      </c>
      <c r="CY203" s="228">
        <v>19</v>
      </c>
      <c r="CZ203" s="229">
        <v>4.3E-3</v>
      </c>
      <c r="DA203" s="228">
        <v>38.03</v>
      </c>
      <c r="DB203" s="228">
        <v>31.58</v>
      </c>
      <c r="DC203" s="228">
        <v>6.45</v>
      </c>
      <c r="DD203" s="228">
        <v>6.45</v>
      </c>
      <c r="DE203" s="228">
        <v>38.17</v>
      </c>
      <c r="DF203" s="228">
        <v>38.090000000000003</v>
      </c>
      <c r="DG203" s="228">
        <v>-0.14000000000000001</v>
      </c>
      <c r="DH203" s="228">
        <v>0.08</v>
      </c>
      <c r="DI203" s="228">
        <v>38.04</v>
      </c>
      <c r="DJ203" s="228">
        <v>29.84</v>
      </c>
      <c r="DK203" s="228">
        <v>8.1999999999999993</v>
      </c>
      <c r="DL203" s="228">
        <v>8.1999999999999993</v>
      </c>
      <c r="DM203" s="228">
        <v>38.01</v>
      </c>
      <c r="DN203" s="228">
        <v>34.5</v>
      </c>
      <c r="DO203" s="228">
        <v>3.51</v>
      </c>
      <c r="DP203" s="228">
        <v>3.51</v>
      </c>
      <c r="DQ203" s="228">
        <v>0.74</v>
      </c>
      <c r="DR203" s="228">
        <v>0.8</v>
      </c>
      <c r="DS203" s="228">
        <v>-0.06</v>
      </c>
      <c r="DT203" s="229">
        <v>-7.4999999999999997E-2</v>
      </c>
      <c r="DU203" s="228">
        <v>360</v>
      </c>
      <c r="DV203" s="228">
        <v>300</v>
      </c>
      <c r="DW203" s="228">
        <v>0.73</v>
      </c>
      <c r="DX203" s="228">
        <v>0.6</v>
      </c>
      <c r="DY203" s="228">
        <v>0.13</v>
      </c>
      <c r="DZ203" s="229">
        <v>0.2167</v>
      </c>
      <c r="EA203" s="229">
        <v>0.4713</v>
      </c>
      <c r="EB203" s="230">
        <v>12027200</v>
      </c>
      <c r="EC203" s="229">
        <v>3.5999999999999999E-3</v>
      </c>
      <c r="ED203" s="229">
        <v>0.4713</v>
      </c>
      <c r="EE203" s="228">
        <v>1.3</v>
      </c>
      <c r="EF203" s="229">
        <v>3.7000000000000002E-3</v>
      </c>
      <c r="EG203" s="230">
        <v>5753122</v>
      </c>
      <c r="EH203" s="230">
        <v>6902861</v>
      </c>
      <c r="EI203" s="229">
        <v>-0.1666</v>
      </c>
      <c r="EJ203" s="229">
        <v>0.50580000000000003</v>
      </c>
      <c r="EK203" s="231">
        <v>2271.62</v>
      </c>
      <c r="EL203" s="231">
        <v>1578.69</v>
      </c>
      <c r="EM203" s="231">
        <v>1871.58</v>
      </c>
      <c r="EN203" s="228">
        <v>138.09</v>
      </c>
      <c r="EO203" s="231">
        <v>5721.88</v>
      </c>
      <c r="EP203" s="231">
        <v>5923.8</v>
      </c>
      <c r="EQ203" s="228">
        <v>-201.92</v>
      </c>
      <c r="ER203" s="229">
        <v>-3.4099999999999998E-2</v>
      </c>
      <c r="ES203" s="231">
        <v>1332.97</v>
      </c>
      <c r="ET203" s="228">
        <v>927.13</v>
      </c>
      <c r="EU203" s="231">
        <v>2271.2800000000002</v>
      </c>
      <c r="EV203" s="231">
        <v>317244234</v>
      </c>
      <c r="EW203" s="231">
        <v>4531.37</v>
      </c>
      <c r="EX203" s="231">
        <v>4566.83</v>
      </c>
      <c r="EY203" s="228">
        <v>-35.46</v>
      </c>
      <c r="EZ203" s="229">
        <v>-7.7999999999999996E-3</v>
      </c>
      <c r="FA203" s="229">
        <v>0.40739999999999998</v>
      </c>
      <c r="FB203" s="227" t="s">
        <v>566</v>
      </c>
      <c r="FC203">
        <f t="shared" si="4"/>
        <v>0</v>
      </c>
    </row>
    <row r="204" spans="1:159" ht="17.25" thickBot="1" x14ac:dyDescent="0.3">
      <c r="A204" s="226">
        <v>46135</v>
      </c>
      <c r="B204" s="227" t="s">
        <v>170</v>
      </c>
      <c r="C204" s="227" t="s">
        <v>298</v>
      </c>
      <c r="D204" s="228">
        <v>250</v>
      </c>
      <c r="E204" s="228">
        <v>5</v>
      </c>
      <c r="F204" s="231">
        <v>4155</v>
      </c>
      <c r="G204" s="231">
        <v>4068.2</v>
      </c>
      <c r="H204" s="228">
        <v>86.8</v>
      </c>
      <c r="I204" s="229">
        <v>2.1299999999999999E-2</v>
      </c>
      <c r="J204" s="231">
        <v>4147.2</v>
      </c>
      <c r="K204" s="231">
        <v>4084.6</v>
      </c>
      <c r="L204" s="228">
        <v>62.6</v>
      </c>
      <c r="M204" s="229">
        <v>1.5299999999999999E-2</v>
      </c>
      <c r="N204" s="231">
        <v>4155</v>
      </c>
      <c r="O204" s="231">
        <v>4068.2</v>
      </c>
      <c r="P204" s="228">
        <v>86.8</v>
      </c>
      <c r="Q204" s="229">
        <v>2.1299999999999999E-2</v>
      </c>
      <c r="R204" s="231">
        <v>4164.8</v>
      </c>
      <c r="S204" s="231">
        <v>4065</v>
      </c>
      <c r="T204" s="228">
        <v>99.8</v>
      </c>
      <c r="U204" s="229">
        <v>2.46E-2</v>
      </c>
      <c r="V204" s="231">
        <v>4143</v>
      </c>
      <c r="W204" s="231">
        <v>4159.2</v>
      </c>
      <c r="X204" s="228">
        <v>-16.2</v>
      </c>
      <c r="Y204" s="229">
        <v>-3.8999999999999998E-3</v>
      </c>
      <c r="Z204" s="228">
        <v>7.8</v>
      </c>
      <c r="AA204" s="228">
        <v>-16.399999999999999</v>
      </c>
      <c r="AB204" s="228">
        <v>24.2</v>
      </c>
      <c r="AC204" s="229">
        <v>1.9E-3</v>
      </c>
      <c r="AD204" s="228">
        <v>7.8</v>
      </c>
      <c r="AE204" s="228">
        <v>-16.399999999999999</v>
      </c>
      <c r="AF204" s="228">
        <v>24.2</v>
      </c>
      <c r="AG204" s="229">
        <v>1.9E-3</v>
      </c>
      <c r="AH204" s="228">
        <v>17.600000000000001</v>
      </c>
      <c r="AI204" s="228">
        <v>-19.600000000000001</v>
      </c>
      <c r="AJ204" s="228">
        <v>37.200000000000003</v>
      </c>
      <c r="AK204" s="229">
        <v>4.1999999999999997E-3</v>
      </c>
      <c r="AL204" s="228">
        <v>-4.2</v>
      </c>
      <c r="AM204" s="228">
        <v>74.599999999999994</v>
      </c>
      <c r="AN204" s="228">
        <v>-78.8</v>
      </c>
      <c r="AO204" s="229">
        <v>-1E-3</v>
      </c>
      <c r="AP204" s="231">
        <v>4141.91</v>
      </c>
      <c r="AQ204" s="231">
        <v>4143.32</v>
      </c>
      <c r="AR204" s="228">
        <v>0</v>
      </c>
      <c r="AS204" s="230">
        <v>1167</v>
      </c>
      <c r="AT204" s="228">
        <v>419</v>
      </c>
      <c r="AU204" s="228">
        <v>747</v>
      </c>
      <c r="AV204" s="229">
        <v>1.782</v>
      </c>
      <c r="AW204" s="228">
        <v>634</v>
      </c>
      <c r="AX204" s="228">
        <v>289</v>
      </c>
      <c r="AY204" s="228">
        <v>345</v>
      </c>
      <c r="AZ204" s="229">
        <v>1.1946000000000001</v>
      </c>
      <c r="BA204" s="228">
        <v>533</v>
      </c>
      <c r="BB204" s="228">
        <v>131</v>
      </c>
      <c r="BC204" s="228">
        <v>402</v>
      </c>
      <c r="BD204" s="229">
        <v>3.0788000000000002</v>
      </c>
      <c r="BE204" s="228">
        <v>0</v>
      </c>
      <c r="BF204" s="228">
        <v>0</v>
      </c>
      <c r="BG204" s="228">
        <v>0</v>
      </c>
      <c r="BH204" s="229">
        <v>0</v>
      </c>
      <c r="BI204" s="230">
        <v>1005</v>
      </c>
      <c r="BJ204" s="228">
        <v>287</v>
      </c>
      <c r="BK204" s="228">
        <v>719</v>
      </c>
      <c r="BL204" s="229">
        <v>2.5082</v>
      </c>
      <c r="BM204" s="228">
        <v>330</v>
      </c>
      <c r="BN204" s="228">
        <v>214</v>
      </c>
      <c r="BO204" s="228">
        <v>117</v>
      </c>
      <c r="BP204" s="229">
        <v>0.54520000000000002</v>
      </c>
      <c r="BQ204" s="230">
        <v>2502</v>
      </c>
      <c r="BR204" s="228">
        <v>920</v>
      </c>
      <c r="BS204" s="230">
        <v>1583</v>
      </c>
      <c r="BT204" s="229">
        <v>1.7208000000000001</v>
      </c>
      <c r="BU204" s="230">
        <v>506997</v>
      </c>
      <c r="BV204" s="230">
        <v>431929</v>
      </c>
      <c r="BW204" s="230">
        <v>75068</v>
      </c>
      <c r="BX204" s="229">
        <v>0.17380000000000001</v>
      </c>
      <c r="BY204" s="230">
        <v>1296</v>
      </c>
      <c r="BZ204" s="230">
        <v>1369</v>
      </c>
      <c r="CA204" s="228">
        <v>-72</v>
      </c>
      <c r="CB204" s="229">
        <v>-5.2699999999999997E-2</v>
      </c>
      <c r="CC204" s="228">
        <v>731</v>
      </c>
      <c r="CD204" s="230">
        <v>1158</v>
      </c>
      <c r="CE204" s="228">
        <v>-427</v>
      </c>
      <c r="CF204" s="229">
        <v>-0.36859999999999998</v>
      </c>
      <c r="CG204" s="228">
        <v>564</v>
      </c>
      <c r="CH204" s="228">
        <v>209</v>
      </c>
      <c r="CI204" s="228">
        <v>354</v>
      </c>
      <c r="CJ204" s="229">
        <v>1.6936</v>
      </c>
      <c r="CK204" s="228">
        <v>2</v>
      </c>
      <c r="CL204" s="228">
        <v>2</v>
      </c>
      <c r="CM204" s="228">
        <v>0</v>
      </c>
      <c r="CN204" s="229">
        <v>0.1176</v>
      </c>
      <c r="CO204" s="228">
        <v>274</v>
      </c>
      <c r="CP204" s="228">
        <v>271</v>
      </c>
      <c r="CQ204" s="228">
        <v>3</v>
      </c>
      <c r="CR204" s="229">
        <v>1.11E-2</v>
      </c>
      <c r="CS204" s="228">
        <v>197</v>
      </c>
      <c r="CT204" s="228">
        <v>189</v>
      </c>
      <c r="CU204" s="228">
        <v>9</v>
      </c>
      <c r="CV204" s="229">
        <v>4.5100000000000001E-2</v>
      </c>
      <c r="CW204" s="230">
        <v>1768</v>
      </c>
      <c r="CX204" s="230">
        <v>1829</v>
      </c>
      <c r="CY204" s="228">
        <v>-61</v>
      </c>
      <c r="CZ204" s="229">
        <v>-3.32E-2</v>
      </c>
      <c r="DA204" s="228">
        <v>29.15</v>
      </c>
      <c r="DB204" s="228">
        <v>26.32</v>
      </c>
      <c r="DC204" s="228">
        <v>2.83</v>
      </c>
      <c r="DD204" s="228">
        <v>2.83</v>
      </c>
      <c r="DE204" s="228">
        <v>25.38</v>
      </c>
      <c r="DF204" s="228">
        <v>25.36</v>
      </c>
      <c r="DG204" s="228">
        <v>3.77</v>
      </c>
      <c r="DH204" s="228">
        <v>0.02</v>
      </c>
      <c r="DI204" s="228">
        <v>28.63</v>
      </c>
      <c r="DJ204" s="228">
        <v>25.1</v>
      </c>
      <c r="DK204" s="228">
        <v>3.53</v>
      </c>
      <c r="DL204" s="228">
        <v>3.53</v>
      </c>
      <c r="DM204" s="228">
        <v>30.87</v>
      </c>
      <c r="DN204" s="228">
        <v>27.96</v>
      </c>
      <c r="DO204" s="228">
        <v>2.91</v>
      </c>
      <c r="DP204" s="228">
        <v>2.91</v>
      </c>
      <c r="DQ204" s="228">
        <v>0.72</v>
      </c>
      <c r="DR204" s="228">
        <v>0.7</v>
      </c>
      <c r="DS204" s="228">
        <v>0.02</v>
      </c>
      <c r="DT204" s="229">
        <v>2.86E-2</v>
      </c>
      <c r="DU204" s="231">
        <v>4200</v>
      </c>
      <c r="DV204" s="231">
        <v>4100</v>
      </c>
      <c r="DW204" s="228">
        <v>0.33</v>
      </c>
      <c r="DX204" s="228">
        <v>0.75</v>
      </c>
      <c r="DY204" s="228">
        <v>-0.42</v>
      </c>
      <c r="DZ204" s="229">
        <v>-0.56000000000000005</v>
      </c>
      <c r="EA204" s="229">
        <v>0.43619999999999998</v>
      </c>
      <c r="EB204" s="230">
        <v>507750</v>
      </c>
      <c r="EC204" s="229">
        <v>2.3999999999999998E-3</v>
      </c>
      <c r="ED204" s="229">
        <v>0.43619999999999998</v>
      </c>
      <c r="EE204" s="228">
        <v>1.41</v>
      </c>
      <c r="EF204" s="229">
        <v>2.9999999999999997E-4</v>
      </c>
      <c r="EG204" s="230">
        <v>286832</v>
      </c>
      <c r="EH204" s="230">
        <v>261508</v>
      </c>
      <c r="EI204" s="229">
        <v>9.6799999999999997E-2</v>
      </c>
      <c r="EJ204" s="229">
        <v>0.56569999999999998</v>
      </c>
      <c r="EK204" s="231">
        <v>1029.2</v>
      </c>
      <c r="EL204" s="228">
        <v>315.83999999999997</v>
      </c>
      <c r="EM204" s="231">
        <v>1163.1300000000001</v>
      </c>
      <c r="EN204" s="228">
        <v>21.64</v>
      </c>
      <c r="EO204" s="231">
        <v>2508.16</v>
      </c>
      <c r="EP204" s="228">
        <v>909.18</v>
      </c>
      <c r="EQ204" s="231">
        <v>1598.98</v>
      </c>
      <c r="ER204" s="229">
        <v>1.7586999999999999</v>
      </c>
      <c r="ES204" s="228">
        <v>281.48</v>
      </c>
      <c r="ET204" s="228">
        <v>191.84</v>
      </c>
      <c r="EU204" s="231">
        <v>1297.79</v>
      </c>
      <c r="EV204" s="231">
        <v>10726004</v>
      </c>
      <c r="EW204" s="231">
        <v>1771.1</v>
      </c>
      <c r="EX204" s="231">
        <v>1800.71</v>
      </c>
      <c r="EY204" s="228">
        <v>-29.61</v>
      </c>
      <c r="EZ204" s="229">
        <v>-1.6400000000000001E-2</v>
      </c>
      <c r="FA204" s="229">
        <v>0.3967</v>
      </c>
      <c r="FB204" s="227" t="s">
        <v>693</v>
      </c>
      <c r="FC204">
        <f t="shared" si="4"/>
        <v>0</v>
      </c>
    </row>
    <row r="205" spans="1:159" ht="17.25" thickBot="1" x14ac:dyDescent="0.3">
      <c r="A205" s="226">
        <v>46135</v>
      </c>
      <c r="B205" s="227" t="s">
        <v>161</v>
      </c>
      <c r="C205" s="227" t="s">
        <v>299</v>
      </c>
      <c r="D205" s="228">
        <v>425</v>
      </c>
      <c r="E205" s="228">
        <v>5</v>
      </c>
      <c r="F205" s="231">
        <v>1740.4</v>
      </c>
      <c r="G205" s="231">
        <v>1657.1</v>
      </c>
      <c r="H205" s="228">
        <v>83.3</v>
      </c>
      <c r="I205" s="229">
        <v>5.0299999999999997E-2</v>
      </c>
      <c r="J205" s="231">
        <v>1737</v>
      </c>
      <c r="K205" s="231">
        <v>1657.4</v>
      </c>
      <c r="L205" s="228">
        <v>79.599999999999994</v>
      </c>
      <c r="M205" s="229">
        <v>4.8000000000000001E-2</v>
      </c>
      <c r="N205" s="231">
        <v>1740.4</v>
      </c>
      <c r="O205" s="231">
        <v>1657.1</v>
      </c>
      <c r="P205" s="228">
        <v>83.3</v>
      </c>
      <c r="Q205" s="229">
        <v>5.0299999999999997E-2</v>
      </c>
      <c r="R205" s="228">
        <v>0</v>
      </c>
      <c r="S205" s="228">
        <v>0</v>
      </c>
      <c r="T205" s="228">
        <v>0</v>
      </c>
      <c r="U205" s="229">
        <v>0</v>
      </c>
      <c r="V205" s="228">
        <v>0</v>
      </c>
      <c r="W205" s="228">
        <v>0</v>
      </c>
      <c r="X205" s="228">
        <v>0</v>
      </c>
      <c r="Y205" s="229">
        <v>0</v>
      </c>
      <c r="Z205" s="228">
        <v>3.4</v>
      </c>
      <c r="AA205" s="228">
        <v>-0.3</v>
      </c>
      <c r="AB205" s="228">
        <v>3.7</v>
      </c>
      <c r="AC205" s="229">
        <v>2E-3</v>
      </c>
      <c r="AD205" s="228">
        <v>3.4</v>
      </c>
      <c r="AE205" s="228">
        <v>-0.3</v>
      </c>
      <c r="AF205" s="228">
        <v>3.7</v>
      </c>
      <c r="AG205" s="229">
        <v>2E-3</v>
      </c>
      <c r="AH205" s="228">
        <v>0</v>
      </c>
      <c r="AI205" s="228">
        <v>0</v>
      </c>
      <c r="AJ205" s="228">
        <v>0</v>
      </c>
      <c r="AK205" s="229">
        <v>0</v>
      </c>
      <c r="AL205" s="228">
        <v>0</v>
      </c>
      <c r="AM205" s="228">
        <v>0</v>
      </c>
      <c r="AN205" s="228">
        <v>0</v>
      </c>
      <c r="AO205" s="229">
        <v>0</v>
      </c>
      <c r="AP205" s="231">
        <v>1713.03</v>
      </c>
      <c r="AQ205" s="228">
        <v>0</v>
      </c>
      <c r="AR205" s="228">
        <v>0</v>
      </c>
      <c r="AS205" s="228">
        <v>127</v>
      </c>
      <c r="AT205" s="228">
        <v>82</v>
      </c>
      <c r="AU205" s="228">
        <v>46</v>
      </c>
      <c r="AV205" s="229">
        <v>0.56069999999999998</v>
      </c>
      <c r="AW205" s="228">
        <v>127</v>
      </c>
      <c r="AX205" s="228">
        <v>82</v>
      </c>
      <c r="AY205" s="228">
        <v>46</v>
      </c>
      <c r="AZ205" s="229">
        <v>0.56069999999999998</v>
      </c>
      <c r="BA205" s="228">
        <v>0</v>
      </c>
      <c r="BB205" s="228">
        <v>0</v>
      </c>
      <c r="BC205" s="228">
        <v>0</v>
      </c>
      <c r="BD205" s="229">
        <v>0</v>
      </c>
      <c r="BE205" s="228">
        <v>0</v>
      </c>
      <c r="BF205" s="228">
        <v>0</v>
      </c>
      <c r="BG205" s="228">
        <v>0</v>
      </c>
      <c r="BH205" s="229">
        <v>0</v>
      </c>
      <c r="BI205" s="230">
        <v>1297</v>
      </c>
      <c r="BJ205" s="230">
        <v>1107</v>
      </c>
      <c r="BK205" s="228">
        <v>190</v>
      </c>
      <c r="BL205" s="229">
        <v>0.17130000000000001</v>
      </c>
      <c r="BM205" s="228">
        <v>646</v>
      </c>
      <c r="BN205" s="228">
        <v>304</v>
      </c>
      <c r="BO205" s="228">
        <v>342</v>
      </c>
      <c r="BP205" s="229">
        <v>1.1274</v>
      </c>
      <c r="BQ205" s="230">
        <v>2070</v>
      </c>
      <c r="BR205" s="230">
        <v>1493</v>
      </c>
      <c r="BS205" s="228">
        <v>578</v>
      </c>
      <c r="BT205" s="229">
        <v>0.3871</v>
      </c>
      <c r="BU205" s="230">
        <v>1258062</v>
      </c>
      <c r="BV205" s="230">
        <v>1137912</v>
      </c>
      <c r="BW205" s="230">
        <v>120150</v>
      </c>
      <c r="BX205" s="229">
        <v>0.1056</v>
      </c>
      <c r="BY205" s="228">
        <v>439</v>
      </c>
      <c r="BZ205" s="228">
        <v>499</v>
      </c>
      <c r="CA205" s="228">
        <v>-59</v>
      </c>
      <c r="CB205" s="229">
        <v>-0.1191</v>
      </c>
      <c r="CC205" s="228">
        <v>439</v>
      </c>
      <c r="CD205" s="228">
        <v>499</v>
      </c>
      <c r="CE205" s="228">
        <v>-59</v>
      </c>
      <c r="CF205" s="229">
        <v>-0.1191</v>
      </c>
      <c r="CG205" s="228">
        <v>0</v>
      </c>
      <c r="CH205" s="228">
        <v>0</v>
      </c>
      <c r="CI205" s="228">
        <v>0</v>
      </c>
      <c r="CJ205" s="229">
        <v>0</v>
      </c>
      <c r="CK205" s="228">
        <v>0</v>
      </c>
      <c r="CL205" s="228">
        <v>0</v>
      </c>
      <c r="CM205" s="228">
        <v>0</v>
      </c>
      <c r="CN205" s="229">
        <v>0</v>
      </c>
      <c r="CO205" s="228">
        <v>271</v>
      </c>
      <c r="CP205" s="228">
        <v>291</v>
      </c>
      <c r="CQ205" s="228">
        <v>-21</v>
      </c>
      <c r="CR205" s="229">
        <v>-7.0599999999999996E-2</v>
      </c>
      <c r="CS205" s="228">
        <v>326</v>
      </c>
      <c r="CT205" s="228">
        <v>258</v>
      </c>
      <c r="CU205" s="228">
        <v>68</v>
      </c>
      <c r="CV205" s="229">
        <v>0.26479999999999998</v>
      </c>
      <c r="CW205" s="230">
        <v>1036</v>
      </c>
      <c r="CX205" s="230">
        <v>1048</v>
      </c>
      <c r="CY205" s="228">
        <v>-12</v>
      </c>
      <c r="CZ205" s="229">
        <v>-1.12E-2</v>
      </c>
      <c r="DA205" s="228">
        <v>42.09</v>
      </c>
      <c r="DB205" s="228">
        <v>31.09</v>
      </c>
      <c r="DC205" s="228">
        <v>11</v>
      </c>
      <c r="DD205" s="228">
        <v>11</v>
      </c>
      <c r="DE205" s="228">
        <v>42.09</v>
      </c>
      <c r="DF205" s="228">
        <v>41.67</v>
      </c>
      <c r="DG205" s="228">
        <v>0</v>
      </c>
      <c r="DH205" s="228">
        <v>0.42</v>
      </c>
      <c r="DI205" s="228">
        <v>42.09</v>
      </c>
      <c r="DJ205" s="228">
        <v>30.19</v>
      </c>
      <c r="DK205" s="228">
        <v>11.9</v>
      </c>
      <c r="DL205" s="228">
        <v>11.9</v>
      </c>
      <c r="DM205" s="228">
        <v>42.09</v>
      </c>
      <c r="DN205" s="228">
        <v>34.36</v>
      </c>
      <c r="DO205" s="228">
        <v>7.73</v>
      </c>
      <c r="DP205" s="228">
        <v>7.73</v>
      </c>
      <c r="DQ205" s="228">
        <v>1.2</v>
      </c>
      <c r="DR205" s="228">
        <v>0.88</v>
      </c>
      <c r="DS205" s="228">
        <v>0.32</v>
      </c>
      <c r="DT205" s="229">
        <v>0.36359999999999998</v>
      </c>
      <c r="DU205" s="231">
        <v>1760</v>
      </c>
      <c r="DV205" s="231">
        <v>1640</v>
      </c>
      <c r="DW205" s="228">
        <v>0.5</v>
      </c>
      <c r="DX205" s="228">
        <v>0.27</v>
      </c>
      <c r="DY205" s="228">
        <v>0.23</v>
      </c>
      <c r="DZ205" s="229">
        <v>0.85189999999999999</v>
      </c>
      <c r="EA205" s="229">
        <v>0</v>
      </c>
      <c r="EB205" s="228">
        <v>0</v>
      </c>
      <c r="EC205" s="229">
        <v>0</v>
      </c>
      <c r="ED205" s="229">
        <v>0</v>
      </c>
      <c r="EE205" s="228">
        <v>0</v>
      </c>
      <c r="EF205" s="229">
        <v>0</v>
      </c>
      <c r="EG205" s="230">
        <v>682659</v>
      </c>
      <c r="EH205" s="230">
        <v>628838</v>
      </c>
      <c r="EI205" s="229">
        <v>8.5599999999999996E-2</v>
      </c>
      <c r="EJ205" s="229">
        <v>0.54259999999999997</v>
      </c>
      <c r="EK205" s="231">
        <v>1307.01</v>
      </c>
      <c r="EL205" s="228">
        <v>604.61</v>
      </c>
      <c r="EM205" s="228">
        <v>125.44</v>
      </c>
      <c r="EN205" s="228">
        <v>14.37</v>
      </c>
      <c r="EO205" s="231">
        <v>2037.05</v>
      </c>
      <c r="EP205" s="231">
        <v>1440.23</v>
      </c>
      <c r="EQ205" s="228">
        <v>596.82000000000005</v>
      </c>
      <c r="ER205" s="229">
        <v>0.41439999999999999</v>
      </c>
      <c r="ES205" s="228">
        <v>252.9</v>
      </c>
      <c r="ET205" s="228">
        <v>287.61</v>
      </c>
      <c r="EU205" s="228">
        <v>439.14</v>
      </c>
      <c r="EV205" s="231">
        <v>24646022</v>
      </c>
      <c r="EW205" s="228">
        <v>979.65</v>
      </c>
      <c r="EX205" s="228">
        <v>961.16</v>
      </c>
      <c r="EY205" s="228">
        <v>18.489999999999998</v>
      </c>
      <c r="EZ205" s="229">
        <v>1.9199999999999998E-2</v>
      </c>
      <c r="FA205" s="229">
        <v>0.24149999999999999</v>
      </c>
      <c r="FB205" s="227" t="s">
        <v>693</v>
      </c>
      <c r="FC205">
        <f t="shared" si="4"/>
        <v>0</v>
      </c>
    </row>
    <row r="206" spans="1:159" ht="17.25" thickBot="1" x14ac:dyDescent="0.3">
      <c r="A206" s="226">
        <v>46135</v>
      </c>
      <c r="B206" s="227" t="s">
        <v>197</v>
      </c>
      <c r="C206" s="227" t="s">
        <v>482</v>
      </c>
      <c r="D206" s="228">
        <v>100</v>
      </c>
      <c r="E206" s="228">
        <v>5</v>
      </c>
      <c r="F206" s="231">
        <v>4237.8</v>
      </c>
      <c r="G206" s="231">
        <v>4438.1000000000004</v>
      </c>
      <c r="H206" s="228">
        <v>-200.3</v>
      </c>
      <c r="I206" s="229">
        <v>-4.5100000000000001E-2</v>
      </c>
      <c r="J206" s="231">
        <v>4251.3999999999996</v>
      </c>
      <c r="K206" s="231">
        <v>4434.5</v>
      </c>
      <c r="L206" s="228">
        <v>-183.1</v>
      </c>
      <c r="M206" s="229">
        <v>-4.1300000000000003E-2</v>
      </c>
      <c r="N206" s="231">
        <v>4237.8</v>
      </c>
      <c r="O206" s="231">
        <v>4438.1000000000004</v>
      </c>
      <c r="P206" s="228">
        <v>-200.3</v>
      </c>
      <c r="Q206" s="229">
        <v>-4.5100000000000001E-2</v>
      </c>
      <c r="R206" s="231">
        <v>4202.1000000000004</v>
      </c>
      <c r="S206" s="231">
        <v>4440.1000000000004</v>
      </c>
      <c r="T206" s="228">
        <v>-238</v>
      </c>
      <c r="U206" s="229">
        <v>-5.3600000000000002E-2</v>
      </c>
      <c r="V206" s="231">
        <v>4179.6000000000004</v>
      </c>
      <c r="W206" s="231">
        <v>4457.2</v>
      </c>
      <c r="X206" s="228">
        <v>-277.60000000000002</v>
      </c>
      <c r="Y206" s="229">
        <v>-6.2300000000000001E-2</v>
      </c>
      <c r="Z206" s="228">
        <v>-13.6</v>
      </c>
      <c r="AA206" s="228">
        <v>3.6</v>
      </c>
      <c r="AB206" s="228">
        <v>-17.2</v>
      </c>
      <c r="AC206" s="229">
        <v>-3.2000000000000002E-3</v>
      </c>
      <c r="AD206" s="228">
        <v>-13.6</v>
      </c>
      <c r="AE206" s="228">
        <v>3.6</v>
      </c>
      <c r="AF206" s="228">
        <v>-17.2</v>
      </c>
      <c r="AG206" s="229">
        <v>-3.2000000000000002E-3</v>
      </c>
      <c r="AH206" s="228">
        <v>-49.3</v>
      </c>
      <c r="AI206" s="228">
        <v>5.6</v>
      </c>
      <c r="AJ206" s="228">
        <v>-54.9</v>
      </c>
      <c r="AK206" s="229">
        <v>-1.1599999999999999E-2</v>
      </c>
      <c r="AL206" s="228">
        <v>-71.8</v>
      </c>
      <c r="AM206" s="228">
        <v>22.7</v>
      </c>
      <c r="AN206" s="228">
        <v>-94.5</v>
      </c>
      <c r="AO206" s="229">
        <v>-1.6899999999999998E-2</v>
      </c>
      <c r="AP206" s="231">
        <v>4306.0600000000004</v>
      </c>
      <c r="AQ206" s="231">
        <v>4277.32</v>
      </c>
      <c r="AR206" s="228">
        <v>0</v>
      </c>
      <c r="AS206" s="230">
        <v>4396</v>
      </c>
      <c r="AT206" s="230">
        <v>1359</v>
      </c>
      <c r="AU206" s="230">
        <v>3038</v>
      </c>
      <c r="AV206" s="229">
        <v>2.2351999999999999</v>
      </c>
      <c r="AW206" s="230">
        <v>2450</v>
      </c>
      <c r="AX206" s="230">
        <v>1049</v>
      </c>
      <c r="AY206" s="230">
        <v>1401</v>
      </c>
      <c r="AZ206" s="229">
        <v>1.3355999999999999</v>
      </c>
      <c r="BA206" s="230">
        <v>1865</v>
      </c>
      <c r="BB206" s="228">
        <v>293</v>
      </c>
      <c r="BC206" s="230">
        <v>1572</v>
      </c>
      <c r="BD206" s="229">
        <v>5.3589000000000002</v>
      </c>
      <c r="BE206" s="228">
        <v>81</v>
      </c>
      <c r="BF206" s="228">
        <v>16</v>
      </c>
      <c r="BG206" s="228">
        <v>64</v>
      </c>
      <c r="BH206" s="229">
        <v>3.9125999999999999</v>
      </c>
      <c r="BI206" s="230">
        <v>12863</v>
      </c>
      <c r="BJ206" s="230">
        <v>8061</v>
      </c>
      <c r="BK206" s="230">
        <v>4803</v>
      </c>
      <c r="BL206" s="229">
        <v>0.5958</v>
      </c>
      <c r="BM206" s="230">
        <v>7257</v>
      </c>
      <c r="BN206" s="230">
        <v>3892</v>
      </c>
      <c r="BO206" s="230">
        <v>3365</v>
      </c>
      <c r="BP206" s="229">
        <v>0.86460000000000004</v>
      </c>
      <c r="BQ206" s="230">
        <v>24516</v>
      </c>
      <c r="BR206" s="230">
        <v>13311</v>
      </c>
      <c r="BS206" s="230">
        <v>11205</v>
      </c>
      <c r="BT206" s="229">
        <v>0.84179999999999999</v>
      </c>
      <c r="BU206" s="230">
        <v>5081227</v>
      </c>
      <c r="BV206" s="230">
        <v>2757972</v>
      </c>
      <c r="BW206" s="230">
        <v>2323255</v>
      </c>
      <c r="BX206" s="229">
        <v>0.84240000000000004</v>
      </c>
      <c r="BY206" s="230">
        <v>3358</v>
      </c>
      <c r="BZ206" s="230">
        <v>3541</v>
      </c>
      <c r="CA206" s="228">
        <v>-183</v>
      </c>
      <c r="CB206" s="229">
        <v>-5.1700000000000003E-2</v>
      </c>
      <c r="CC206" s="230">
        <v>1646</v>
      </c>
      <c r="CD206" s="230">
        <v>2761</v>
      </c>
      <c r="CE206" s="230">
        <v>-1115</v>
      </c>
      <c r="CF206" s="229">
        <v>-0.40389999999999998</v>
      </c>
      <c r="CG206" s="230">
        <v>1645</v>
      </c>
      <c r="CH206" s="228">
        <v>739</v>
      </c>
      <c r="CI206" s="228">
        <v>906</v>
      </c>
      <c r="CJ206" s="229">
        <v>1.2264999999999999</v>
      </c>
      <c r="CK206" s="228">
        <v>67</v>
      </c>
      <c r="CL206" s="228">
        <v>41</v>
      </c>
      <c r="CM206" s="228">
        <v>26</v>
      </c>
      <c r="CN206" s="229">
        <v>0.63100000000000001</v>
      </c>
      <c r="CO206" s="230">
        <v>2740</v>
      </c>
      <c r="CP206" s="230">
        <v>2069</v>
      </c>
      <c r="CQ206" s="228">
        <v>670</v>
      </c>
      <c r="CR206" s="229">
        <v>0.32379999999999998</v>
      </c>
      <c r="CS206" s="230">
        <v>1566</v>
      </c>
      <c r="CT206" s="230">
        <v>1614</v>
      </c>
      <c r="CU206" s="228">
        <v>-48</v>
      </c>
      <c r="CV206" s="229">
        <v>-2.9600000000000001E-2</v>
      </c>
      <c r="CW206" s="230">
        <v>7664</v>
      </c>
      <c r="CX206" s="230">
        <v>7224</v>
      </c>
      <c r="CY206" s="228">
        <v>439</v>
      </c>
      <c r="CZ206" s="229">
        <v>6.08E-2</v>
      </c>
      <c r="DA206" s="228">
        <v>39.28</v>
      </c>
      <c r="DB206" s="228">
        <v>57.25</v>
      </c>
      <c r="DC206" s="228">
        <v>-17.97</v>
      </c>
      <c r="DD206" s="228">
        <v>-17.97</v>
      </c>
      <c r="DE206" s="228">
        <v>44.53</v>
      </c>
      <c r="DF206" s="228">
        <v>44.27</v>
      </c>
      <c r="DG206" s="228">
        <v>-5.25</v>
      </c>
      <c r="DH206" s="228">
        <v>0.26</v>
      </c>
      <c r="DI206" s="228">
        <v>39.28</v>
      </c>
      <c r="DJ206" s="228">
        <v>56.42</v>
      </c>
      <c r="DK206" s="228">
        <v>-17.14</v>
      </c>
      <c r="DL206" s="228">
        <v>-17.14</v>
      </c>
      <c r="DM206" s="228">
        <v>39.28</v>
      </c>
      <c r="DN206" s="228">
        <v>58.97</v>
      </c>
      <c r="DO206" s="228">
        <v>-19.690000000000001</v>
      </c>
      <c r="DP206" s="228">
        <v>-19.690000000000001</v>
      </c>
      <c r="DQ206" s="228">
        <v>0.56999999999999995</v>
      </c>
      <c r="DR206" s="228">
        <v>0.78</v>
      </c>
      <c r="DS206" s="228">
        <v>-0.21</v>
      </c>
      <c r="DT206" s="229">
        <v>-0.26919999999999999</v>
      </c>
      <c r="DU206" s="231">
        <v>4500</v>
      </c>
      <c r="DV206" s="231">
        <v>4300</v>
      </c>
      <c r="DW206" s="228">
        <v>0.56000000000000005</v>
      </c>
      <c r="DX206" s="228">
        <v>0.48</v>
      </c>
      <c r="DY206" s="228">
        <v>0.08</v>
      </c>
      <c r="DZ206" s="229">
        <v>0.16669999999999999</v>
      </c>
      <c r="EA206" s="229">
        <v>0.50990000000000002</v>
      </c>
      <c r="EB206" s="230">
        <v>1840600</v>
      </c>
      <c r="EC206" s="229">
        <v>-8.3999999999999995E-3</v>
      </c>
      <c r="ED206" s="229">
        <v>0.50990000000000002</v>
      </c>
      <c r="EE206" s="228">
        <v>-28.74</v>
      </c>
      <c r="EF206" s="229">
        <v>-6.7000000000000002E-3</v>
      </c>
      <c r="EG206" s="230">
        <v>1453242</v>
      </c>
      <c r="EH206" s="230">
        <v>800571</v>
      </c>
      <c r="EI206" s="229">
        <v>0.81530000000000002</v>
      </c>
      <c r="EJ206" s="229">
        <v>0.28599999999999998</v>
      </c>
      <c r="EK206" s="231">
        <v>13808.07</v>
      </c>
      <c r="EL206" s="231">
        <v>7282</v>
      </c>
      <c r="EM206" s="231">
        <v>4454.2</v>
      </c>
      <c r="EN206" s="228">
        <v>215.47</v>
      </c>
      <c r="EO206" s="231">
        <v>25544.27</v>
      </c>
      <c r="EP206" s="231">
        <v>14154.29</v>
      </c>
      <c r="EQ206" s="231">
        <v>11389.97</v>
      </c>
      <c r="ER206" s="229">
        <v>0.80469999999999997</v>
      </c>
      <c r="ES206" s="231">
        <v>2820.68</v>
      </c>
      <c r="ET206" s="231">
        <v>1463.69</v>
      </c>
      <c r="EU206" s="231">
        <v>3343.29</v>
      </c>
      <c r="EV206" s="231">
        <v>33590487</v>
      </c>
      <c r="EW206" s="231">
        <v>7627.67</v>
      </c>
      <c r="EX206" s="231">
        <v>7322.76</v>
      </c>
      <c r="EY206" s="228">
        <v>304.91000000000003</v>
      </c>
      <c r="EZ206" s="229">
        <v>4.1599999999999998E-2</v>
      </c>
      <c r="FA206" s="229">
        <v>0.53839999999999999</v>
      </c>
      <c r="FB206" s="227" t="s">
        <v>567</v>
      </c>
      <c r="FC206">
        <f t="shared" si="4"/>
        <v>0</v>
      </c>
    </row>
    <row r="207" spans="1:159" ht="17.25" thickBot="1" x14ac:dyDescent="0.3">
      <c r="A207" s="226">
        <v>46135</v>
      </c>
      <c r="B207" s="227" t="s">
        <v>162</v>
      </c>
      <c r="C207" s="227" t="s">
        <v>300</v>
      </c>
      <c r="D207" s="228">
        <v>175</v>
      </c>
      <c r="E207" s="228">
        <v>5</v>
      </c>
      <c r="F207" s="231">
        <v>3513.2</v>
      </c>
      <c r="G207" s="231">
        <v>3669.2</v>
      </c>
      <c r="H207" s="228">
        <v>-156</v>
      </c>
      <c r="I207" s="229">
        <v>-4.2500000000000003E-2</v>
      </c>
      <c r="J207" s="231">
        <v>3513</v>
      </c>
      <c r="K207" s="231">
        <v>3660.7</v>
      </c>
      <c r="L207" s="228">
        <v>-147.69999999999999</v>
      </c>
      <c r="M207" s="229">
        <v>-4.0300000000000002E-2</v>
      </c>
      <c r="N207" s="231">
        <v>3513.2</v>
      </c>
      <c r="O207" s="231">
        <v>3669.2</v>
      </c>
      <c r="P207" s="228">
        <v>-156</v>
      </c>
      <c r="Q207" s="229">
        <v>-4.2500000000000003E-2</v>
      </c>
      <c r="R207" s="231">
        <v>3533.2</v>
      </c>
      <c r="S207" s="231">
        <v>3686</v>
      </c>
      <c r="T207" s="228">
        <v>-152.80000000000001</v>
      </c>
      <c r="U207" s="229">
        <v>-4.1500000000000002E-2</v>
      </c>
      <c r="V207" s="231">
        <v>3554.4</v>
      </c>
      <c r="W207" s="231">
        <v>3708.6</v>
      </c>
      <c r="X207" s="228">
        <v>-154.19999999999999</v>
      </c>
      <c r="Y207" s="229">
        <v>-4.1599999999999998E-2</v>
      </c>
      <c r="Z207" s="228">
        <v>0.2</v>
      </c>
      <c r="AA207" s="228">
        <v>8.5</v>
      </c>
      <c r="AB207" s="228">
        <v>-8.3000000000000007</v>
      </c>
      <c r="AC207" s="229">
        <v>1E-4</v>
      </c>
      <c r="AD207" s="228">
        <v>0.2</v>
      </c>
      <c r="AE207" s="228">
        <v>8.5</v>
      </c>
      <c r="AF207" s="228">
        <v>-8.3000000000000007</v>
      </c>
      <c r="AG207" s="229">
        <v>1E-4</v>
      </c>
      <c r="AH207" s="228">
        <v>20.2</v>
      </c>
      <c r="AI207" s="228">
        <v>25.3</v>
      </c>
      <c r="AJ207" s="228">
        <v>-5.0999999999999996</v>
      </c>
      <c r="AK207" s="229">
        <v>5.7999999999999996E-3</v>
      </c>
      <c r="AL207" s="228">
        <v>41.4</v>
      </c>
      <c r="AM207" s="228">
        <v>47.9</v>
      </c>
      <c r="AN207" s="228">
        <v>-6.5</v>
      </c>
      <c r="AO207" s="229">
        <v>1.18E-2</v>
      </c>
      <c r="AP207" s="231">
        <v>3525.29</v>
      </c>
      <c r="AQ207" s="231">
        <v>3541.64</v>
      </c>
      <c r="AR207" s="228">
        <v>0</v>
      </c>
      <c r="AS207" s="230">
        <v>1714</v>
      </c>
      <c r="AT207" s="228">
        <v>364</v>
      </c>
      <c r="AU207" s="230">
        <v>1350</v>
      </c>
      <c r="AV207" s="229">
        <v>3.7113999999999998</v>
      </c>
      <c r="AW207" s="228">
        <v>807</v>
      </c>
      <c r="AX207" s="228">
        <v>207</v>
      </c>
      <c r="AY207" s="228">
        <v>599</v>
      </c>
      <c r="AZ207" s="229">
        <v>2.8883000000000001</v>
      </c>
      <c r="BA207" s="228">
        <v>898</v>
      </c>
      <c r="BB207" s="228">
        <v>153</v>
      </c>
      <c r="BC207" s="228">
        <v>745</v>
      </c>
      <c r="BD207" s="229">
        <v>4.8697999999999997</v>
      </c>
      <c r="BE207" s="228">
        <v>9</v>
      </c>
      <c r="BF207" s="228">
        <v>3</v>
      </c>
      <c r="BG207" s="228">
        <v>6</v>
      </c>
      <c r="BH207" s="229">
        <v>1.7818000000000001</v>
      </c>
      <c r="BI207" s="230">
        <v>1983</v>
      </c>
      <c r="BJ207" s="228">
        <v>989</v>
      </c>
      <c r="BK207" s="228">
        <v>994</v>
      </c>
      <c r="BL207" s="229">
        <v>1.0052000000000001</v>
      </c>
      <c r="BM207" s="230">
        <v>1398</v>
      </c>
      <c r="BN207" s="228">
        <v>370</v>
      </c>
      <c r="BO207" s="230">
        <v>1028</v>
      </c>
      <c r="BP207" s="229">
        <v>2.7766999999999999</v>
      </c>
      <c r="BQ207" s="230">
        <v>5095</v>
      </c>
      <c r="BR207" s="230">
        <v>1723</v>
      </c>
      <c r="BS207" s="230">
        <v>3372</v>
      </c>
      <c r="BT207" s="229">
        <v>1.9571000000000001</v>
      </c>
      <c r="BU207" s="230">
        <v>2749085</v>
      </c>
      <c r="BV207" s="230">
        <v>587925</v>
      </c>
      <c r="BW207" s="230">
        <v>2161160</v>
      </c>
      <c r="BX207" s="229">
        <v>3.6758999999999999</v>
      </c>
      <c r="BY207" s="230">
        <v>3052</v>
      </c>
      <c r="BZ207" s="230">
        <v>2936</v>
      </c>
      <c r="CA207" s="228">
        <v>115</v>
      </c>
      <c r="CB207" s="229">
        <v>3.9300000000000002E-2</v>
      </c>
      <c r="CC207" s="230">
        <v>2039</v>
      </c>
      <c r="CD207" s="230">
        <v>2595</v>
      </c>
      <c r="CE207" s="228">
        <v>-556</v>
      </c>
      <c r="CF207" s="229">
        <v>-0.21429999999999999</v>
      </c>
      <c r="CG207" s="228">
        <v>893</v>
      </c>
      <c r="CH207" s="228">
        <v>225</v>
      </c>
      <c r="CI207" s="228">
        <v>669</v>
      </c>
      <c r="CJ207" s="229">
        <v>2.9735</v>
      </c>
      <c r="CK207" s="228">
        <v>119</v>
      </c>
      <c r="CL207" s="228">
        <v>116</v>
      </c>
      <c r="CM207" s="228">
        <v>3</v>
      </c>
      <c r="CN207" s="229">
        <v>2.7E-2</v>
      </c>
      <c r="CO207" s="228">
        <v>941</v>
      </c>
      <c r="CP207" s="228">
        <v>774</v>
      </c>
      <c r="CQ207" s="228">
        <v>167</v>
      </c>
      <c r="CR207" s="229">
        <v>0.21590000000000001</v>
      </c>
      <c r="CS207" s="228">
        <v>458</v>
      </c>
      <c r="CT207" s="228">
        <v>435</v>
      </c>
      <c r="CU207" s="228">
        <v>23</v>
      </c>
      <c r="CV207" s="229">
        <v>5.2600000000000001E-2</v>
      </c>
      <c r="CW207" s="230">
        <v>4451</v>
      </c>
      <c r="CX207" s="230">
        <v>4145</v>
      </c>
      <c r="CY207" s="228">
        <v>305</v>
      </c>
      <c r="CZ207" s="229">
        <v>7.3700000000000002E-2</v>
      </c>
      <c r="DA207" s="228">
        <v>35.58</v>
      </c>
      <c r="DB207" s="228">
        <v>35.26</v>
      </c>
      <c r="DC207" s="228">
        <v>0.32</v>
      </c>
      <c r="DD207" s="228">
        <v>0.32</v>
      </c>
      <c r="DE207" s="228">
        <v>33.9</v>
      </c>
      <c r="DF207" s="228">
        <v>33.479999999999997</v>
      </c>
      <c r="DG207" s="228">
        <v>1.68</v>
      </c>
      <c r="DH207" s="228">
        <v>0.42</v>
      </c>
      <c r="DI207" s="228">
        <v>35.42</v>
      </c>
      <c r="DJ207" s="228">
        <v>35.42</v>
      </c>
      <c r="DK207" s="228">
        <v>0</v>
      </c>
      <c r="DL207" s="228">
        <v>0</v>
      </c>
      <c r="DM207" s="228">
        <v>35.909999999999997</v>
      </c>
      <c r="DN207" s="228">
        <v>34.85</v>
      </c>
      <c r="DO207" s="228">
        <v>1.06</v>
      </c>
      <c r="DP207" s="228">
        <v>1.06</v>
      </c>
      <c r="DQ207" s="228">
        <v>0.49</v>
      </c>
      <c r="DR207" s="228">
        <v>0.56000000000000005</v>
      </c>
      <c r="DS207" s="228">
        <v>-7.0000000000000007E-2</v>
      </c>
      <c r="DT207" s="229">
        <v>-0.125</v>
      </c>
      <c r="DU207" s="231">
        <v>4000</v>
      </c>
      <c r="DV207" s="231">
        <v>3500</v>
      </c>
      <c r="DW207" s="228">
        <v>0.7</v>
      </c>
      <c r="DX207" s="228">
        <v>0.37</v>
      </c>
      <c r="DY207" s="228">
        <v>0.33</v>
      </c>
      <c r="DZ207" s="229">
        <v>0.89190000000000003</v>
      </c>
      <c r="EA207" s="229">
        <v>0.33179999999999998</v>
      </c>
      <c r="EB207" s="230">
        <v>970725</v>
      </c>
      <c r="EC207" s="229">
        <v>5.7000000000000002E-3</v>
      </c>
      <c r="ED207" s="229">
        <v>0.33179999999999998</v>
      </c>
      <c r="EE207" s="228">
        <v>16.350000000000001</v>
      </c>
      <c r="EF207" s="229">
        <v>4.5999999999999999E-3</v>
      </c>
      <c r="EG207" s="230">
        <v>1630018</v>
      </c>
      <c r="EH207" s="230">
        <v>389242</v>
      </c>
      <c r="EI207" s="229">
        <v>3.1877</v>
      </c>
      <c r="EJ207" s="229">
        <v>0.59289999999999998</v>
      </c>
      <c r="EK207" s="231">
        <v>2117.71</v>
      </c>
      <c r="EL207" s="231">
        <v>1411.12</v>
      </c>
      <c r="EM207" s="231">
        <v>1724.39</v>
      </c>
      <c r="EN207" s="228">
        <v>45.81</v>
      </c>
      <c r="EO207" s="231">
        <v>5253.21</v>
      </c>
      <c r="EP207" s="231">
        <v>1869.32</v>
      </c>
      <c r="EQ207" s="231">
        <v>3383.9</v>
      </c>
      <c r="ER207" s="229">
        <v>1.8102</v>
      </c>
      <c r="ES207" s="231">
        <v>1009.98</v>
      </c>
      <c r="ET207" s="228">
        <v>459.2</v>
      </c>
      <c r="EU207" s="231">
        <v>3058.34</v>
      </c>
      <c r="EV207" s="231">
        <v>32253708</v>
      </c>
      <c r="EW207" s="231">
        <v>4527.5200000000004</v>
      </c>
      <c r="EX207" s="231">
        <v>4347.07</v>
      </c>
      <c r="EY207" s="228">
        <v>180.45</v>
      </c>
      <c r="EZ207" s="229">
        <v>4.1500000000000002E-2</v>
      </c>
      <c r="FA207" s="229">
        <v>0.39279999999999998</v>
      </c>
      <c r="FB207" s="227" t="s">
        <v>566</v>
      </c>
      <c r="FC207">
        <f t="shared" si="4"/>
        <v>0</v>
      </c>
    </row>
    <row r="208" spans="1:159" ht="17.25" thickBot="1" x14ac:dyDescent="0.3">
      <c r="A208" s="226">
        <v>46135</v>
      </c>
      <c r="B208" s="227" t="s">
        <v>157</v>
      </c>
      <c r="C208" s="227" t="s">
        <v>302</v>
      </c>
      <c r="D208" s="228">
        <v>50</v>
      </c>
      <c r="E208" s="228">
        <v>5</v>
      </c>
      <c r="F208" s="231">
        <v>12176</v>
      </c>
      <c r="G208" s="231">
        <v>12171</v>
      </c>
      <c r="H208" s="228">
        <v>5</v>
      </c>
      <c r="I208" s="229">
        <v>4.0000000000000002E-4</v>
      </c>
      <c r="J208" s="231">
        <v>12167</v>
      </c>
      <c r="K208" s="231">
        <v>12193</v>
      </c>
      <c r="L208" s="228">
        <v>-26</v>
      </c>
      <c r="M208" s="229">
        <v>-2.0999999999999999E-3</v>
      </c>
      <c r="N208" s="231">
        <v>12176</v>
      </c>
      <c r="O208" s="231">
        <v>12171</v>
      </c>
      <c r="P208" s="228">
        <v>5</v>
      </c>
      <c r="Q208" s="229">
        <v>4.0000000000000002E-4</v>
      </c>
      <c r="R208" s="231">
        <v>12239</v>
      </c>
      <c r="S208" s="231">
        <v>12236</v>
      </c>
      <c r="T208" s="228">
        <v>3</v>
      </c>
      <c r="U208" s="229">
        <v>2.0000000000000001E-4</v>
      </c>
      <c r="V208" s="231">
        <v>12309</v>
      </c>
      <c r="W208" s="231">
        <v>12314</v>
      </c>
      <c r="X208" s="228">
        <v>-5</v>
      </c>
      <c r="Y208" s="229">
        <v>-4.0000000000000002E-4</v>
      </c>
      <c r="Z208" s="228">
        <v>9</v>
      </c>
      <c r="AA208" s="228">
        <v>-22</v>
      </c>
      <c r="AB208" s="228">
        <v>31</v>
      </c>
      <c r="AC208" s="229">
        <v>6.9999999999999999E-4</v>
      </c>
      <c r="AD208" s="228">
        <v>9</v>
      </c>
      <c r="AE208" s="228">
        <v>-22</v>
      </c>
      <c r="AF208" s="228">
        <v>31</v>
      </c>
      <c r="AG208" s="229">
        <v>6.9999999999999999E-4</v>
      </c>
      <c r="AH208" s="228">
        <v>72</v>
      </c>
      <c r="AI208" s="228">
        <v>43</v>
      </c>
      <c r="AJ208" s="228">
        <v>29</v>
      </c>
      <c r="AK208" s="229">
        <v>5.8999999999999999E-3</v>
      </c>
      <c r="AL208" s="228">
        <v>142</v>
      </c>
      <c r="AM208" s="228">
        <v>121</v>
      </c>
      <c r="AN208" s="228">
        <v>21</v>
      </c>
      <c r="AO208" s="229">
        <v>1.17E-2</v>
      </c>
      <c r="AP208" s="231">
        <v>12097.38</v>
      </c>
      <c r="AQ208" s="231">
        <v>12160.46</v>
      </c>
      <c r="AR208" s="228">
        <v>0</v>
      </c>
      <c r="AS208" s="230">
        <v>2134</v>
      </c>
      <c r="AT208" s="228">
        <v>652</v>
      </c>
      <c r="AU208" s="230">
        <v>1481</v>
      </c>
      <c r="AV208" s="229">
        <v>2.2707999999999999</v>
      </c>
      <c r="AW208" s="230">
        <v>1100</v>
      </c>
      <c r="AX208" s="228">
        <v>445</v>
      </c>
      <c r="AY208" s="228">
        <v>654</v>
      </c>
      <c r="AZ208" s="229">
        <v>1.4695</v>
      </c>
      <c r="BA208" s="228">
        <v>950</v>
      </c>
      <c r="BB208" s="228">
        <v>155</v>
      </c>
      <c r="BC208" s="228">
        <v>795</v>
      </c>
      <c r="BD208" s="229">
        <v>5.1288999999999998</v>
      </c>
      <c r="BE208" s="228">
        <v>85</v>
      </c>
      <c r="BF208" s="228">
        <v>52</v>
      </c>
      <c r="BG208" s="228">
        <v>32</v>
      </c>
      <c r="BH208" s="229">
        <v>0.62190000000000001</v>
      </c>
      <c r="BI208" s="230">
        <v>1838</v>
      </c>
      <c r="BJ208" s="230">
        <v>1782</v>
      </c>
      <c r="BK208" s="228">
        <v>57</v>
      </c>
      <c r="BL208" s="229">
        <v>3.1699999999999999E-2</v>
      </c>
      <c r="BM208" s="230">
        <v>1659</v>
      </c>
      <c r="BN208" s="228">
        <v>970</v>
      </c>
      <c r="BO208" s="228">
        <v>688</v>
      </c>
      <c r="BP208" s="229">
        <v>0.70950000000000002</v>
      </c>
      <c r="BQ208" s="230">
        <v>5631</v>
      </c>
      <c r="BR208" s="230">
        <v>3405</v>
      </c>
      <c r="BS208" s="230">
        <v>2226</v>
      </c>
      <c r="BT208" s="229">
        <v>0.65400000000000003</v>
      </c>
      <c r="BU208" s="230">
        <v>243143</v>
      </c>
      <c r="BV208" s="230">
        <v>417779</v>
      </c>
      <c r="BW208" s="230">
        <v>-174636</v>
      </c>
      <c r="BX208" s="229">
        <v>-0.41799999999999998</v>
      </c>
      <c r="BY208" s="230">
        <v>3327</v>
      </c>
      <c r="BZ208" s="230">
        <v>3151</v>
      </c>
      <c r="CA208" s="228">
        <v>176</v>
      </c>
      <c r="CB208" s="229">
        <v>5.5800000000000002E-2</v>
      </c>
      <c r="CC208" s="230">
        <v>1629</v>
      </c>
      <c r="CD208" s="230">
        <v>2302</v>
      </c>
      <c r="CE208" s="228">
        <v>-673</v>
      </c>
      <c r="CF208" s="229">
        <v>-0.2923</v>
      </c>
      <c r="CG208" s="230">
        <v>1265</v>
      </c>
      <c r="CH208" s="228">
        <v>492</v>
      </c>
      <c r="CI208" s="228">
        <v>773</v>
      </c>
      <c r="CJ208" s="229">
        <v>1.5713999999999999</v>
      </c>
      <c r="CK208" s="228">
        <v>433</v>
      </c>
      <c r="CL208" s="228">
        <v>357</v>
      </c>
      <c r="CM208" s="228">
        <v>76</v>
      </c>
      <c r="CN208" s="229">
        <v>0.21260000000000001</v>
      </c>
      <c r="CO208" s="230">
        <v>1225</v>
      </c>
      <c r="CP208" s="228">
        <v>959</v>
      </c>
      <c r="CQ208" s="228">
        <v>266</v>
      </c>
      <c r="CR208" s="229">
        <v>0.2777</v>
      </c>
      <c r="CS208" s="228">
        <v>741</v>
      </c>
      <c r="CT208" s="228">
        <v>702</v>
      </c>
      <c r="CU208" s="228">
        <v>39</v>
      </c>
      <c r="CV208" s="229">
        <v>5.5199999999999999E-2</v>
      </c>
      <c r="CW208" s="230">
        <v>5293</v>
      </c>
      <c r="CX208" s="230">
        <v>4812</v>
      </c>
      <c r="CY208" s="228">
        <v>481</v>
      </c>
      <c r="CZ208" s="229">
        <v>9.9900000000000003E-2</v>
      </c>
      <c r="DA208" s="228">
        <v>28.88</v>
      </c>
      <c r="DB208" s="228">
        <v>29.87</v>
      </c>
      <c r="DC208" s="228">
        <v>-0.99</v>
      </c>
      <c r="DD208" s="228">
        <v>-0.99</v>
      </c>
      <c r="DE208" s="228">
        <v>29.93</v>
      </c>
      <c r="DF208" s="228">
        <v>30</v>
      </c>
      <c r="DG208" s="228">
        <v>-1.05</v>
      </c>
      <c r="DH208" s="228">
        <v>-7.0000000000000007E-2</v>
      </c>
      <c r="DI208" s="228">
        <v>28.92</v>
      </c>
      <c r="DJ208" s="228">
        <v>28.56</v>
      </c>
      <c r="DK208" s="228">
        <v>0.36</v>
      </c>
      <c r="DL208" s="228">
        <v>0.36</v>
      </c>
      <c r="DM208" s="228">
        <v>28.73</v>
      </c>
      <c r="DN208" s="228">
        <v>32.270000000000003</v>
      </c>
      <c r="DO208" s="228">
        <v>-3.54</v>
      </c>
      <c r="DP208" s="228">
        <v>-3.54</v>
      </c>
      <c r="DQ208" s="228">
        <v>0.6</v>
      </c>
      <c r="DR208" s="228">
        <v>0.73</v>
      </c>
      <c r="DS208" s="228">
        <v>-0.13</v>
      </c>
      <c r="DT208" s="229">
        <v>-0.17810000000000001</v>
      </c>
      <c r="DU208" s="231">
        <v>12500</v>
      </c>
      <c r="DV208" s="231">
        <v>12000</v>
      </c>
      <c r="DW208" s="228">
        <v>0.9</v>
      </c>
      <c r="DX208" s="228">
        <v>0.54</v>
      </c>
      <c r="DY208" s="228">
        <v>0.36</v>
      </c>
      <c r="DZ208" s="229">
        <v>0.66669999999999996</v>
      </c>
      <c r="EA208" s="229">
        <v>0.51019999999999999</v>
      </c>
      <c r="EB208" s="230">
        <v>697050</v>
      </c>
      <c r="EC208" s="229">
        <v>5.1999999999999998E-3</v>
      </c>
      <c r="ED208" s="229">
        <v>0.51019999999999999</v>
      </c>
      <c r="EE208" s="228">
        <v>63.08</v>
      </c>
      <c r="EF208" s="229">
        <v>5.1999999999999998E-3</v>
      </c>
      <c r="EG208" s="230">
        <v>124066</v>
      </c>
      <c r="EH208" s="230">
        <v>281249</v>
      </c>
      <c r="EI208" s="229">
        <v>-0.55889999999999995</v>
      </c>
      <c r="EJ208" s="229">
        <v>0.51029999999999998</v>
      </c>
      <c r="EK208" s="231">
        <v>1890.92</v>
      </c>
      <c r="EL208" s="231">
        <v>1516.8</v>
      </c>
      <c r="EM208" s="231">
        <v>2125.89</v>
      </c>
      <c r="EN208" s="228">
        <v>84.28</v>
      </c>
      <c r="EO208" s="231">
        <v>5533.61</v>
      </c>
      <c r="EP208" s="231">
        <v>3416.66</v>
      </c>
      <c r="EQ208" s="231">
        <v>2116.94</v>
      </c>
      <c r="ER208" s="229">
        <v>0.61960000000000004</v>
      </c>
      <c r="ES208" s="231">
        <v>1222.94</v>
      </c>
      <c r="ET208" s="228">
        <v>681.47</v>
      </c>
      <c r="EU208" s="231">
        <v>3338.24</v>
      </c>
      <c r="EV208" s="231">
        <v>12994504</v>
      </c>
      <c r="EW208" s="231">
        <v>5242.6400000000003</v>
      </c>
      <c r="EX208" s="231">
        <v>4750.72</v>
      </c>
      <c r="EY208" s="228">
        <v>491.92</v>
      </c>
      <c r="EZ208" s="229">
        <v>0.10349999999999999</v>
      </c>
      <c r="FA208" s="229">
        <v>0.33450000000000002</v>
      </c>
      <c r="FB208" s="227" t="s">
        <v>555</v>
      </c>
      <c r="FC208">
        <f t="shared" si="4"/>
        <v>0</v>
      </c>
    </row>
    <row r="209" spans="1:159" ht="17.25" thickBot="1" x14ac:dyDescent="0.3">
      <c r="A209" s="226">
        <v>46135</v>
      </c>
      <c r="B209" s="227" t="s">
        <v>172</v>
      </c>
      <c r="C209" s="227" t="s">
        <v>592</v>
      </c>
      <c r="D209" s="228">
        <v>4425</v>
      </c>
      <c r="E209" s="228">
        <v>5</v>
      </c>
      <c r="F209" s="228">
        <v>179.4</v>
      </c>
      <c r="G209" s="228">
        <v>193.31</v>
      </c>
      <c r="H209" s="228">
        <v>-13.91</v>
      </c>
      <c r="I209" s="229">
        <v>-7.1999999999999995E-2</v>
      </c>
      <c r="J209" s="228">
        <v>179.71</v>
      </c>
      <c r="K209" s="228">
        <v>194.05</v>
      </c>
      <c r="L209" s="228">
        <v>-14.34</v>
      </c>
      <c r="M209" s="229">
        <v>-7.3899999999999993E-2</v>
      </c>
      <c r="N209" s="228">
        <v>179.4</v>
      </c>
      <c r="O209" s="228">
        <v>193.31</v>
      </c>
      <c r="P209" s="228">
        <v>-13.91</v>
      </c>
      <c r="Q209" s="229">
        <v>-7.1999999999999995E-2</v>
      </c>
      <c r="R209" s="228">
        <v>177.62</v>
      </c>
      <c r="S209" s="228">
        <v>192.16</v>
      </c>
      <c r="T209" s="228">
        <v>-14.54</v>
      </c>
      <c r="U209" s="229">
        <v>-7.5700000000000003E-2</v>
      </c>
      <c r="V209" s="228">
        <v>176.89</v>
      </c>
      <c r="W209" s="228">
        <v>191.77</v>
      </c>
      <c r="X209" s="228">
        <v>-14.88</v>
      </c>
      <c r="Y209" s="229">
        <v>-7.7600000000000002E-2</v>
      </c>
      <c r="Z209" s="228">
        <v>-0.31</v>
      </c>
      <c r="AA209" s="228">
        <v>-0.74</v>
      </c>
      <c r="AB209" s="228">
        <v>0.43</v>
      </c>
      <c r="AC209" s="229">
        <v>-1.6999999999999999E-3</v>
      </c>
      <c r="AD209" s="228">
        <v>-0.31</v>
      </c>
      <c r="AE209" s="228">
        <v>-0.74</v>
      </c>
      <c r="AF209" s="228">
        <v>0.43</v>
      </c>
      <c r="AG209" s="229">
        <v>-1.6999999999999999E-3</v>
      </c>
      <c r="AH209" s="228">
        <v>-2.09</v>
      </c>
      <c r="AI209" s="228">
        <v>-1.89</v>
      </c>
      <c r="AJ209" s="228">
        <v>-0.2</v>
      </c>
      <c r="AK209" s="229">
        <v>-1.1599999999999999E-2</v>
      </c>
      <c r="AL209" s="228">
        <v>-2.82</v>
      </c>
      <c r="AM209" s="228">
        <v>-2.2799999999999998</v>
      </c>
      <c r="AN209" s="228">
        <v>-0.54</v>
      </c>
      <c r="AO209" s="229">
        <v>-1.5699999999999999E-2</v>
      </c>
      <c r="AP209" s="228">
        <v>185.04</v>
      </c>
      <c r="AQ209" s="228">
        <v>182.29</v>
      </c>
      <c r="AR209" s="228">
        <v>0</v>
      </c>
      <c r="AS209" s="230">
        <v>3849</v>
      </c>
      <c r="AT209" s="228">
        <v>851</v>
      </c>
      <c r="AU209" s="230">
        <v>2998</v>
      </c>
      <c r="AV209" s="229">
        <v>3.5253999999999999</v>
      </c>
      <c r="AW209" s="230">
        <v>1913</v>
      </c>
      <c r="AX209" s="228">
        <v>570</v>
      </c>
      <c r="AY209" s="230">
        <v>1343</v>
      </c>
      <c r="AZ209" s="229">
        <v>2.3567999999999998</v>
      </c>
      <c r="BA209" s="230">
        <v>1896</v>
      </c>
      <c r="BB209" s="228">
        <v>270</v>
      </c>
      <c r="BC209" s="230">
        <v>1626</v>
      </c>
      <c r="BD209" s="229">
        <v>6.0209000000000001</v>
      </c>
      <c r="BE209" s="228">
        <v>40</v>
      </c>
      <c r="BF209" s="228">
        <v>10</v>
      </c>
      <c r="BG209" s="228">
        <v>29</v>
      </c>
      <c r="BH209" s="229">
        <v>2.7726999999999999</v>
      </c>
      <c r="BI209" s="230">
        <v>6934</v>
      </c>
      <c r="BJ209" s="230">
        <v>2263</v>
      </c>
      <c r="BK209" s="230">
        <v>4671</v>
      </c>
      <c r="BL209" s="229">
        <v>2.0642</v>
      </c>
      <c r="BM209" s="230">
        <v>4529</v>
      </c>
      <c r="BN209" s="230">
        <v>1134</v>
      </c>
      <c r="BO209" s="230">
        <v>3395</v>
      </c>
      <c r="BP209" s="229">
        <v>2.9927999999999999</v>
      </c>
      <c r="BQ209" s="230">
        <v>15312</v>
      </c>
      <c r="BR209" s="230">
        <v>4248</v>
      </c>
      <c r="BS209" s="230">
        <v>11064</v>
      </c>
      <c r="BT209" s="229">
        <v>2.6048</v>
      </c>
      <c r="BU209" s="230">
        <v>67626945</v>
      </c>
      <c r="BV209" s="230">
        <v>23462856</v>
      </c>
      <c r="BW209" s="230">
        <v>44164089</v>
      </c>
      <c r="BX209" s="229">
        <v>1.8823000000000001</v>
      </c>
      <c r="BY209" s="230">
        <v>2375</v>
      </c>
      <c r="BZ209" s="230">
        <v>2340</v>
      </c>
      <c r="CA209" s="228">
        <v>35</v>
      </c>
      <c r="CB209" s="229">
        <v>1.5100000000000001E-2</v>
      </c>
      <c r="CC209" s="230">
        <v>1155</v>
      </c>
      <c r="CD209" s="230">
        <v>1853</v>
      </c>
      <c r="CE209" s="228">
        <v>-698</v>
      </c>
      <c r="CF209" s="229">
        <v>-0.37669999999999998</v>
      </c>
      <c r="CG209" s="230">
        <v>1187</v>
      </c>
      <c r="CH209" s="228">
        <v>469</v>
      </c>
      <c r="CI209" s="228">
        <v>718</v>
      </c>
      <c r="CJ209" s="229">
        <v>1.5327</v>
      </c>
      <c r="CK209" s="228">
        <v>34</v>
      </c>
      <c r="CL209" s="228">
        <v>19</v>
      </c>
      <c r="CM209" s="228">
        <v>15</v>
      </c>
      <c r="CN209" s="229">
        <v>0.80510000000000004</v>
      </c>
      <c r="CO209" s="230">
        <v>1252</v>
      </c>
      <c r="CP209" s="228">
        <v>815</v>
      </c>
      <c r="CQ209" s="228">
        <v>437</v>
      </c>
      <c r="CR209" s="229">
        <v>0.53649999999999998</v>
      </c>
      <c r="CS209" s="228">
        <v>724</v>
      </c>
      <c r="CT209" s="228">
        <v>597</v>
      </c>
      <c r="CU209" s="228">
        <v>127</v>
      </c>
      <c r="CV209" s="229">
        <v>0.2132</v>
      </c>
      <c r="CW209" s="230">
        <v>4352</v>
      </c>
      <c r="CX209" s="230">
        <v>3752</v>
      </c>
      <c r="CY209" s="228">
        <v>600</v>
      </c>
      <c r="CZ209" s="229">
        <v>0.15989999999999999</v>
      </c>
      <c r="DA209" s="228">
        <v>41.83</v>
      </c>
      <c r="DB209" s="228">
        <v>49.94</v>
      </c>
      <c r="DC209" s="228">
        <v>-8.11</v>
      </c>
      <c r="DD209" s="228">
        <v>-8.11</v>
      </c>
      <c r="DE209" s="228">
        <v>44.85</v>
      </c>
      <c r="DF209" s="228">
        <v>43.81</v>
      </c>
      <c r="DG209" s="228">
        <v>-3.02</v>
      </c>
      <c r="DH209" s="228">
        <v>1.04</v>
      </c>
      <c r="DI209" s="228">
        <v>42.03</v>
      </c>
      <c r="DJ209" s="228">
        <v>49.27</v>
      </c>
      <c r="DK209" s="228">
        <v>-7.24</v>
      </c>
      <c r="DL209" s="228">
        <v>-7.24</v>
      </c>
      <c r="DM209" s="228">
        <v>41.28</v>
      </c>
      <c r="DN209" s="228">
        <v>51.27</v>
      </c>
      <c r="DO209" s="228">
        <v>-9.99</v>
      </c>
      <c r="DP209" s="228">
        <v>-9.99</v>
      </c>
      <c r="DQ209" s="228">
        <v>0.57999999999999996</v>
      </c>
      <c r="DR209" s="228">
        <v>0.73</v>
      </c>
      <c r="DS209" s="228">
        <v>-0.15</v>
      </c>
      <c r="DT209" s="229">
        <v>-0.20549999999999999</v>
      </c>
      <c r="DU209" s="228">
        <v>200</v>
      </c>
      <c r="DV209" s="228">
        <v>170</v>
      </c>
      <c r="DW209" s="228">
        <v>0.65</v>
      </c>
      <c r="DX209" s="228">
        <v>0.5</v>
      </c>
      <c r="DY209" s="228">
        <v>0.15</v>
      </c>
      <c r="DZ209" s="229">
        <v>0.3</v>
      </c>
      <c r="EA209" s="229">
        <v>0.51390000000000002</v>
      </c>
      <c r="EB209" s="230">
        <v>27160650</v>
      </c>
      <c r="EC209" s="229">
        <v>-9.9000000000000008E-3</v>
      </c>
      <c r="ED209" s="229">
        <v>0.51390000000000002</v>
      </c>
      <c r="EE209" s="228">
        <v>-2.75</v>
      </c>
      <c r="EF209" s="229">
        <v>-1.49E-2</v>
      </c>
      <c r="EG209" s="230">
        <v>18040658</v>
      </c>
      <c r="EH209" s="230">
        <v>9869648</v>
      </c>
      <c r="EI209" s="229">
        <v>0.82789999999999997</v>
      </c>
      <c r="EJ209" s="229">
        <v>0.26679999999999998</v>
      </c>
      <c r="EK209" s="231">
        <v>7606.3</v>
      </c>
      <c r="EL209" s="231">
        <v>4609.5600000000004</v>
      </c>
      <c r="EM209" s="231">
        <v>3939.95</v>
      </c>
      <c r="EN209" s="228">
        <v>62.43</v>
      </c>
      <c r="EO209" s="231">
        <v>16155.82</v>
      </c>
      <c r="EP209" s="231">
        <v>4695.49</v>
      </c>
      <c r="EQ209" s="231">
        <v>11460.33</v>
      </c>
      <c r="ER209" s="229">
        <v>2.4407000000000001</v>
      </c>
      <c r="ES209" s="231">
        <v>1351.05</v>
      </c>
      <c r="ET209" s="228">
        <v>712.36</v>
      </c>
      <c r="EU209" s="231">
        <v>2362.86</v>
      </c>
      <c r="EV209" s="231">
        <v>289041713</v>
      </c>
      <c r="EW209" s="231">
        <v>4426.2700000000004</v>
      </c>
      <c r="EX209" s="231">
        <v>4007.41</v>
      </c>
      <c r="EY209" s="228">
        <v>418.86</v>
      </c>
      <c r="EZ209" s="229">
        <v>0.1045</v>
      </c>
      <c r="FA209" s="229">
        <v>0.83919999999999995</v>
      </c>
      <c r="FB209" s="227" t="s">
        <v>566</v>
      </c>
      <c r="FC209">
        <f t="shared" si="4"/>
        <v>0</v>
      </c>
    </row>
    <row r="210" spans="1:159" ht="17.25" thickBot="1" x14ac:dyDescent="0.3">
      <c r="A210" s="226">
        <v>46135</v>
      </c>
      <c r="B210" s="227" t="s">
        <v>168</v>
      </c>
      <c r="C210" s="227" t="s">
        <v>568</v>
      </c>
      <c r="D210" s="228">
        <v>400</v>
      </c>
      <c r="E210" s="228">
        <v>5</v>
      </c>
      <c r="F210" s="231">
        <v>1380.5</v>
      </c>
      <c r="G210" s="231">
        <v>1390.4</v>
      </c>
      <c r="H210" s="228">
        <v>-9.9</v>
      </c>
      <c r="I210" s="229">
        <v>-7.1000000000000004E-3</v>
      </c>
      <c r="J210" s="231">
        <v>1382.3</v>
      </c>
      <c r="K210" s="231">
        <v>1392.8</v>
      </c>
      <c r="L210" s="228">
        <v>-10.5</v>
      </c>
      <c r="M210" s="229">
        <v>-7.4999999999999997E-3</v>
      </c>
      <c r="N210" s="231">
        <v>1380.5</v>
      </c>
      <c r="O210" s="231">
        <v>1390.4</v>
      </c>
      <c r="P210" s="228">
        <v>-9.9</v>
      </c>
      <c r="Q210" s="229">
        <v>-7.1000000000000004E-3</v>
      </c>
      <c r="R210" s="231">
        <v>1387.8</v>
      </c>
      <c r="S210" s="231">
        <v>1397.6</v>
      </c>
      <c r="T210" s="228">
        <v>-9.8000000000000007</v>
      </c>
      <c r="U210" s="229">
        <v>-7.0000000000000001E-3</v>
      </c>
      <c r="V210" s="231">
        <v>1395.8</v>
      </c>
      <c r="W210" s="231">
        <v>1406.8</v>
      </c>
      <c r="X210" s="228">
        <v>-11</v>
      </c>
      <c r="Y210" s="229">
        <v>-7.7999999999999996E-3</v>
      </c>
      <c r="Z210" s="228">
        <v>-1.8</v>
      </c>
      <c r="AA210" s="228">
        <v>-2.4</v>
      </c>
      <c r="AB210" s="228">
        <v>0.6</v>
      </c>
      <c r="AC210" s="229">
        <v>-1.2999999999999999E-3</v>
      </c>
      <c r="AD210" s="228">
        <v>-1.8</v>
      </c>
      <c r="AE210" s="228">
        <v>-2.4</v>
      </c>
      <c r="AF210" s="228">
        <v>0.6</v>
      </c>
      <c r="AG210" s="229">
        <v>-1.2999999999999999E-3</v>
      </c>
      <c r="AH210" s="228">
        <v>5.5</v>
      </c>
      <c r="AI210" s="228">
        <v>4.8</v>
      </c>
      <c r="AJ210" s="228">
        <v>0.7</v>
      </c>
      <c r="AK210" s="229">
        <v>4.0000000000000001E-3</v>
      </c>
      <c r="AL210" s="228">
        <v>13.5</v>
      </c>
      <c r="AM210" s="228">
        <v>14</v>
      </c>
      <c r="AN210" s="228">
        <v>-0.5</v>
      </c>
      <c r="AO210" s="229">
        <v>9.7999999999999997E-3</v>
      </c>
      <c r="AP210" s="231">
        <v>1383.28</v>
      </c>
      <c r="AQ210" s="231">
        <v>1390.64</v>
      </c>
      <c r="AR210" s="228">
        <v>0</v>
      </c>
      <c r="AS210" s="228">
        <v>982</v>
      </c>
      <c r="AT210" s="228">
        <v>479</v>
      </c>
      <c r="AU210" s="228">
        <v>503</v>
      </c>
      <c r="AV210" s="229">
        <v>1.0484</v>
      </c>
      <c r="AW210" s="228">
        <v>503</v>
      </c>
      <c r="AX210" s="228">
        <v>335</v>
      </c>
      <c r="AY210" s="228">
        <v>168</v>
      </c>
      <c r="AZ210" s="229">
        <v>0.49990000000000001</v>
      </c>
      <c r="BA210" s="228">
        <v>477</v>
      </c>
      <c r="BB210" s="228">
        <v>87</v>
      </c>
      <c r="BC210" s="228">
        <v>390</v>
      </c>
      <c r="BD210" s="229">
        <v>4.5025000000000004</v>
      </c>
      <c r="BE210" s="228">
        <v>2</v>
      </c>
      <c r="BF210" s="228">
        <v>57</v>
      </c>
      <c r="BG210" s="228">
        <v>-55</v>
      </c>
      <c r="BH210" s="229">
        <v>-0.96630000000000005</v>
      </c>
      <c r="BI210" s="228">
        <v>367</v>
      </c>
      <c r="BJ210" s="230">
        <v>1355</v>
      </c>
      <c r="BK210" s="228">
        <v>-988</v>
      </c>
      <c r="BL210" s="229">
        <v>-0.72899999999999998</v>
      </c>
      <c r="BM210" s="228">
        <v>192</v>
      </c>
      <c r="BN210" s="228">
        <v>713</v>
      </c>
      <c r="BO210" s="228">
        <v>-520</v>
      </c>
      <c r="BP210" s="229">
        <v>-0.73</v>
      </c>
      <c r="BQ210" s="230">
        <v>1541</v>
      </c>
      <c r="BR210" s="230">
        <v>2547</v>
      </c>
      <c r="BS210" s="230">
        <v>-1005</v>
      </c>
      <c r="BT210" s="229">
        <v>-0.39479999999999998</v>
      </c>
      <c r="BU210" s="230">
        <v>1038337</v>
      </c>
      <c r="BV210" s="230">
        <v>1896425</v>
      </c>
      <c r="BW210" s="230">
        <v>-858088</v>
      </c>
      <c r="BX210" s="229">
        <v>-0.45250000000000001</v>
      </c>
      <c r="BY210" s="230">
        <v>1548</v>
      </c>
      <c r="BZ210" s="230">
        <v>1589</v>
      </c>
      <c r="CA210" s="228">
        <v>-40</v>
      </c>
      <c r="CB210" s="229">
        <v>-2.5399999999999999E-2</v>
      </c>
      <c r="CC210" s="228">
        <v>901</v>
      </c>
      <c r="CD210" s="230">
        <v>1347</v>
      </c>
      <c r="CE210" s="228">
        <v>-446</v>
      </c>
      <c r="CF210" s="229">
        <v>-0.33090000000000003</v>
      </c>
      <c r="CG210" s="228">
        <v>586</v>
      </c>
      <c r="CH210" s="228">
        <v>181</v>
      </c>
      <c r="CI210" s="228">
        <v>405</v>
      </c>
      <c r="CJ210" s="229">
        <v>2.2395</v>
      </c>
      <c r="CK210" s="228">
        <v>61</v>
      </c>
      <c r="CL210" s="228">
        <v>61</v>
      </c>
      <c r="CM210" s="228">
        <v>0</v>
      </c>
      <c r="CN210" s="229">
        <v>7.3000000000000001E-3</v>
      </c>
      <c r="CO210" s="228">
        <v>539</v>
      </c>
      <c r="CP210" s="228">
        <v>548</v>
      </c>
      <c r="CQ210" s="228">
        <v>-9</v>
      </c>
      <c r="CR210" s="229">
        <v>-1.5699999999999999E-2</v>
      </c>
      <c r="CS210" s="228">
        <v>503</v>
      </c>
      <c r="CT210" s="228">
        <v>495</v>
      </c>
      <c r="CU210" s="228">
        <v>8</v>
      </c>
      <c r="CV210" s="229">
        <v>1.7000000000000001E-2</v>
      </c>
      <c r="CW210" s="230">
        <v>2590</v>
      </c>
      <c r="CX210" s="230">
        <v>2631</v>
      </c>
      <c r="CY210" s="228">
        <v>-41</v>
      </c>
      <c r="CZ210" s="229">
        <v>-1.54E-2</v>
      </c>
      <c r="DA210" s="228">
        <v>27.28</v>
      </c>
      <c r="DB210" s="228">
        <v>27.67</v>
      </c>
      <c r="DC210" s="228">
        <v>-0.39</v>
      </c>
      <c r="DD210" s="228">
        <v>-0.39</v>
      </c>
      <c r="DE210" s="228">
        <v>30.45</v>
      </c>
      <c r="DF210" s="228">
        <v>30.51</v>
      </c>
      <c r="DG210" s="228">
        <v>-3.17</v>
      </c>
      <c r="DH210" s="228">
        <v>-0.06</v>
      </c>
      <c r="DI210" s="228">
        <v>26.93</v>
      </c>
      <c r="DJ210" s="228">
        <v>26.36</v>
      </c>
      <c r="DK210" s="228">
        <v>0.56999999999999995</v>
      </c>
      <c r="DL210" s="228">
        <v>0.56999999999999995</v>
      </c>
      <c r="DM210" s="228">
        <v>28.23</v>
      </c>
      <c r="DN210" s="228">
        <v>30.17</v>
      </c>
      <c r="DO210" s="228">
        <v>-1.94</v>
      </c>
      <c r="DP210" s="228">
        <v>-1.94</v>
      </c>
      <c r="DQ210" s="228">
        <v>0.93</v>
      </c>
      <c r="DR210" s="228">
        <v>0.9</v>
      </c>
      <c r="DS210" s="228">
        <v>0.03</v>
      </c>
      <c r="DT210" s="229">
        <v>3.3300000000000003E-2</v>
      </c>
      <c r="DU210" s="231">
        <v>1400</v>
      </c>
      <c r="DV210" s="231">
        <v>1230</v>
      </c>
      <c r="DW210" s="228">
        <v>0.52</v>
      </c>
      <c r="DX210" s="228">
        <v>0.53</v>
      </c>
      <c r="DY210" s="228">
        <v>-0.01</v>
      </c>
      <c r="DZ210" s="229">
        <v>-1.89E-2</v>
      </c>
      <c r="EA210" s="229">
        <v>0.4178</v>
      </c>
      <c r="EB210" s="230">
        <v>1750000</v>
      </c>
      <c r="EC210" s="229">
        <v>5.3E-3</v>
      </c>
      <c r="ED210" s="229">
        <v>0.4178</v>
      </c>
      <c r="EE210" s="228">
        <v>7.36</v>
      </c>
      <c r="EF210" s="229">
        <v>5.3E-3</v>
      </c>
      <c r="EG210" s="230">
        <v>602316</v>
      </c>
      <c r="EH210" s="230">
        <v>1107033</v>
      </c>
      <c r="EI210" s="229">
        <v>-0.45590000000000003</v>
      </c>
      <c r="EJ210" s="229">
        <v>0.58009999999999995</v>
      </c>
      <c r="EK210" s="228">
        <v>379.6</v>
      </c>
      <c r="EL210" s="228">
        <v>187.6</v>
      </c>
      <c r="EM210" s="228">
        <v>986.35</v>
      </c>
      <c r="EN210" s="228">
        <v>66.38</v>
      </c>
      <c r="EO210" s="231">
        <v>1553.55</v>
      </c>
      <c r="EP210" s="231">
        <v>2571.86</v>
      </c>
      <c r="EQ210" s="231">
        <v>-1018.31</v>
      </c>
      <c r="ER210" s="229">
        <v>-0.39589999999999997</v>
      </c>
      <c r="ES210" s="228">
        <v>532.83000000000004</v>
      </c>
      <c r="ET210" s="228">
        <v>476.26</v>
      </c>
      <c r="EU210" s="231">
        <v>1552.03</v>
      </c>
      <c r="EV210" s="231">
        <v>38847259</v>
      </c>
      <c r="EW210" s="231">
        <v>2561.13</v>
      </c>
      <c r="EX210" s="231">
        <v>2611.25</v>
      </c>
      <c r="EY210" s="228">
        <v>-50.12</v>
      </c>
      <c r="EZ210" s="229">
        <v>-1.9199999999999998E-2</v>
      </c>
      <c r="FA210" s="229">
        <v>0.48299999999999998</v>
      </c>
      <c r="FB210" s="227" t="s">
        <v>567</v>
      </c>
      <c r="FC210">
        <f t="shared" si="4"/>
        <v>0</v>
      </c>
    </row>
    <row r="211" spans="1:159" ht="17.25" thickBot="1" x14ac:dyDescent="0.3">
      <c r="A211" s="226">
        <v>46135</v>
      </c>
      <c r="B211" s="227" t="s">
        <v>162</v>
      </c>
      <c r="C211" s="227" t="s">
        <v>672</v>
      </c>
      <c r="D211" s="228">
        <v>550</v>
      </c>
      <c r="E211" s="228">
        <v>5</v>
      </c>
      <c r="F211" s="231">
        <v>1131</v>
      </c>
      <c r="G211" s="231">
        <v>1149.9000000000001</v>
      </c>
      <c r="H211" s="228">
        <v>-18.899999999999999</v>
      </c>
      <c r="I211" s="229">
        <v>-1.6400000000000001E-2</v>
      </c>
      <c r="J211" s="231">
        <v>1130.0999999999999</v>
      </c>
      <c r="K211" s="231">
        <v>1151.3</v>
      </c>
      <c r="L211" s="228">
        <v>-21.2</v>
      </c>
      <c r="M211" s="229">
        <v>-1.84E-2</v>
      </c>
      <c r="N211" s="231">
        <v>1131</v>
      </c>
      <c r="O211" s="231">
        <v>1149.9000000000001</v>
      </c>
      <c r="P211" s="228">
        <v>-18.899999999999999</v>
      </c>
      <c r="Q211" s="229">
        <v>-1.6400000000000001E-2</v>
      </c>
      <c r="R211" s="231">
        <v>1137.3</v>
      </c>
      <c r="S211" s="231">
        <v>1155.5999999999999</v>
      </c>
      <c r="T211" s="228">
        <v>-18.3</v>
      </c>
      <c r="U211" s="229">
        <v>-1.5800000000000002E-2</v>
      </c>
      <c r="V211" s="231">
        <v>1150</v>
      </c>
      <c r="W211" s="231">
        <v>1158.9000000000001</v>
      </c>
      <c r="X211" s="228">
        <v>-8.9</v>
      </c>
      <c r="Y211" s="229">
        <v>-7.7000000000000002E-3</v>
      </c>
      <c r="Z211" s="228">
        <v>0.9</v>
      </c>
      <c r="AA211" s="228">
        <v>-1.4</v>
      </c>
      <c r="AB211" s="228">
        <v>2.2999999999999998</v>
      </c>
      <c r="AC211" s="229">
        <v>8.0000000000000004E-4</v>
      </c>
      <c r="AD211" s="228">
        <v>0.9</v>
      </c>
      <c r="AE211" s="228">
        <v>-1.4</v>
      </c>
      <c r="AF211" s="228">
        <v>2.2999999999999998</v>
      </c>
      <c r="AG211" s="229">
        <v>8.0000000000000004E-4</v>
      </c>
      <c r="AH211" s="228">
        <v>7.2</v>
      </c>
      <c r="AI211" s="228">
        <v>4.3</v>
      </c>
      <c r="AJ211" s="228">
        <v>2.9</v>
      </c>
      <c r="AK211" s="229">
        <v>6.4000000000000003E-3</v>
      </c>
      <c r="AL211" s="228">
        <v>19.899999999999999</v>
      </c>
      <c r="AM211" s="228">
        <v>7.6</v>
      </c>
      <c r="AN211" s="228">
        <v>12.3</v>
      </c>
      <c r="AO211" s="229">
        <v>1.7600000000000001E-2</v>
      </c>
      <c r="AP211" s="231">
        <v>1135.69</v>
      </c>
      <c r="AQ211" s="231">
        <v>1142.05</v>
      </c>
      <c r="AR211" s="228">
        <v>0</v>
      </c>
      <c r="AS211" s="228">
        <v>435</v>
      </c>
      <c r="AT211" s="228">
        <v>76</v>
      </c>
      <c r="AU211" s="228">
        <v>359</v>
      </c>
      <c r="AV211" s="229">
        <v>4.7232000000000003</v>
      </c>
      <c r="AW211" s="228">
        <v>227</v>
      </c>
      <c r="AX211" s="228">
        <v>54</v>
      </c>
      <c r="AY211" s="228">
        <v>173</v>
      </c>
      <c r="AZ211" s="229">
        <v>3.1953999999999998</v>
      </c>
      <c r="BA211" s="228">
        <v>208</v>
      </c>
      <c r="BB211" s="228">
        <v>22</v>
      </c>
      <c r="BC211" s="228">
        <v>186</v>
      </c>
      <c r="BD211" s="229">
        <v>8.6166999999999998</v>
      </c>
      <c r="BE211" s="228">
        <v>0</v>
      </c>
      <c r="BF211" s="228">
        <v>0</v>
      </c>
      <c r="BG211" s="228">
        <v>0</v>
      </c>
      <c r="BH211" s="229">
        <v>-0.75</v>
      </c>
      <c r="BI211" s="228">
        <v>163</v>
      </c>
      <c r="BJ211" s="228">
        <v>184</v>
      </c>
      <c r="BK211" s="228">
        <v>-21</v>
      </c>
      <c r="BL211" s="229">
        <v>-0.1154</v>
      </c>
      <c r="BM211" s="228">
        <v>70</v>
      </c>
      <c r="BN211" s="228">
        <v>48</v>
      </c>
      <c r="BO211" s="228">
        <v>22</v>
      </c>
      <c r="BP211" s="229">
        <v>0.46800000000000003</v>
      </c>
      <c r="BQ211" s="228">
        <v>668</v>
      </c>
      <c r="BR211" s="228">
        <v>308</v>
      </c>
      <c r="BS211" s="228">
        <v>360</v>
      </c>
      <c r="BT211" s="229">
        <v>1.1685000000000001</v>
      </c>
      <c r="BU211" s="230">
        <v>786892</v>
      </c>
      <c r="BV211" s="230">
        <v>1227559</v>
      </c>
      <c r="BW211" s="230">
        <v>-440667</v>
      </c>
      <c r="BX211" s="229">
        <v>-0.35899999999999999</v>
      </c>
      <c r="BY211" s="228">
        <v>495</v>
      </c>
      <c r="BZ211" s="228">
        <v>505</v>
      </c>
      <c r="CA211" s="228">
        <v>-11</v>
      </c>
      <c r="CB211" s="229">
        <v>-2.0799999999999999E-2</v>
      </c>
      <c r="CC211" s="228">
        <v>271</v>
      </c>
      <c r="CD211" s="228">
        <v>469</v>
      </c>
      <c r="CE211" s="228">
        <v>-198</v>
      </c>
      <c r="CF211" s="229">
        <v>-0.4214</v>
      </c>
      <c r="CG211" s="228">
        <v>222</v>
      </c>
      <c r="CH211" s="228">
        <v>35</v>
      </c>
      <c r="CI211" s="228">
        <v>187</v>
      </c>
      <c r="CJ211" s="229">
        <v>5.3410000000000002</v>
      </c>
      <c r="CK211" s="228">
        <v>1</v>
      </c>
      <c r="CL211" s="228">
        <v>1</v>
      </c>
      <c r="CM211" s="228">
        <v>0</v>
      </c>
      <c r="CN211" s="229">
        <v>0.05</v>
      </c>
      <c r="CO211" s="228">
        <v>191</v>
      </c>
      <c r="CP211" s="228">
        <v>206</v>
      </c>
      <c r="CQ211" s="228">
        <v>-15</v>
      </c>
      <c r="CR211" s="229">
        <v>-7.3999999999999996E-2</v>
      </c>
      <c r="CS211" s="228">
        <v>96</v>
      </c>
      <c r="CT211" s="228">
        <v>104</v>
      </c>
      <c r="CU211" s="228">
        <v>-8</v>
      </c>
      <c r="CV211" s="229">
        <v>-7.7799999999999994E-2</v>
      </c>
      <c r="CW211" s="228">
        <v>781</v>
      </c>
      <c r="CX211" s="228">
        <v>815</v>
      </c>
      <c r="CY211" s="228">
        <v>-34</v>
      </c>
      <c r="CZ211" s="229">
        <v>-4.1500000000000002E-2</v>
      </c>
      <c r="DA211" s="228">
        <v>35.119999999999997</v>
      </c>
      <c r="DB211" s="228">
        <v>28.99</v>
      </c>
      <c r="DC211" s="228">
        <v>6.13</v>
      </c>
      <c r="DD211" s="228">
        <v>6.13</v>
      </c>
      <c r="DE211" s="228">
        <v>42.82</v>
      </c>
      <c r="DF211" s="228">
        <v>42.87</v>
      </c>
      <c r="DG211" s="228">
        <v>-7.7</v>
      </c>
      <c r="DH211" s="228">
        <v>-0.05</v>
      </c>
      <c r="DI211" s="228">
        <v>34.76</v>
      </c>
      <c r="DJ211" s="228">
        <v>27.19</v>
      </c>
      <c r="DK211" s="228">
        <v>7.57</v>
      </c>
      <c r="DL211" s="228">
        <v>7.57</v>
      </c>
      <c r="DM211" s="228">
        <v>36.5</v>
      </c>
      <c r="DN211" s="228">
        <v>35.97</v>
      </c>
      <c r="DO211" s="228">
        <v>0.53</v>
      </c>
      <c r="DP211" s="228">
        <v>0.53</v>
      </c>
      <c r="DQ211" s="228">
        <v>0.5</v>
      </c>
      <c r="DR211" s="228">
        <v>0.5</v>
      </c>
      <c r="DS211" s="228">
        <v>0</v>
      </c>
      <c r="DT211" s="229">
        <v>0</v>
      </c>
      <c r="DU211" s="231">
        <v>1200</v>
      </c>
      <c r="DV211" s="231">
        <v>1100</v>
      </c>
      <c r="DW211" s="228">
        <v>0.43</v>
      </c>
      <c r="DX211" s="228">
        <v>0.26</v>
      </c>
      <c r="DY211" s="228">
        <v>0.17</v>
      </c>
      <c r="DZ211" s="229">
        <v>0.65380000000000005</v>
      </c>
      <c r="EA211" s="229">
        <v>0.45150000000000001</v>
      </c>
      <c r="EB211" s="230">
        <v>320650</v>
      </c>
      <c r="EC211" s="229">
        <v>5.5999999999999999E-3</v>
      </c>
      <c r="ED211" s="229">
        <v>0.45150000000000001</v>
      </c>
      <c r="EE211" s="228">
        <v>6.36</v>
      </c>
      <c r="EF211" s="229">
        <v>5.5999999999999999E-3</v>
      </c>
      <c r="EG211" s="230">
        <v>455808</v>
      </c>
      <c r="EH211" s="230">
        <v>802359</v>
      </c>
      <c r="EI211" s="229">
        <v>-0.43190000000000001</v>
      </c>
      <c r="EJ211" s="229">
        <v>0.57930000000000004</v>
      </c>
      <c r="EK211" s="228">
        <v>173.64</v>
      </c>
      <c r="EL211" s="228">
        <v>66.89</v>
      </c>
      <c r="EM211" s="228">
        <v>437.66</v>
      </c>
      <c r="EN211" s="228">
        <v>15.37</v>
      </c>
      <c r="EO211" s="228">
        <v>678.19</v>
      </c>
      <c r="EP211" s="228">
        <v>317.63</v>
      </c>
      <c r="EQ211" s="228">
        <v>360.56</v>
      </c>
      <c r="ER211" s="229">
        <v>1.1352</v>
      </c>
      <c r="ES211" s="228">
        <v>197.83</v>
      </c>
      <c r="ET211" s="228">
        <v>91.39</v>
      </c>
      <c r="EU211" s="228">
        <v>495.98</v>
      </c>
      <c r="EV211" s="231">
        <v>27343613</v>
      </c>
      <c r="EW211" s="228">
        <v>785.2</v>
      </c>
      <c r="EX211" s="228">
        <v>826.23</v>
      </c>
      <c r="EY211" s="228">
        <v>-41.03</v>
      </c>
      <c r="EZ211" s="229">
        <v>-4.9700000000000001E-2</v>
      </c>
      <c r="FA211" s="229">
        <v>0.25269999999999998</v>
      </c>
      <c r="FB211" s="227" t="s">
        <v>567</v>
      </c>
      <c r="FC211">
        <f t="shared" si="4"/>
        <v>0</v>
      </c>
    </row>
    <row r="212" spans="1:159" ht="17.25" thickBot="1" x14ac:dyDescent="0.3">
      <c r="A212" s="226">
        <v>46135</v>
      </c>
      <c r="B212" s="227" t="s">
        <v>498</v>
      </c>
      <c r="C212" s="227" t="s">
        <v>303</v>
      </c>
      <c r="D212" s="228">
        <v>1355</v>
      </c>
      <c r="E212" s="228">
        <v>5</v>
      </c>
      <c r="F212" s="228">
        <v>641.65</v>
      </c>
      <c r="G212" s="228">
        <v>655.25</v>
      </c>
      <c r="H212" s="228">
        <v>-13.6</v>
      </c>
      <c r="I212" s="229">
        <v>-2.0799999999999999E-2</v>
      </c>
      <c r="J212" s="228">
        <v>642.04999999999995</v>
      </c>
      <c r="K212" s="228">
        <v>653.85</v>
      </c>
      <c r="L212" s="228">
        <v>-11.8</v>
      </c>
      <c r="M212" s="229">
        <v>-1.7999999999999999E-2</v>
      </c>
      <c r="N212" s="228">
        <v>641.65</v>
      </c>
      <c r="O212" s="228">
        <v>655.25</v>
      </c>
      <c r="P212" s="228">
        <v>-13.6</v>
      </c>
      <c r="Q212" s="229">
        <v>-2.0799999999999999E-2</v>
      </c>
      <c r="R212" s="228">
        <v>645.29999999999995</v>
      </c>
      <c r="S212" s="228">
        <v>658.45</v>
      </c>
      <c r="T212" s="228">
        <v>-13.15</v>
      </c>
      <c r="U212" s="229">
        <v>-0.02</v>
      </c>
      <c r="V212" s="228">
        <v>647.5</v>
      </c>
      <c r="W212" s="228">
        <v>662.2</v>
      </c>
      <c r="X212" s="228">
        <v>-14.7</v>
      </c>
      <c r="Y212" s="229">
        <v>-2.2200000000000001E-2</v>
      </c>
      <c r="Z212" s="228">
        <v>-0.4</v>
      </c>
      <c r="AA212" s="228">
        <v>1.4</v>
      </c>
      <c r="AB212" s="228">
        <v>-1.8</v>
      </c>
      <c r="AC212" s="229">
        <v>-5.9999999999999995E-4</v>
      </c>
      <c r="AD212" s="228">
        <v>-0.4</v>
      </c>
      <c r="AE212" s="228">
        <v>1.4</v>
      </c>
      <c r="AF212" s="228">
        <v>-1.8</v>
      </c>
      <c r="AG212" s="229">
        <v>-5.9999999999999995E-4</v>
      </c>
      <c r="AH212" s="228">
        <v>3.25</v>
      </c>
      <c r="AI212" s="228">
        <v>4.5999999999999996</v>
      </c>
      <c r="AJ212" s="228">
        <v>-1.35</v>
      </c>
      <c r="AK212" s="229">
        <v>5.1000000000000004E-3</v>
      </c>
      <c r="AL212" s="228">
        <v>5.45</v>
      </c>
      <c r="AM212" s="228">
        <v>8.35</v>
      </c>
      <c r="AN212" s="228">
        <v>-2.9</v>
      </c>
      <c r="AO212" s="229">
        <v>8.5000000000000006E-3</v>
      </c>
      <c r="AP212" s="228">
        <v>646.74</v>
      </c>
      <c r="AQ212" s="228">
        <v>650.71</v>
      </c>
      <c r="AR212" s="228">
        <v>0</v>
      </c>
      <c r="AS212" s="230">
        <v>1191</v>
      </c>
      <c r="AT212" s="228">
        <v>343</v>
      </c>
      <c r="AU212" s="228">
        <v>847</v>
      </c>
      <c r="AV212" s="229">
        <v>2.4681999999999999</v>
      </c>
      <c r="AW212" s="228">
        <v>631</v>
      </c>
      <c r="AX212" s="228">
        <v>196</v>
      </c>
      <c r="AY212" s="228">
        <v>435</v>
      </c>
      <c r="AZ212" s="229">
        <v>2.2187000000000001</v>
      </c>
      <c r="BA212" s="228">
        <v>559</v>
      </c>
      <c r="BB212" s="228">
        <v>145</v>
      </c>
      <c r="BC212" s="228">
        <v>414</v>
      </c>
      <c r="BD212" s="229">
        <v>2.8542000000000001</v>
      </c>
      <c r="BE212" s="228">
        <v>1</v>
      </c>
      <c r="BF212" s="228">
        <v>2</v>
      </c>
      <c r="BG212" s="228">
        <v>-1</v>
      </c>
      <c r="BH212" s="229">
        <v>-0.42859999999999998</v>
      </c>
      <c r="BI212" s="228">
        <v>576</v>
      </c>
      <c r="BJ212" s="228">
        <v>436</v>
      </c>
      <c r="BK212" s="228">
        <v>140</v>
      </c>
      <c r="BL212" s="229">
        <v>0.32190000000000002</v>
      </c>
      <c r="BM212" s="228">
        <v>347</v>
      </c>
      <c r="BN212" s="228">
        <v>264</v>
      </c>
      <c r="BO212" s="228">
        <v>83</v>
      </c>
      <c r="BP212" s="229">
        <v>0.31240000000000001</v>
      </c>
      <c r="BQ212" s="230">
        <v>2114</v>
      </c>
      <c r="BR212" s="230">
        <v>1043</v>
      </c>
      <c r="BS212" s="230">
        <v>1070</v>
      </c>
      <c r="BT212" s="229">
        <v>1.0257000000000001</v>
      </c>
      <c r="BU212" s="230">
        <v>2526429</v>
      </c>
      <c r="BV212" s="230">
        <v>1853830</v>
      </c>
      <c r="BW212" s="230">
        <v>672599</v>
      </c>
      <c r="BX212" s="229">
        <v>0.36280000000000001</v>
      </c>
      <c r="BY212" s="230">
        <v>2104</v>
      </c>
      <c r="BZ212" s="230">
        <v>2002</v>
      </c>
      <c r="CA212" s="228">
        <v>101</v>
      </c>
      <c r="CB212" s="229">
        <v>5.0599999999999999E-2</v>
      </c>
      <c r="CC212" s="230">
        <v>1420</v>
      </c>
      <c r="CD212" s="230">
        <v>1791</v>
      </c>
      <c r="CE212" s="228">
        <v>-372</v>
      </c>
      <c r="CF212" s="229">
        <v>-0.20749999999999999</v>
      </c>
      <c r="CG212" s="228">
        <v>679</v>
      </c>
      <c r="CH212" s="228">
        <v>207</v>
      </c>
      <c r="CI212" s="228">
        <v>472</v>
      </c>
      <c r="CJ212" s="229">
        <v>2.2844000000000002</v>
      </c>
      <c r="CK212" s="228">
        <v>5</v>
      </c>
      <c r="CL212" s="228">
        <v>4</v>
      </c>
      <c r="CM212" s="228">
        <v>1</v>
      </c>
      <c r="CN212" s="229">
        <v>0.1961</v>
      </c>
      <c r="CO212" s="228">
        <v>611</v>
      </c>
      <c r="CP212" s="228">
        <v>652</v>
      </c>
      <c r="CQ212" s="228">
        <v>-41</v>
      </c>
      <c r="CR212" s="229">
        <v>-6.2399999999999997E-2</v>
      </c>
      <c r="CS212" s="228">
        <v>473</v>
      </c>
      <c r="CT212" s="228">
        <v>490</v>
      </c>
      <c r="CU212" s="228">
        <v>-17</v>
      </c>
      <c r="CV212" s="229">
        <v>-3.4799999999999998E-2</v>
      </c>
      <c r="CW212" s="230">
        <v>3188</v>
      </c>
      <c r="CX212" s="230">
        <v>3144</v>
      </c>
      <c r="CY212" s="228">
        <v>44</v>
      </c>
      <c r="CZ212" s="229">
        <v>1.3899999999999999E-2</v>
      </c>
      <c r="DA212" s="228">
        <v>33.869999999999997</v>
      </c>
      <c r="DB212" s="228">
        <v>31.07</v>
      </c>
      <c r="DC212" s="228">
        <v>2.8</v>
      </c>
      <c r="DD212" s="228">
        <v>2.8</v>
      </c>
      <c r="DE212" s="228">
        <v>41.67</v>
      </c>
      <c r="DF212" s="228">
        <v>41.68</v>
      </c>
      <c r="DG212" s="228">
        <v>-7.8</v>
      </c>
      <c r="DH212" s="228">
        <v>-0.01</v>
      </c>
      <c r="DI212" s="228">
        <v>34.64</v>
      </c>
      <c r="DJ212" s="228">
        <v>29.1</v>
      </c>
      <c r="DK212" s="228">
        <v>5.54</v>
      </c>
      <c r="DL212" s="228">
        <v>5.54</v>
      </c>
      <c r="DM212" s="228">
        <v>33.07</v>
      </c>
      <c r="DN212" s="228">
        <v>34.299999999999997</v>
      </c>
      <c r="DO212" s="228">
        <v>-1.23</v>
      </c>
      <c r="DP212" s="228">
        <v>-1.23</v>
      </c>
      <c r="DQ212" s="228">
        <v>0.77</v>
      </c>
      <c r="DR212" s="228">
        <v>0.75</v>
      </c>
      <c r="DS212" s="228">
        <v>0.02</v>
      </c>
      <c r="DT212" s="229">
        <v>2.6700000000000002E-2</v>
      </c>
      <c r="DU212" s="228">
        <v>600</v>
      </c>
      <c r="DV212" s="228">
        <v>600</v>
      </c>
      <c r="DW212" s="228">
        <v>0.6</v>
      </c>
      <c r="DX212" s="228">
        <v>0.61</v>
      </c>
      <c r="DY212" s="228">
        <v>-0.01</v>
      </c>
      <c r="DZ212" s="229">
        <v>-1.6400000000000001E-2</v>
      </c>
      <c r="EA212" s="229">
        <v>0.32519999999999999</v>
      </c>
      <c r="EB212" s="230">
        <v>3289940</v>
      </c>
      <c r="EC212" s="229">
        <v>5.7000000000000002E-3</v>
      </c>
      <c r="ED212" s="229">
        <v>0.32519999999999999</v>
      </c>
      <c r="EE212" s="228">
        <v>3.97</v>
      </c>
      <c r="EF212" s="229">
        <v>6.1000000000000004E-3</v>
      </c>
      <c r="EG212" s="230">
        <v>1581355</v>
      </c>
      <c r="EH212" s="230">
        <v>988078</v>
      </c>
      <c r="EI212" s="229">
        <v>0.60040000000000004</v>
      </c>
      <c r="EJ212" s="229">
        <v>0.62590000000000001</v>
      </c>
      <c r="EK212" s="228">
        <v>600.65</v>
      </c>
      <c r="EL212" s="228">
        <v>350.15</v>
      </c>
      <c r="EM212" s="231">
        <v>1203.69</v>
      </c>
      <c r="EN212" s="228">
        <v>25.59</v>
      </c>
      <c r="EO212" s="231">
        <v>2154.4899999999998</v>
      </c>
      <c r="EP212" s="231">
        <v>1075.6300000000001</v>
      </c>
      <c r="EQ212" s="231">
        <v>1078.8599999999999</v>
      </c>
      <c r="ER212" s="229">
        <v>1.0029999999999999</v>
      </c>
      <c r="ES212" s="228">
        <v>615.22</v>
      </c>
      <c r="ET212" s="228">
        <v>456.31</v>
      </c>
      <c r="EU212" s="231">
        <v>2107.5100000000002</v>
      </c>
      <c r="EV212" s="231">
        <v>84189026</v>
      </c>
      <c r="EW212" s="231">
        <v>3179.04</v>
      </c>
      <c r="EX212" s="231">
        <v>3174.47</v>
      </c>
      <c r="EY212" s="228">
        <v>4.57</v>
      </c>
      <c r="EZ212" s="229">
        <v>1.4E-3</v>
      </c>
      <c r="FA212" s="229">
        <v>0.59009999999999996</v>
      </c>
      <c r="FB212" s="227" t="s">
        <v>566</v>
      </c>
      <c r="FC212">
        <f t="shared" si="4"/>
        <v>0</v>
      </c>
    </row>
    <row r="213" spans="1:159" ht="17.25" thickBot="1" x14ac:dyDescent="0.3">
      <c r="A213" s="226">
        <v>46135</v>
      </c>
      <c r="B213" s="227" t="s">
        <v>168</v>
      </c>
      <c r="C213" s="227" t="s">
        <v>585</v>
      </c>
      <c r="D213" s="228">
        <v>1125</v>
      </c>
      <c r="E213" s="228">
        <v>5</v>
      </c>
      <c r="F213" s="228">
        <v>484.85</v>
      </c>
      <c r="G213" s="228">
        <v>494.25</v>
      </c>
      <c r="H213" s="228">
        <v>-9.4</v>
      </c>
      <c r="I213" s="229">
        <v>-1.9E-2</v>
      </c>
      <c r="J213" s="228">
        <v>484.25</v>
      </c>
      <c r="K213" s="228">
        <v>494.95</v>
      </c>
      <c r="L213" s="228">
        <v>-10.7</v>
      </c>
      <c r="M213" s="229">
        <v>-2.1600000000000001E-2</v>
      </c>
      <c r="N213" s="228">
        <v>484.85</v>
      </c>
      <c r="O213" s="228">
        <v>494.25</v>
      </c>
      <c r="P213" s="228">
        <v>-9.4</v>
      </c>
      <c r="Q213" s="229">
        <v>-1.9E-2</v>
      </c>
      <c r="R213" s="228">
        <v>487.1</v>
      </c>
      <c r="S213" s="228">
        <v>496.5</v>
      </c>
      <c r="T213" s="228">
        <v>-9.4</v>
      </c>
      <c r="U213" s="229">
        <v>-1.89E-2</v>
      </c>
      <c r="V213" s="228">
        <v>489.8</v>
      </c>
      <c r="W213" s="228">
        <v>499.5</v>
      </c>
      <c r="X213" s="228">
        <v>-9.6999999999999993</v>
      </c>
      <c r="Y213" s="229">
        <v>-1.9400000000000001E-2</v>
      </c>
      <c r="Z213" s="228">
        <v>0.6</v>
      </c>
      <c r="AA213" s="228">
        <v>-0.7</v>
      </c>
      <c r="AB213" s="228">
        <v>1.3</v>
      </c>
      <c r="AC213" s="229">
        <v>1.1999999999999999E-3</v>
      </c>
      <c r="AD213" s="228">
        <v>0.6</v>
      </c>
      <c r="AE213" s="228">
        <v>-0.7</v>
      </c>
      <c r="AF213" s="228">
        <v>1.3</v>
      </c>
      <c r="AG213" s="229">
        <v>1.1999999999999999E-3</v>
      </c>
      <c r="AH213" s="228">
        <v>2.85</v>
      </c>
      <c r="AI213" s="228">
        <v>1.55</v>
      </c>
      <c r="AJ213" s="228">
        <v>1.3</v>
      </c>
      <c r="AK213" s="229">
        <v>5.8999999999999999E-3</v>
      </c>
      <c r="AL213" s="228">
        <v>5.55</v>
      </c>
      <c r="AM213" s="228">
        <v>4.55</v>
      </c>
      <c r="AN213" s="228">
        <v>1</v>
      </c>
      <c r="AO213" s="229">
        <v>1.15E-2</v>
      </c>
      <c r="AP213" s="228">
        <v>484.9</v>
      </c>
      <c r="AQ213" s="228">
        <v>487.55</v>
      </c>
      <c r="AR213" s="228">
        <v>0</v>
      </c>
      <c r="AS213" s="230">
        <v>1903</v>
      </c>
      <c r="AT213" s="228">
        <v>619</v>
      </c>
      <c r="AU213" s="230">
        <v>1285</v>
      </c>
      <c r="AV213" s="229">
        <v>2.0764</v>
      </c>
      <c r="AW213" s="230">
        <v>1031</v>
      </c>
      <c r="AX213" s="228">
        <v>486</v>
      </c>
      <c r="AY213" s="228">
        <v>545</v>
      </c>
      <c r="AZ213" s="229">
        <v>1.1211</v>
      </c>
      <c r="BA213" s="228">
        <v>844</v>
      </c>
      <c r="BB213" s="228">
        <v>126</v>
      </c>
      <c r="BC213" s="228">
        <v>717</v>
      </c>
      <c r="BD213" s="229">
        <v>5.6844999999999999</v>
      </c>
      <c r="BE213" s="228">
        <v>29</v>
      </c>
      <c r="BF213" s="228">
        <v>7</v>
      </c>
      <c r="BG213" s="228">
        <v>23</v>
      </c>
      <c r="BH213" s="229">
        <v>3.3852000000000002</v>
      </c>
      <c r="BI213" s="230">
        <v>1236</v>
      </c>
      <c r="BJ213" s="230">
        <v>1953</v>
      </c>
      <c r="BK213" s="228">
        <v>-716</v>
      </c>
      <c r="BL213" s="229">
        <v>-0.3669</v>
      </c>
      <c r="BM213" s="228">
        <v>693</v>
      </c>
      <c r="BN213" s="228">
        <v>911</v>
      </c>
      <c r="BO213" s="228">
        <v>-218</v>
      </c>
      <c r="BP213" s="229">
        <v>-0.2397</v>
      </c>
      <c r="BQ213" s="230">
        <v>3832</v>
      </c>
      <c r="BR213" s="230">
        <v>3482</v>
      </c>
      <c r="BS213" s="228">
        <v>350</v>
      </c>
      <c r="BT213" s="229">
        <v>0.10050000000000001</v>
      </c>
      <c r="BU213" s="230">
        <v>11683392</v>
      </c>
      <c r="BV213" s="230">
        <v>12458570</v>
      </c>
      <c r="BW213" s="230">
        <v>-775178</v>
      </c>
      <c r="BX213" s="229">
        <v>-6.2199999999999998E-2</v>
      </c>
      <c r="BY213" s="230">
        <v>2473</v>
      </c>
      <c r="BZ213" s="230">
        <v>2410</v>
      </c>
      <c r="CA213" s="228">
        <v>62</v>
      </c>
      <c r="CB213" s="229">
        <v>2.5899999999999999E-2</v>
      </c>
      <c r="CC213" s="230">
        <v>1630</v>
      </c>
      <c r="CD213" s="230">
        <v>2217</v>
      </c>
      <c r="CE213" s="228">
        <v>-587</v>
      </c>
      <c r="CF213" s="229">
        <v>-0.26479999999999998</v>
      </c>
      <c r="CG213" s="228">
        <v>810</v>
      </c>
      <c r="CH213" s="228">
        <v>183</v>
      </c>
      <c r="CI213" s="228">
        <v>626</v>
      </c>
      <c r="CJ213" s="229">
        <v>3.4129</v>
      </c>
      <c r="CK213" s="228">
        <v>33</v>
      </c>
      <c r="CL213" s="228">
        <v>9</v>
      </c>
      <c r="CM213" s="228">
        <v>23</v>
      </c>
      <c r="CN213" s="229">
        <v>2.5175999999999998</v>
      </c>
      <c r="CO213" s="230">
        <v>1045</v>
      </c>
      <c r="CP213" s="228">
        <v>967</v>
      </c>
      <c r="CQ213" s="228">
        <v>78</v>
      </c>
      <c r="CR213" s="229">
        <v>8.0299999999999996E-2</v>
      </c>
      <c r="CS213" s="228">
        <v>615</v>
      </c>
      <c r="CT213" s="228">
        <v>620</v>
      </c>
      <c r="CU213" s="228">
        <v>-5</v>
      </c>
      <c r="CV213" s="229">
        <v>-7.3000000000000001E-3</v>
      </c>
      <c r="CW213" s="230">
        <v>4133</v>
      </c>
      <c r="CX213" s="230">
        <v>3997</v>
      </c>
      <c r="CY213" s="228">
        <v>136</v>
      </c>
      <c r="CZ213" s="229">
        <v>3.39E-2</v>
      </c>
      <c r="DA213" s="228">
        <v>42.62</v>
      </c>
      <c r="DB213" s="228">
        <v>45.21</v>
      </c>
      <c r="DC213" s="228">
        <v>-2.59</v>
      </c>
      <c r="DD213" s="228">
        <v>-2.59</v>
      </c>
      <c r="DE213" s="228">
        <v>38.57</v>
      </c>
      <c r="DF213" s="228">
        <v>38.549999999999997</v>
      </c>
      <c r="DG213" s="228">
        <v>4.05</v>
      </c>
      <c r="DH213" s="228">
        <v>0.02</v>
      </c>
      <c r="DI213" s="228">
        <v>42.88</v>
      </c>
      <c r="DJ213" s="228">
        <v>45.45</v>
      </c>
      <c r="DK213" s="228">
        <v>-2.57</v>
      </c>
      <c r="DL213" s="228">
        <v>-2.57</v>
      </c>
      <c r="DM213" s="228">
        <v>42.05</v>
      </c>
      <c r="DN213" s="228">
        <v>44.69</v>
      </c>
      <c r="DO213" s="228">
        <v>-2.64</v>
      </c>
      <c r="DP213" s="228">
        <v>-2.64</v>
      </c>
      <c r="DQ213" s="228">
        <v>0.59</v>
      </c>
      <c r="DR213" s="228">
        <v>0.64</v>
      </c>
      <c r="DS213" s="228">
        <v>-0.05</v>
      </c>
      <c r="DT213" s="229">
        <v>-7.8100000000000003E-2</v>
      </c>
      <c r="DU213" s="228">
        <v>500</v>
      </c>
      <c r="DV213" s="228">
        <v>420</v>
      </c>
      <c r="DW213" s="228">
        <v>0.56000000000000005</v>
      </c>
      <c r="DX213" s="228">
        <v>0.47</v>
      </c>
      <c r="DY213" s="228">
        <v>0.09</v>
      </c>
      <c r="DZ213" s="229">
        <v>0.1915</v>
      </c>
      <c r="EA213" s="229">
        <v>0.3407</v>
      </c>
      <c r="EB213" s="230">
        <v>3975750</v>
      </c>
      <c r="EC213" s="229">
        <v>4.5999999999999999E-3</v>
      </c>
      <c r="ED213" s="229">
        <v>0.3407</v>
      </c>
      <c r="EE213" s="228">
        <v>2.65</v>
      </c>
      <c r="EF213" s="229">
        <v>5.4999999999999997E-3</v>
      </c>
      <c r="EG213" s="230">
        <v>6414027</v>
      </c>
      <c r="EH213" s="230">
        <v>7426155</v>
      </c>
      <c r="EI213" s="229">
        <v>-0.1363</v>
      </c>
      <c r="EJ213" s="229">
        <v>0.54900000000000004</v>
      </c>
      <c r="EK213" s="231">
        <v>1290.48</v>
      </c>
      <c r="EL213" s="228">
        <v>683.2</v>
      </c>
      <c r="EM213" s="231">
        <v>1908.55</v>
      </c>
      <c r="EN213" s="228">
        <v>106.46</v>
      </c>
      <c r="EO213" s="231">
        <v>3882.23</v>
      </c>
      <c r="EP213" s="231">
        <v>3581.94</v>
      </c>
      <c r="EQ213" s="228">
        <v>300.29000000000002</v>
      </c>
      <c r="ER213" s="229">
        <v>8.3799999999999999E-2</v>
      </c>
      <c r="ES213" s="231">
        <v>1037.3</v>
      </c>
      <c r="ET213" s="228">
        <v>565.37</v>
      </c>
      <c r="EU213" s="231">
        <v>2476.75</v>
      </c>
      <c r="EV213" s="231">
        <v>205765243</v>
      </c>
      <c r="EW213" s="231">
        <v>4079.42</v>
      </c>
      <c r="EX213" s="231">
        <v>3983.97</v>
      </c>
      <c r="EY213" s="228">
        <v>95.45</v>
      </c>
      <c r="EZ213" s="229">
        <v>2.4E-2</v>
      </c>
      <c r="FA213" s="229">
        <v>0.4143</v>
      </c>
      <c r="FB213" s="227" t="s">
        <v>566</v>
      </c>
      <c r="FC213">
        <f t="shared" si="4"/>
        <v>0</v>
      </c>
    </row>
    <row r="214" spans="1:159" ht="17.25" thickBot="1" x14ac:dyDescent="0.3">
      <c r="A214" s="226">
        <v>46135</v>
      </c>
      <c r="B214" s="227" t="s">
        <v>227</v>
      </c>
      <c r="C214" s="227" t="s">
        <v>304</v>
      </c>
      <c r="D214" s="228">
        <v>1150</v>
      </c>
      <c r="E214" s="228">
        <v>5</v>
      </c>
      <c r="F214" s="228">
        <v>735.5</v>
      </c>
      <c r="G214" s="228">
        <v>758.65</v>
      </c>
      <c r="H214" s="228">
        <v>-23.15</v>
      </c>
      <c r="I214" s="229">
        <v>-3.0499999999999999E-2</v>
      </c>
      <c r="J214" s="228">
        <v>735.6</v>
      </c>
      <c r="K214" s="228">
        <v>757</v>
      </c>
      <c r="L214" s="228">
        <v>-21.4</v>
      </c>
      <c r="M214" s="229">
        <v>-2.8299999999999999E-2</v>
      </c>
      <c r="N214" s="228">
        <v>735.5</v>
      </c>
      <c r="O214" s="228">
        <v>758.65</v>
      </c>
      <c r="P214" s="228">
        <v>-23.15</v>
      </c>
      <c r="Q214" s="229">
        <v>-3.0499999999999999E-2</v>
      </c>
      <c r="R214" s="228">
        <v>736.65</v>
      </c>
      <c r="S214" s="228">
        <v>759.95</v>
      </c>
      <c r="T214" s="228">
        <v>-23.3</v>
      </c>
      <c r="U214" s="229">
        <v>-3.0700000000000002E-2</v>
      </c>
      <c r="V214" s="228">
        <v>736.6</v>
      </c>
      <c r="W214" s="228">
        <v>759.55</v>
      </c>
      <c r="X214" s="228">
        <v>-22.95</v>
      </c>
      <c r="Y214" s="229">
        <v>-3.0200000000000001E-2</v>
      </c>
      <c r="Z214" s="228">
        <v>-0.1</v>
      </c>
      <c r="AA214" s="228">
        <v>1.65</v>
      </c>
      <c r="AB214" s="228">
        <v>-1.75</v>
      </c>
      <c r="AC214" s="229">
        <v>-1E-4</v>
      </c>
      <c r="AD214" s="228">
        <v>-0.1</v>
      </c>
      <c r="AE214" s="228">
        <v>1.65</v>
      </c>
      <c r="AF214" s="228">
        <v>-1.75</v>
      </c>
      <c r="AG214" s="229">
        <v>-1E-4</v>
      </c>
      <c r="AH214" s="228">
        <v>1.05</v>
      </c>
      <c r="AI214" s="228">
        <v>2.95</v>
      </c>
      <c r="AJ214" s="228">
        <v>-1.9</v>
      </c>
      <c r="AK214" s="229">
        <v>1.4E-3</v>
      </c>
      <c r="AL214" s="228">
        <v>1</v>
      </c>
      <c r="AM214" s="228">
        <v>2.5499999999999998</v>
      </c>
      <c r="AN214" s="228">
        <v>-1.55</v>
      </c>
      <c r="AO214" s="229">
        <v>1.4E-3</v>
      </c>
      <c r="AP214" s="228">
        <v>741.75</v>
      </c>
      <c r="AQ214" s="228">
        <v>742.56</v>
      </c>
      <c r="AR214" s="228">
        <v>0</v>
      </c>
      <c r="AS214" s="230">
        <v>1809</v>
      </c>
      <c r="AT214" s="230">
        <v>1124</v>
      </c>
      <c r="AU214" s="228">
        <v>684</v>
      </c>
      <c r="AV214" s="229">
        <v>0.6089</v>
      </c>
      <c r="AW214" s="230">
        <v>1191</v>
      </c>
      <c r="AX214" s="228">
        <v>851</v>
      </c>
      <c r="AY214" s="228">
        <v>340</v>
      </c>
      <c r="AZ214" s="229">
        <v>0.39929999999999999</v>
      </c>
      <c r="BA214" s="228">
        <v>600</v>
      </c>
      <c r="BB214" s="228">
        <v>260</v>
      </c>
      <c r="BC214" s="228">
        <v>340</v>
      </c>
      <c r="BD214" s="229">
        <v>1.304</v>
      </c>
      <c r="BE214" s="228">
        <v>17</v>
      </c>
      <c r="BF214" s="228">
        <v>12</v>
      </c>
      <c r="BG214" s="228">
        <v>5</v>
      </c>
      <c r="BH214" s="229">
        <v>0.39460000000000001</v>
      </c>
      <c r="BI214" s="230">
        <v>7128</v>
      </c>
      <c r="BJ214" s="230">
        <v>6225</v>
      </c>
      <c r="BK214" s="228">
        <v>903</v>
      </c>
      <c r="BL214" s="229">
        <v>0.14499999999999999</v>
      </c>
      <c r="BM214" s="230">
        <v>3600</v>
      </c>
      <c r="BN214" s="230">
        <v>3575</v>
      </c>
      <c r="BO214" s="228">
        <v>25</v>
      </c>
      <c r="BP214" s="229">
        <v>7.1000000000000004E-3</v>
      </c>
      <c r="BQ214" s="230">
        <v>12537</v>
      </c>
      <c r="BR214" s="230">
        <v>10925</v>
      </c>
      <c r="BS214" s="230">
        <v>1612</v>
      </c>
      <c r="BT214" s="229">
        <v>0.14760000000000001</v>
      </c>
      <c r="BU214" s="230">
        <v>18495137</v>
      </c>
      <c r="BV214" s="230">
        <v>15284405</v>
      </c>
      <c r="BW214" s="230">
        <v>3210732</v>
      </c>
      <c r="BX214" s="229">
        <v>0.21010000000000001</v>
      </c>
      <c r="BY214" s="230">
        <v>3218</v>
      </c>
      <c r="BZ214" s="230">
        <v>3513</v>
      </c>
      <c r="CA214" s="228">
        <v>-294</v>
      </c>
      <c r="CB214" s="229">
        <v>-8.3799999999999999E-2</v>
      </c>
      <c r="CC214" s="230">
        <v>2315</v>
      </c>
      <c r="CD214" s="230">
        <v>2942</v>
      </c>
      <c r="CE214" s="228">
        <v>-627</v>
      </c>
      <c r="CF214" s="229">
        <v>-0.2132</v>
      </c>
      <c r="CG214" s="228">
        <v>864</v>
      </c>
      <c r="CH214" s="228">
        <v>533</v>
      </c>
      <c r="CI214" s="228">
        <v>330</v>
      </c>
      <c r="CJ214" s="229">
        <v>0.61899999999999999</v>
      </c>
      <c r="CK214" s="228">
        <v>40</v>
      </c>
      <c r="CL214" s="228">
        <v>37</v>
      </c>
      <c r="CM214" s="228">
        <v>3</v>
      </c>
      <c r="CN214" s="229">
        <v>6.83E-2</v>
      </c>
      <c r="CO214" s="230">
        <v>4182</v>
      </c>
      <c r="CP214" s="230">
        <v>3654</v>
      </c>
      <c r="CQ214" s="228">
        <v>528</v>
      </c>
      <c r="CR214" s="229">
        <v>0.14449999999999999</v>
      </c>
      <c r="CS214" s="230">
        <v>2613</v>
      </c>
      <c r="CT214" s="230">
        <v>2714</v>
      </c>
      <c r="CU214" s="228">
        <v>-101</v>
      </c>
      <c r="CV214" s="229">
        <v>-3.73E-2</v>
      </c>
      <c r="CW214" s="230">
        <v>10013</v>
      </c>
      <c r="CX214" s="230">
        <v>9881</v>
      </c>
      <c r="CY214" s="228">
        <v>132</v>
      </c>
      <c r="CZ214" s="229">
        <v>1.34E-2</v>
      </c>
      <c r="DA214" s="228">
        <v>22.22</v>
      </c>
      <c r="DB214" s="228">
        <v>35.65</v>
      </c>
      <c r="DC214" s="228">
        <v>-13.43</v>
      </c>
      <c r="DD214" s="228">
        <v>-13.43</v>
      </c>
      <c r="DE214" s="228">
        <v>40.76</v>
      </c>
      <c r="DF214" s="228">
        <v>40.64</v>
      </c>
      <c r="DG214" s="228">
        <v>-18.54</v>
      </c>
      <c r="DH214" s="228">
        <v>0.12</v>
      </c>
      <c r="DI214" s="228">
        <v>22.81</v>
      </c>
      <c r="DJ214" s="228">
        <v>37.46</v>
      </c>
      <c r="DK214" s="228">
        <v>-14.65</v>
      </c>
      <c r="DL214" s="228">
        <v>-14.65</v>
      </c>
      <c r="DM214" s="228">
        <v>21</v>
      </c>
      <c r="DN214" s="228">
        <v>32.51</v>
      </c>
      <c r="DO214" s="228">
        <v>-11.51</v>
      </c>
      <c r="DP214" s="228">
        <v>-11.51</v>
      </c>
      <c r="DQ214" s="228">
        <v>0.62</v>
      </c>
      <c r="DR214" s="228">
        <v>0.74</v>
      </c>
      <c r="DS214" s="228">
        <v>-0.12</v>
      </c>
      <c r="DT214" s="229">
        <v>-0.16220000000000001</v>
      </c>
      <c r="DU214" s="228">
        <v>800</v>
      </c>
      <c r="DV214" s="228">
        <v>750</v>
      </c>
      <c r="DW214" s="228">
        <v>0.51</v>
      </c>
      <c r="DX214" s="228">
        <v>0.56999999999999995</v>
      </c>
      <c r="DY214" s="228">
        <v>-0.06</v>
      </c>
      <c r="DZ214" s="229">
        <v>-0.1053</v>
      </c>
      <c r="EA214" s="229">
        <v>0.28070000000000001</v>
      </c>
      <c r="EB214" s="230">
        <v>7757900</v>
      </c>
      <c r="EC214" s="229">
        <v>1.6000000000000001E-3</v>
      </c>
      <c r="ED214" s="229">
        <v>0.28070000000000001</v>
      </c>
      <c r="EE214" s="228">
        <v>0.81</v>
      </c>
      <c r="EF214" s="229">
        <v>1.1000000000000001E-3</v>
      </c>
      <c r="EG214" s="230">
        <v>10031690</v>
      </c>
      <c r="EH214" s="230">
        <v>7466145</v>
      </c>
      <c r="EI214" s="229">
        <v>0.34360000000000002</v>
      </c>
      <c r="EJ214" s="229">
        <v>0.54239999999999999</v>
      </c>
      <c r="EK214" s="231">
        <v>7581.54</v>
      </c>
      <c r="EL214" s="231">
        <v>3590.67</v>
      </c>
      <c r="EM214" s="231">
        <v>1824.65</v>
      </c>
      <c r="EN214" s="228">
        <v>128.76</v>
      </c>
      <c r="EO214" s="231">
        <v>12996.87</v>
      </c>
      <c r="EP214" s="231">
        <v>11598.47</v>
      </c>
      <c r="EQ214" s="231">
        <v>1398.4</v>
      </c>
      <c r="ER214" s="229">
        <v>0.1206</v>
      </c>
      <c r="ES214" s="231">
        <v>4409.7700000000004</v>
      </c>
      <c r="ET214" s="231">
        <v>2543.89</v>
      </c>
      <c r="EU214" s="231">
        <v>3219.69</v>
      </c>
      <c r="EV214" s="231">
        <v>255495438</v>
      </c>
      <c r="EW214" s="231">
        <v>10173.35</v>
      </c>
      <c r="EX214" s="231">
        <v>10133.1</v>
      </c>
      <c r="EY214" s="228">
        <v>40.25</v>
      </c>
      <c r="EZ214" s="229">
        <v>4.0000000000000001E-3</v>
      </c>
      <c r="FA214" s="229">
        <v>0.53290000000000004</v>
      </c>
      <c r="FB214" s="227" t="s">
        <v>567</v>
      </c>
      <c r="FC214">
        <f t="shared" si="4"/>
        <v>0</v>
      </c>
    </row>
    <row r="215" spans="1:159" ht="17.25" thickBot="1" x14ac:dyDescent="0.3">
      <c r="A215" s="226">
        <v>46135</v>
      </c>
      <c r="B215" s="227" t="s">
        <v>614</v>
      </c>
      <c r="C215" s="227" t="s">
        <v>697</v>
      </c>
      <c r="D215" s="228">
        <v>4850</v>
      </c>
      <c r="E215" s="228">
        <v>5</v>
      </c>
      <c r="F215" s="228">
        <v>126.22</v>
      </c>
      <c r="G215" s="228">
        <v>124.35</v>
      </c>
      <c r="H215" s="228">
        <v>1.87</v>
      </c>
      <c r="I215" s="229">
        <v>1.4999999999999999E-2</v>
      </c>
      <c r="J215" s="228">
        <v>126.16</v>
      </c>
      <c r="K215" s="228">
        <v>124.56</v>
      </c>
      <c r="L215" s="228">
        <v>1.6</v>
      </c>
      <c r="M215" s="229">
        <v>1.2800000000000001E-2</v>
      </c>
      <c r="N215" s="228">
        <v>126.22</v>
      </c>
      <c r="O215" s="228">
        <v>124.35</v>
      </c>
      <c r="P215" s="228">
        <v>1.87</v>
      </c>
      <c r="Q215" s="229">
        <v>1.4999999999999999E-2</v>
      </c>
      <c r="R215" s="228">
        <v>126.88</v>
      </c>
      <c r="S215" s="228">
        <v>124.87</v>
      </c>
      <c r="T215" s="228">
        <v>2.0099999999999998</v>
      </c>
      <c r="U215" s="229">
        <v>1.61E-2</v>
      </c>
      <c r="V215" s="228">
        <v>126.95</v>
      </c>
      <c r="W215" s="228">
        <v>125</v>
      </c>
      <c r="X215" s="228">
        <v>1.95</v>
      </c>
      <c r="Y215" s="229">
        <v>1.5599999999999999E-2</v>
      </c>
      <c r="Z215" s="228">
        <v>0.06</v>
      </c>
      <c r="AA215" s="228">
        <v>-0.21</v>
      </c>
      <c r="AB215" s="228">
        <v>0.27</v>
      </c>
      <c r="AC215" s="229">
        <v>5.0000000000000001E-4</v>
      </c>
      <c r="AD215" s="228">
        <v>0.06</v>
      </c>
      <c r="AE215" s="228">
        <v>-0.21</v>
      </c>
      <c r="AF215" s="228">
        <v>0.27</v>
      </c>
      <c r="AG215" s="229">
        <v>5.0000000000000001E-4</v>
      </c>
      <c r="AH215" s="228">
        <v>0.72</v>
      </c>
      <c r="AI215" s="228">
        <v>0.31</v>
      </c>
      <c r="AJ215" s="228">
        <v>0.41</v>
      </c>
      <c r="AK215" s="229">
        <v>5.7000000000000002E-3</v>
      </c>
      <c r="AL215" s="228">
        <v>0.79</v>
      </c>
      <c r="AM215" s="228">
        <v>0.44</v>
      </c>
      <c r="AN215" s="228">
        <v>0.35</v>
      </c>
      <c r="AO215" s="229">
        <v>6.3E-3</v>
      </c>
      <c r="AP215" s="228">
        <v>126.74</v>
      </c>
      <c r="AQ215" s="228">
        <v>127.27</v>
      </c>
      <c r="AR215" s="228">
        <v>0</v>
      </c>
      <c r="AS215" s="228">
        <v>327</v>
      </c>
      <c r="AT215" s="228">
        <v>65</v>
      </c>
      <c r="AU215" s="228">
        <v>262</v>
      </c>
      <c r="AV215" s="229">
        <v>4.0481999999999996</v>
      </c>
      <c r="AW215" s="228">
        <v>178</v>
      </c>
      <c r="AX215" s="228">
        <v>54</v>
      </c>
      <c r="AY215" s="228">
        <v>124</v>
      </c>
      <c r="AZ215" s="229">
        <v>2.3113000000000001</v>
      </c>
      <c r="BA215" s="228">
        <v>148</v>
      </c>
      <c r="BB215" s="228">
        <v>11</v>
      </c>
      <c r="BC215" s="228">
        <v>137</v>
      </c>
      <c r="BD215" s="229">
        <v>12.6836</v>
      </c>
      <c r="BE215" s="228">
        <v>1</v>
      </c>
      <c r="BF215" s="228">
        <v>0</v>
      </c>
      <c r="BG215" s="228">
        <v>0</v>
      </c>
      <c r="BH215" s="229">
        <v>2.3332999999999999</v>
      </c>
      <c r="BI215" s="228">
        <v>120</v>
      </c>
      <c r="BJ215" s="228">
        <v>65</v>
      </c>
      <c r="BK215" s="228">
        <v>55</v>
      </c>
      <c r="BL215" s="229">
        <v>0.85309999999999997</v>
      </c>
      <c r="BM215" s="228">
        <v>23</v>
      </c>
      <c r="BN215" s="228">
        <v>28</v>
      </c>
      <c r="BO215" s="228">
        <v>-5</v>
      </c>
      <c r="BP215" s="229">
        <v>-0.1681</v>
      </c>
      <c r="BQ215" s="228">
        <v>470</v>
      </c>
      <c r="BR215" s="228">
        <v>157</v>
      </c>
      <c r="BS215" s="228">
        <v>313</v>
      </c>
      <c r="BT215" s="229">
        <v>1.9872000000000001</v>
      </c>
      <c r="BU215" s="230">
        <v>24545008</v>
      </c>
      <c r="BV215" s="230">
        <v>10236146</v>
      </c>
      <c r="BW215" s="230">
        <v>14308862</v>
      </c>
      <c r="BX215" s="229">
        <v>1.3978999999999999</v>
      </c>
      <c r="BY215" s="228">
        <v>381</v>
      </c>
      <c r="BZ215" s="228">
        <v>371</v>
      </c>
      <c r="CA215" s="228">
        <v>10</v>
      </c>
      <c r="CB215" s="229">
        <v>2.7300000000000001E-2</v>
      </c>
      <c r="CC215" s="228">
        <v>261</v>
      </c>
      <c r="CD215" s="228">
        <v>353</v>
      </c>
      <c r="CE215" s="228">
        <v>-91</v>
      </c>
      <c r="CF215" s="229">
        <v>-0.25900000000000001</v>
      </c>
      <c r="CG215" s="228">
        <v>118</v>
      </c>
      <c r="CH215" s="228">
        <v>17</v>
      </c>
      <c r="CI215" s="228">
        <v>101</v>
      </c>
      <c r="CJ215" s="229">
        <v>5.9890999999999996</v>
      </c>
      <c r="CK215" s="228">
        <v>1</v>
      </c>
      <c r="CL215" s="228">
        <v>1</v>
      </c>
      <c r="CM215" s="228">
        <v>0</v>
      </c>
      <c r="CN215" s="229">
        <v>0.23530000000000001</v>
      </c>
      <c r="CO215" s="228">
        <v>110</v>
      </c>
      <c r="CP215" s="228">
        <v>119</v>
      </c>
      <c r="CQ215" s="228">
        <v>-9</v>
      </c>
      <c r="CR215" s="229">
        <v>-7.5300000000000006E-2</v>
      </c>
      <c r="CS215" s="228">
        <v>56</v>
      </c>
      <c r="CT215" s="228">
        <v>57</v>
      </c>
      <c r="CU215" s="228">
        <v>-2</v>
      </c>
      <c r="CV215" s="229">
        <v>-2.98E-2</v>
      </c>
      <c r="CW215" s="228">
        <v>546</v>
      </c>
      <c r="CX215" s="228">
        <v>547</v>
      </c>
      <c r="CY215" s="228">
        <v>-1</v>
      </c>
      <c r="CZ215" s="229">
        <v>-1E-3</v>
      </c>
      <c r="DA215" s="228">
        <v>49.82</v>
      </c>
      <c r="DB215" s="228">
        <v>50.29</v>
      </c>
      <c r="DC215" s="228">
        <v>-0.47</v>
      </c>
      <c r="DD215" s="228">
        <v>-0.47</v>
      </c>
      <c r="DE215" s="228">
        <v>38.25</v>
      </c>
      <c r="DF215" s="228">
        <v>38.31</v>
      </c>
      <c r="DG215" s="228">
        <v>11.57</v>
      </c>
      <c r="DH215" s="228">
        <v>-0.06</v>
      </c>
      <c r="DI215" s="228">
        <v>50.88</v>
      </c>
      <c r="DJ215" s="228">
        <v>49.75</v>
      </c>
      <c r="DK215" s="228">
        <v>1.1299999999999999</v>
      </c>
      <c r="DL215" s="228">
        <v>1.1299999999999999</v>
      </c>
      <c r="DM215" s="228">
        <v>46.63</v>
      </c>
      <c r="DN215" s="228">
        <v>51.59</v>
      </c>
      <c r="DO215" s="228">
        <v>-4.96</v>
      </c>
      <c r="DP215" s="228">
        <v>-4.96</v>
      </c>
      <c r="DQ215" s="228">
        <v>0.51</v>
      </c>
      <c r="DR215" s="228">
        <v>0.48</v>
      </c>
      <c r="DS215" s="228">
        <v>0.03</v>
      </c>
      <c r="DT215" s="229">
        <v>6.25E-2</v>
      </c>
      <c r="DU215" s="228">
        <v>115</v>
      </c>
      <c r="DV215" s="228">
        <v>110</v>
      </c>
      <c r="DW215" s="228">
        <v>0.19</v>
      </c>
      <c r="DX215" s="228">
        <v>0.43</v>
      </c>
      <c r="DY215" s="228">
        <v>-0.24</v>
      </c>
      <c r="DZ215" s="229">
        <v>-0.55810000000000004</v>
      </c>
      <c r="EA215" s="229">
        <v>0.31359999999999999</v>
      </c>
      <c r="EB215" s="230">
        <v>1421050</v>
      </c>
      <c r="EC215" s="229">
        <v>5.1999999999999998E-3</v>
      </c>
      <c r="ED215" s="229">
        <v>0.31359999999999999</v>
      </c>
      <c r="EE215" s="228">
        <v>0.53</v>
      </c>
      <c r="EF215" s="229">
        <v>4.1999999999999997E-3</v>
      </c>
      <c r="EG215" s="230">
        <v>13898555</v>
      </c>
      <c r="EH215" s="230">
        <v>5221600</v>
      </c>
      <c r="EI215" s="229">
        <v>1.6617</v>
      </c>
      <c r="EJ215" s="229">
        <v>0.56620000000000004</v>
      </c>
      <c r="EK215" s="228">
        <v>125.65</v>
      </c>
      <c r="EL215" s="228">
        <v>21.41</v>
      </c>
      <c r="EM215" s="228">
        <v>328.62</v>
      </c>
      <c r="EN215" s="228">
        <v>15.56</v>
      </c>
      <c r="EO215" s="228">
        <v>475.68</v>
      </c>
      <c r="EP215" s="228">
        <v>154.93</v>
      </c>
      <c r="EQ215" s="228">
        <v>320.76</v>
      </c>
      <c r="ER215" s="229">
        <v>2.0703999999999998</v>
      </c>
      <c r="ES215" s="228">
        <v>105.09</v>
      </c>
      <c r="ET215" s="228">
        <v>49.17</v>
      </c>
      <c r="EU215" s="228">
        <v>381.33</v>
      </c>
      <c r="EV215" s="231">
        <v>321828727</v>
      </c>
      <c r="EW215" s="228">
        <v>535.59</v>
      </c>
      <c r="EX215" s="228">
        <v>528.61</v>
      </c>
      <c r="EY215" s="228">
        <v>6.98</v>
      </c>
      <c r="EZ215" s="229">
        <v>1.32E-2</v>
      </c>
      <c r="FA215" s="229">
        <v>0.13450000000000001</v>
      </c>
      <c r="FB215" s="227" t="s">
        <v>555</v>
      </c>
      <c r="FC215">
        <f t="shared" si="4"/>
        <v>0</v>
      </c>
    </row>
    <row r="216" spans="1:159" ht="17.25" thickBot="1" x14ac:dyDescent="0.3">
      <c r="A216" s="226">
        <v>46135</v>
      </c>
      <c r="B216" s="227" t="s">
        <v>184</v>
      </c>
      <c r="C216" s="227" t="s">
        <v>305</v>
      </c>
      <c r="D216" s="228">
        <v>375</v>
      </c>
      <c r="E216" s="228">
        <v>5</v>
      </c>
      <c r="F216" s="231">
        <v>1443.4</v>
      </c>
      <c r="G216" s="231">
        <v>1477</v>
      </c>
      <c r="H216" s="228">
        <v>-33.6</v>
      </c>
      <c r="I216" s="229">
        <v>-2.2700000000000001E-2</v>
      </c>
      <c r="J216" s="231">
        <v>1445.5</v>
      </c>
      <c r="K216" s="231">
        <v>1481.6</v>
      </c>
      <c r="L216" s="228">
        <v>-36.1</v>
      </c>
      <c r="M216" s="229">
        <v>-2.4400000000000002E-2</v>
      </c>
      <c r="N216" s="231">
        <v>1443.4</v>
      </c>
      <c r="O216" s="231">
        <v>1477</v>
      </c>
      <c r="P216" s="228">
        <v>-33.6</v>
      </c>
      <c r="Q216" s="229">
        <v>-2.2700000000000001E-2</v>
      </c>
      <c r="R216" s="231">
        <v>1426.5</v>
      </c>
      <c r="S216" s="231">
        <v>1459.6</v>
      </c>
      <c r="T216" s="228">
        <v>-33.1</v>
      </c>
      <c r="U216" s="229">
        <v>-2.2700000000000001E-2</v>
      </c>
      <c r="V216" s="231">
        <v>1414.1</v>
      </c>
      <c r="W216" s="231">
        <v>1447</v>
      </c>
      <c r="X216" s="228">
        <v>-32.9</v>
      </c>
      <c r="Y216" s="229">
        <v>-2.2700000000000001E-2</v>
      </c>
      <c r="Z216" s="228">
        <v>-2.1</v>
      </c>
      <c r="AA216" s="228">
        <v>-4.5999999999999996</v>
      </c>
      <c r="AB216" s="228">
        <v>2.5</v>
      </c>
      <c r="AC216" s="229">
        <v>-1.5E-3</v>
      </c>
      <c r="AD216" s="228">
        <v>-2.1</v>
      </c>
      <c r="AE216" s="228">
        <v>-4.5999999999999996</v>
      </c>
      <c r="AF216" s="228">
        <v>2.5</v>
      </c>
      <c r="AG216" s="229">
        <v>-1.5E-3</v>
      </c>
      <c r="AH216" s="228">
        <v>-19</v>
      </c>
      <c r="AI216" s="228">
        <v>-22</v>
      </c>
      <c r="AJ216" s="228">
        <v>3</v>
      </c>
      <c r="AK216" s="229">
        <v>-1.3100000000000001E-2</v>
      </c>
      <c r="AL216" s="228">
        <v>-31.4</v>
      </c>
      <c r="AM216" s="228">
        <v>-34.6</v>
      </c>
      <c r="AN216" s="228">
        <v>3.2</v>
      </c>
      <c r="AO216" s="229">
        <v>-2.1700000000000001E-2</v>
      </c>
      <c r="AP216" s="231">
        <v>1444.12</v>
      </c>
      <c r="AQ216" s="231">
        <v>1426.32</v>
      </c>
      <c r="AR216" s="228">
        <v>0</v>
      </c>
      <c r="AS216" s="230">
        <v>1083</v>
      </c>
      <c r="AT216" s="228">
        <v>478</v>
      </c>
      <c r="AU216" s="228">
        <v>605</v>
      </c>
      <c r="AV216" s="229">
        <v>1.2645</v>
      </c>
      <c r="AW216" s="228">
        <v>548</v>
      </c>
      <c r="AX216" s="228">
        <v>312</v>
      </c>
      <c r="AY216" s="228">
        <v>236</v>
      </c>
      <c r="AZ216" s="229">
        <v>0.75519999999999998</v>
      </c>
      <c r="BA216" s="228">
        <v>531</v>
      </c>
      <c r="BB216" s="228">
        <v>161</v>
      </c>
      <c r="BC216" s="228">
        <v>370</v>
      </c>
      <c r="BD216" s="229">
        <v>2.2917999999999998</v>
      </c>
      <c r="BE216" s="228">
        <v>4</v>
      </c>
      <c r="BF216" s="228">
        <v>5</v>
      </c>
      <c r="BG216" s="228">
        <v>-1</v>
      </c>
      <c r="BH216" s="229">
        <v>-0.1724</v>
      </c>
      <c r="BI216" s="230">
        <v>1164</v>
      </c>
      <c r="BJ216" s="230">
        <v>1587</v>
      </c>
      <c r="BK216" s="228">
        <v>-424</v>
      </c>
      <c r="BL216" s="229">
        <v>-0.26679999999999998</v>
      </c>
      <c r="BM216" s="228">
        <v>977</v>
      </c>
      <c r="BN216" s="228">
        <v>947</v>
      </c>
      <c r="BO216" s="228">
        <v>30</v>
      </c>
      <c r="BP216" s="229">
        <v>3.1699999999999999E-2</v>
      </c>
      <c r="BQ216" s="230">
        <v>3223</v>
      </c>
      <c r="BR216" s="230">
        <v>3012</v>
      </c>
      <c r="BS216" s="228">
        <v>211</v>
      </c>
      <c r="BT216" s="229">
        <v>7.0099999999999996E-2</v>
      </c>
      <c r="BU216" s="230">
        <v>1068223</v>
      </c>
      <c r="BV216" s="230">
        <v>928061</v>
      </c>
      <c r="BW216" s="230">
        <v>140162</v>
      </c>
      <c r="BX216" s="229">
        <v>0.151</v>
      </c>
      <c r="BY216" s="230">
        <v>1577</v>
      </c>
      <c r="BZ216" s="230">
        <v>1777</v>
      </c>
      <c r="CA216" s="228">
        <v>-200</v>
      </c>
      <c r="CB216" s="229">
        <v>-0.1125</v>
      </c>
      <c r="CC216" s="228">
        <v>981</v>
      </c>
      <c r="CD216" s="230">
        <v>1358</v>
      </c>
      <c r="CE216" s="228">
        <v>-376</v>
      </c>
      <c r="CF216" s="229">
        <v>-0.2772</v>
      </c>
      <c r="CG216" s="228">
        <v>578</v>
      </c>
      <c r="CH216" s="228">
        <v>404</v>
      </c>
      <c r="CI216" s="228">
        <v>175</v>
      </c>
      <c r="CJ216" s="229">
        <v>0.43230000000000002</v>
      </c>
      <c r="CK216" s="228">
        <v>17</v>
      </c>
      <c r="CL216" s="228">
        <v>16</v>
      </c>
      <c r="CM216" s="228">
        <v>2</v>
      </c>
      <c r="CN216" s="229">
        <v>0.12540000000000001</v>
      </c>
      <c r="CO216" s="228">
        <v>661</v>
      </c>
      <c r="CP216" s="228">
        <v>679</v>
      </c>
      <c r="CQ216" s="228">
        <v>-19</v>
      </c>
      <c r="CR216" s="229">
        <v>-2.76E-2</v>
      </c>
      <c r="CS216" s="228">
        <v>583</v>
      </c>
      <c r="CT216" s="228">
        <v>615</v>
      </c>
      <c r="CU216" s="228">
        <v>-32</v>
      </c>
      <c r="CV216" s="229">
        <v>-5.1900000000000002E-2</v>
      </c>
      <c r="CW216" s="230">
        <v>2821</v>
      </c>
      <c r="CX216" s="230">
        <v>3071</v>
      </c>
      <c r="CY216" s="228">
        <v>-251</v>
      </c>
      <c r="CZ216" s="229">
        <v>-8.1600000000000006E-2</v>
      </c>
      <c r="DA216" s="228">
        <v>40.97</v>
      </c>
      <c r="DB216" s="228">
        <v>36.28</v>
      </c>
      <c r="DC216" s="228">
        <v>4.6900000000000004</v>
      </c>
      <c r="DD216" s="228">
        <v>4.6900000000000004</v>
      </c>
      <c r="DE216" s="228">
        <v>39.880000000000003</v>
      </c>
      <c r="DF216" s="228">
        <v>39.86</v>
      </c>
      <c r="DG216" s="228">
        <v>1.0900000000000001</v>
      </c>
      <c r="DH216" s="228">
        <v>0.02</v>
      </c>
      <c r="DI216" s="228">
        <v>40.869999999999997</v>
      </c>
      <c r="DJ216" s="228">
        <v>34.729999999999997</v>
      </c>
      <c r="DK216" s="228">
        <v>6.14</v>
      </c>
      <c r="DL216" s="228">
        <v>6.14</v>
      </c>
      <c r="DM216" s="228">
        <v>41.1</v>
      </c>
      <c r="DN216" s="228">
        <v>38.869999999999997</v>
      </c>
      <c r="DO216" s="228">
        <v>2.23</v>
      </c>
      <c r="DP216" s="228">
        <v>2.23</v>
      </c>
      <c r="DQ216" s="228">
        <v>0.88</v>
      </c>
      <c r="DR216" s="228">
        <v>0.91</v>
      </c>
      <c r="DS216" s="228">
        <v>-0.03</v>
      </c>
      <c r="DT216" s="229">
        <v>-3.3000000000000002E-2</v>
      </c>
      <c r="DU216" s="231">
        <v>1300</v>
      </c>
      <c r="DV216" s="231">
        <v>1200</v>
      </c>
      <c r="DW216" s="228">
        <v>0.84</v>
      </c>
      <c r="DX216" s="228">
        <v>0.6</v>
      </c>
      <c r="DY216" s="228">
        <v>0.24</v>
      </c>
      <c r="DZ216" s="229">
        <v>0.4</v>
      </c>
      <c r="EA216" s="229">
        <v>0.37769999999999998</v>
      </c>
      <c r="EB216" s="230">
        <v>2904375</v>
      </c>
      <c r="EC216" s="229">
        <v>-1.17E-2</v>
      </c>
      <c r="ED216" s="229">
        <v>0.37769999999999998</v>
      </c>
      <c r="EE216" s="228">
        <v>-17.8</v>
      </c>
      <c r="EF216" s="229">
        <v>-1.23E-2</v>
      </c>
      <c r="EG216" s="230">
        <v>340818</v>
      </c>
      <c r="EH216" s="230">
        <v>359410</v>
      </c>
      <c r="EI216" s="229">
        <v>-5.1700000000000003E-2</v>
      </c>
      <c r="EJ216" s="229">
        <v>0.31909999999999999</v>
      </c>
      <c r="EK216" s="231">
        <v>1216.5899999999999</v>
      </c>
      <c r="EL216" s="228">
        <v>949.31</v>
      </c>
      <c r="EM216" s="231">
        <v>1076.8399999999999</v>
      </c>
      <c r="EN216" s="228">
        <v>66.010000000000005</v>
      </c>
      <c r="EO216" s="231">
        <v>3242.74</v>
      </c>
      <c r="EP216" s="231">
        <v>3094.32</v>
      </c>
      <c r="EQ216" s="228">
        <v>148.41999999999999</v>
      </c>
      <c r="ER216" s="229">
        <v>4.8000000000000001E-2</v>
      </c>
      <c r="ES216" s="228">
        <v>655.15</v>
      </c>
      <c r="ET216" s="228">
        <v>530</v>
      </c>
      <c r="EU216" s="231">
        <v>1569.99</v>
      </c>
      <c r="EV216" s="231">
        <v>25134629</v>
      </c>
      <c r="EW216" s="231">
        <v>2755.14</v>
      </c>
      <c r="EX216" s="231">
        <v>3048.68</v>
      </c>
      <c r="EY216" s="228">
        <v>-293.54000000000002</v>
      </c>
      <c r="EZ216" s="229">
        <v>-9.6299999999999997E-2</v>
      </c>
      <c r="FA216" s="229">
        <v>0.77749999999999997</v>
      </c>
      <c r="FB216" s="227" t="s">
        <v>567</v>
      </c>
      <c r="FC216">
        <f t="shared" si="4"/>
        <v>0</v>
      </c>
    </row>
    <row r="217" spans="1:159" ht="17.25" thickBot="1" x14ac:dyDescent="0.3">
      <c r="A217" s="226">
        <v>46135</v>
      </c>
      <c r="B217" s="227" t="s">
        <v>184</v>
      </c>
      <c r="C217" s="227" t="s">
        <v>690</v>
      </c>
      <c r="D217" s="228">
        <v>175</v>
      </c>
      <c r="E217" s="228">
        <v>5</v>
      </c>
      <c r="F217" s="231">
        <v>3416.1</v>
      </c>
      <c r="G217" s="231">
        <v>3435.8</v>
      </c>
      <c r="H217" s="228">
        <v>-19.7</v>
      </c>
      <c r="I217" s="229">
        <v>-5.7000000000000002E-3</v>
      </c>
      <c r="J217" s="231">
        <v>3413</v>
      </c>
      <c r="K217" s="231">
        <v>3427.8</v>
      </c>
      <c r="L217" s="228">
        <v>-14.8</v>
      </c>
      <c r="M217" s="229">
        <v>-4.3E-3</v>
      </c>
      <c r="N217" s="231">
        <v>3416.1</v>
      </c>
      <c r="O217" s="231">
        <v>3435.8</v>
      </c>
      <c r="P217" s="228">
        <v>-19.7</v>
      </c>
      <c r="Q217" s="229">
        <v>-5.7000000000000002E-3</v>
      </c>
      <c r="R217" s="231">
        <v>3438</v>
      </c>
      <c r="S217" s="231">
        <v>3452.2</v>
      </c>
      <c r="T217" s="228">
        <v>-14.2</v>
      </c>
      <c r="U217" s="229">
        <v>-4.1000000000000003E-3</v>
      </c>
      <c r="V217" s="231">
        <v>3459.4</v>
      </c>
      <c r="W217" s="231">
        <v>3477.5</v>
      </c>
      <c r="X217" s="228">
        <v>-18.100000000000001</v>
      </c>
      <c r="Y217" s="229">
        <v>-5.1999999999999998E-3</v>
      </c>
      <c r="Z217" s="228">
        <v>3.1</v>
      </c>
      <c r="AA217" s="228">
        <v>8</v>
      </c>
      <c r="AB217" s="228">
        <v>-4.9000000000000004</v>
      </c>
      <c r="AC217" s="229">
        <v>8.9999999999999998E-4</v>
      </c>
      <c r="AD217" s="228">
        <v>3.1</v>
      </c>
      <c r="AE217" s="228">
        <v>8</v>
      </c>
      <c r="AF217" s="228">
        <v>-4.9000000000000004</v>
      </c>
      <c r="AG217" s="229">
        <v>8.9999999999999998E-4</v>
      </c>
      <c r="AH217" s="228">
        <v>25</v>
      </c>
      <c r="AI217" s="228">
        <v>24.4</v>
      </c>
      <c r="AJ217" s="228">
        <v>0.6</v>
      </c>
      <c r="AK217" s="229">
        <v>7.3000000000000001E-3</v>
      </c>
      <c r="AL217" s="228">
        <v>46.4</v>
      </c>
      <c r="AM217" s="228">
        <v>49.7</v>
      </c>
      <c r="AN217" s="228">
        <v>-3.3</v>
      </c>
      <c r="AO217" s="229">
        <v>1.3599999999999999E-2</v>
      </c>
      <c r="AP217" s="231">
        <v>3448.78</v>
      </c>
      <c r="AQ217" s="231">
        <v>3471.09</v>
      </c>
      <c r="AR217" s="228">
        <v>0</v>
      </c>
      <c r="AS217" s="230">
        <v>1000</v>
      </c>
      <c r="AT217" s="228">
        <v>413</v>
      </c>
      <c r="AU217" s="228">
        <v>586</v>
      </c>
      <c r="AV217" s="229">
        <v>1.4187000000000001</v>
      </c>
      <c r="AW217" s="228">
        <v>564</v>
      </c>
      <c r="AX217" s="228">
        <v>294</v>
      </c>
      <c r="AY217" s="228">
        <v>270</v>
      </c>
      <c r="AZ217" s="229">
        <v>0.91710000000000003</v>
      </c>
      <c r="BA217" s="228">
        <v>423</v>
      </c>
      <c r="BB217" s="228">
        <v>116</v>
      </c>
      <c r="BC217" s="228">
        <v>307</v>
      </c>
      <c r="BD217" s="229">
        <v>2.6440000000000001</v>
      </c>
      <c r="BE217" s="228">
        <v>12</v>
      </c>
      <c r="BF217" s="228">
        <v>3</v>
      </c>
      <c r="BG217" s="228">
        <v>9</v>
      </c>
      <c r="BH217" s="229">
        <v>3.3260999999999998</v>
      </c>
      <c r="BI217" s="230">
        <v>1479</v>
      </c>
      <c r="BJ217" s="230">
        <v>1675</v>
      </c>
      <c r="BK217" s="228">
        <v>-196</v>
      </c>
      <c r="BL217" s="229">
        <v>-0.1168</v>
      </c>
      <c r="BM217" s="228">
        <v>905</v>
      </c>
      <c r="BN217" s="228">
        <v>970</v>
      </c>
      <c r="BO217" s="228">
        <v>-65</v>
      </c>
      <c r="BP217" s="229">
        <v>-6.7100000000000007E-2</v>
      </c>
      <c r="BQ217" s="230">
        <v>3384</v>
      </c>
      <c r="BR217" s="230">
        <v>3058</v>
      </c>
      <c r="BS217" s="228">
        <v>326</v>
      </c>
      <c r="BT217" s="229">
        <v>0.1065</v>
      </c>
      <c r="BU217" s="230">
        <v>1301596</v>
      </c>
      <c r="BV217" s="230">
        <v>1301434</v>
      </c>
      <c r="BW217" s="228">
        <v>162</v>
      </c>
      <c r="BX217" s="229">
        <v>1E-4</v>
      </c>
      <c r="BY217" s="230">
        <v>1809</v>
      </c>
      <c r="BZ217" s="230">
        <v>1806</v>
      </c>
      <c r="CA217" s="228">
        <v>4</v>
      </c>
      <c r="CB217" s="229">
        <v>2.0999999999999999E-3</v>
      </c>
      <c r="CC217" s="230">
        <v>1230</v>
      </c>
      <c r="CD217" s="230">
        <v>1566</v>
      </c>
      <c r="CE217" s="228">
        <v>-336</v>
      </c>
      <c r="CF217" s="229">
        <v>-0.21440000000000001</v>
      </c>
      <c r="CG217" s="228">
        <v>561</v>
      </c>
      <c r="CH217" s="228">
        <v>232</v>
      </c>
      <c r="CI217" s="228">
        <v>328</v>
      </c>
      <c r="CJ217" s="229">
        <v>1.4133</v>
      </c>
      <c r="CK217" s="228">
        <v>18</v>
      </c>
      <c r="CL217" s="228">
        <v>7</v>
      </c>
      <c r="CM217" s="228">
        <v>11</v>
      </c>
      <c r="CN217" s="229">
        <v>1.5164</v>
      </c>
      <c r="CO217" s="228">
        <v>695</v>
      </c>
      <c r="CP217" s="228">
        <v>701</v>
      </c>
      <c r="CQ217" s="228">
        <v>-6</v>
      </c>
      <c r="CR217" s="229">
        <v>-8.6999999999999994E-3</v>
      </c>
      <c r="CS217" s="228">
        <v>544</v>
      </c>
      <c r="CT217" s="228">
        <v>484</v>
      </c>
      <c r="CU217" s="228">
        <v>59</v>
      </c>
      <c r="CV217" s="229">
        <v>0.1229</v>
      </c>
      <c r="CW217" s="230">
        <v>3048</v>
      </c>
      <c r="CX217" s="230">
        <v>2991</v>
      </c>
      <c r="CY217" s="228">
        <v>57</v>
      </c>
      <c r="CZ217" s="229">
        <v>1.9099999999999999E-2</v>
      </c>
      <c r="DA217" s="228">
        <v>45.92</v>
      </c>
      <c r="DB217" s="228">
        <v>39.369999999999997</v>
      </c>
      <c r="DC217" s="228">
        <v>6.55</v>
      </c>
      <c r="DD217" s="228">
        <v>6.55</v>
      </c>
      <c r="DE217" s="228">
        <v>52.39</v>
      </c>
      <c r="DF217" s="228">
        <v>52.51</v>
      </c>
      <c r="DG217" s="228">
        <v>-6.47</v>
      </c>
      <c r="DH217" s="228">
        <v>-0.12</v>
      </c>
      <c r="DI217" s="228">
        <v>45.51</v>
      </c>
      <c r="DJ217" s="228">
        <v>40.229999999999997</v>
      </c>
      <c r="DK217" s="228">
        <v>5.28</v>
      </c>
      <c r="DL217" s="228">
        <v>5.28</v>
      </c>
      <c r="DM217" s="228">
        <v>47</v>
      </c>
      <c r="DN217" s="228">
        <v>37.880000000000003</v>
      </c>
      <c r="DO217" s="228">
        <v>9.1199999999999992</v>
      </c>
      <c r="DP217" s="228">
        <v>9.1199999999999992</v>
      </c>
      <c r="DQ217" s="228">
        <v>0.78</v>
      </c>
      <c r="DR217" s="228">
        <v>0.69</v>
      </c>
      <c r="DS217" s="228">
        <v>0.09</v>
      </c>
      <c r="DT217" s="229">
        <v>0.13039999999999999</v>
      </c>
      <c r="DU217" s="231">
        <v>3500</v>
      </c>
      <c r="DV217" s="231">
        <v>3350</v>
      </c>
      <c r="DW217" s="228">
        <v>0.61</v>
      </c>
      <c r="DX217" s="228">
        <v>0.57999999999999996</v>
      </c>
      <c r="DY217" s="228">
        <v>0.03</v>
      </c>
      <c r="DZ217" s="229">
        <v>5.1700000000000003E-2</v>
      </c>
      <c r="EA217" s="229">
        <v>0.32</v>
      </c>
      <c r="EB217" s="230">
        <v>701400</v>
      </c>
      <c r="EC217" s="229">
        <v>6.4000000000000003E-3</v>
      </c>
      <c r="ED217" s="229">
        <v>0.32</v>
      </c>
      <c r="EE217" s="228">
        <v>22.31</v>
      </c>
      <c r="EF217" s="229">
        <v>6.4999999999999997E-3</v>
      </c>
      <c r="EG217" s="230">
        <v>430392</v>
      </c>
      <c r="EH217" s="230">
        <v>407298</v>
      </c>
      <c r="EI217" s="229">
        <v>5.67E-2</v>
      </c>
      <c r="EJ217" s="229">
        <v>0.33069999999999999</v>
      </c>
      <c r="EK217" s="231">
        <v>1551.59</v>
      </c>
      <c r="EL217" s="228">
        <v>891.66</v>
      </c>
      <c r="EM217" s="231">
        <v>1012.17</v>
      </c>
      <c r="EN217" s="228">
        <v>73.27</v>
      </c>
      <c r="EO217" s="231">
        <v>3455.41</v>
      </c>
      <c r="EP217" s="231">
        <v>3159.43</v>
      </c>
      <c r="EQ217" s="228">
        <v>295.99</v>
      </c>
      <c r="ER217" s="229">
        <v>9.3700000000000006E-2</v>
      </c>
      <c r="ES217" s="228">
        <v>710.63</v>
      </c>
      <c r="ET217" s="228">
        <v>514.14</v>
      </c>
      <c r="EU217" s="231">
        <v>1813.06</v>
      </c>
      <c r="EV217" s="231">
        <v>15436318</v>
      </c>
      <c r="EW217" s="231">
        <v>3037.84</v>
      </c>
      <c r="EX217" s="231">
        <v>2987.85</v>
      </c>
      <c r="EY217" s="228">
        <v>49.99</v>
      </c>
      <c r="EZ217" s="229">
        <v>1.67E-2</v>
      </c>
      <c r="FA217" s="229">
        <v>0.57799999999999996</v>
      </c>
      <c r="FB217" s="227" t="s">
        <v>566</v>
      </c>
      <c r="FC217">
        <f t="shared" si="4"/>
        <v>0</v>
      </c>
    </row>
    <row r="218" spans="1:159" ht="17.25" thickBot="1" x14ac:dyDescent="0.3">
      <c r="A218" s="226">
        <v>46135</v>
      </c>
      <c r="B218" s="227" t="s">
        <v>221</v>
      </c>
      <c r="C218" s="227" t="s">
        <v>306</v>
      </c>
      <c r="D218" s="228">
        <v>3000</v>
      </c>
      <c r="E218" s="228">
        <v>5</v>
      </c>
      <c r="F218" s="228">
        <v>202.85</v>
      </c>
      <c r="G218" s="228">
        <v>203.81</v>
      </c>
      <c r="H218" s="228">
        <v>-0.96</v>
      </c>
      <c r="I218" s="229">
        <v>-4.7000000000000002E-3</v>
      </c>
      <c r="J218" s="228">
        <v>202.76</v>
      </c>
      <c r="K218" s="228">
        <v>204</v>
      </c>
      <c r="L218" s="228">
        <v>-1.24</v>
      </c>
      <c r="M218" s="229">
        <v>-6.1000000000000004E-3</v>
      </c>
      <c r="N218" s="228">
        <v>202.85</v>
      </c>
      <c r="O218" s="228">
        <v>203.81</v>
      </c>
      <c r="P218" s="228">
        <v>-0.96</v>
      </c>
      <c r="Q218" s="229">
        <v>-4.7000000000000002E-3</v>
      </c>
      <c r="R218" s="228">
        <v>198.25</v>
      </c>
      <c r="S218" s="228">
        <v>200.26</v>
      </c>
      <c r="T218" s="228">
        <v>-2.0099999999999998</v>
      </c>
      <c r="U218" s="229">
        <v>-0.01</v>
      </c>
      <c r="V218" s="228">
        <v>195.08</v>
      </c>
      <c r="W218" s="228">
        <v>197.67</v>
      </c>
      <c r="X218" s="228">
        <v>-2.59</v>
      </c>
      <c r="Y218" s="229">
        <v>-1.3100000000000001E-2</v>
      </c>
      <c r="Z218" s="228">
        <v>0.09</v>
      </c>
      <c r="AA218" s="228">
        <v>-0.19</v>
      </c>
      <c r="AB218" s="228">
        <v>0.28000000000000003</v>
      </c>
      <c r="AC218" s="229">
        <v>4.0000000000000002E-4</v>
      </c>
      <c r="AD218" s="228">
        <v>0.09</v>
      </c>
      <c r="AE218" s="228">
        <v>-0.19</v>
      </c>
      <c r="AF218" s="228">
        <v>0.28000000000000003</v>
      </c>
      <c r="AG218" s="229">
        <v>4.0000000000000002E-4</v>
      </c>
      <c r="AH218" s="228">
        <v>-4.51</v>
      </c>
      <c r="AI218" s="228">
        <v>-3.74</v>
      </c>
      <c r="AJ218" s="228">
        <v>-0.77</v>
      </c>
      <c r="AK218" s="229">
        <v>-2.2200000000000001E-2</v>
      </c>
      <c r="AL218" s="228">
        <v>-7.68</v>
      </c>
      <c r="AM218" s="228">
        <v>-6.33</v>
      </c>
      <c r="AN218" s="228">
        <v>-1.35</v>
      </c>
      <c r="AO218" s="229">
        <v>-3.7900000000000003E-2</v>
      </c>
      <c r="AP218" s="228">
        <v>203.22</v>
      </c>
      <c r="AQ218" s="228">
        <v>198.82</v>
      </c>
      <c r="AR218" s="228">
        <v>0</v>
      </c>
      <c r="AS218" s="230">
        <v>3956</v>
      </c>
      <c r="AT218" s="230">
        <v>1524</v>
      </c>
      <c r="AU218" s="230">
        <v>2432</v>
      </c>
      <c r="AV218" s="229">
        <v>1.5963000000000001</v>
      </c>
      <c r="AW218" s="230">
        <v>1930</v>
      </c>
      <c r="AX218" s="228">
        <v>838</v>
      </c>
      <c r="AY218" s="230">
        <v>1092</v>
      </c>
      <c r="AZ218" s="229">
        <v>1.3027</v>
      </c>
      <c r="BA218" s="230">
        <v>1967</v>
      </c>
      <c r="BB218" s="228">
        <v>606</v>
      </c>
      <c r="BC218" s="230">
        <v>1362</v>
      </c>
      <c r="BD218" s="229">
        <v>2.2484999999999999</v>
      </c>
      <c r="BE218" s="228">
        <v>58</v>
      </c>
      <c r="BF218" s="228">
        <v>80</v>
      </c>
      <c r="BG218" s="228">
        <v>-21</v>
      </c>
      <c r="BH218" s="229">
        <v>-0.26929999999999998</v>
      </c>
      <c r="BI218" s="230">
        <v>2634</v>
      </c>
      <c r="BJ218" s="230">
        <v>3862</v>
      </c>
      <c r="BK218" s="230">
        <v>-1229</v>
      </c>
      <c r="BL218" s="229">
        <v>-0.31819999999999998</v>
      </c>
      <c r="BM218" s="230">
        <v>1555</v>
      </c>
      <c r="BN218" s="230">
        <v>2249</v>
      </c>
      <c r="BO218" s="228">
        <v>-694</v>
      </c>
      <c r="BP218" s="229">
        <v>-0.3085</v>
      </c>
      <c r="BQ218" s="230">
        <v>8145</v>
      </c>
      <c r="BR218" s="230">
        <v>7635</v>
      </c>
      <c r="BS218" s="228">
        <v>509</v>
      </c>
      <c r="BT218" s="229">
        <v>6.6699999999999995E-2</v>
      </c>
      <c r="BU218" s="230">
        <v>21388296</v>
      </c>
      <c r="BV218" s="230">
        <v>22895073</v>
      </c>
      <c r="BW218" s="230">
        <v>-1506777</v>
      </c>
      <c r="BX218" s="229">
        <v>-6.5799999999999997E-2</v>
      </c>
      <c r="BY218" s="230">
        <v>6042</v>
      </c>
      <c r="BZ218" s="230">
        <v>6723</v>
      </c>
      <c r="CA218" s="228">
        <v>-681</v>
      </c>
      <c r="CB218" s="229">
        <v>-0.1013</v>
      </c>
      <c r="CC218" s="230">
        <v>3248</v>
      </c>
      <c r="CD218" s="230">
        <v>4646</v>
      </c>
      <c r="CE218" s="230">
        <v>-1397</v>
      </c>
      <c r="CF218" s="229">
        <v>-0.30080000000000001</v>
      </c>
      <c r="CG218" s="230">
        <v>2526</v>
      </c>
      <c r="CH218" s="230">
        <v>1843</v>
      </c>
      <c r="CI218" s="228">
        <v>683</v>
      </c>
      <c r="CJ218" s="229">
        <v>0.3705</v>
      </c>
      <c r="CK218" s="228">
        <v>267</v>
      </c>
      <c r="CL218" s="228">
        <v>234</v>
      </c>
      <c r="CM218" s="228">
        <v>33</v>
      </c>
      <c r="CN218" s="229">
        <v>0.1414</v>
      </c>
      <c r="CO218" s="230">
        <v>3417</v>
      </c>
      <c r="CP218" s="230">
        <v>3374</v>
      </c>
      <c r="CQ218" s="228">
        <v>43</v>
      </c>
      <c r="CR218" s="229">
        <v>1.2800000000000001E-2</v>
      </c>
      <c r="CS218" s="230">
        <v>1756</v>
      </c>
      <c r="CT218" s="230">
        <v>1806</v>
      </c>
      <c r="CU218" s="228">
        <v>-50</v>
      </c>
      <c r="CV218" s="229">
        <v>-2.75E-2</v>
      </c>
      <c r="CW218" s="230">
        <v>11215</v>
      </c>
      <c r="CX218" s="230">
        <v>11902</v>
      </c>
      <c r="CY218" s="228">
        <v>-688</v>
      </c>
      <c r="CZ218" s="229">
        <v>-5.7799999999999997E-2</v>
      </c>
      <c r="DA218" s="228">
        <v>32.68</v>
      </c>
      <c r="DB218" s="228">
        <v>27.74</v>
      </c>
      <c r="DC218" s="228">
        <v>4.9400000000000004</v>
      </c>
      <c r="DD218" s="228">
        <v>4.9400000000000004</v>
      </c>
      <c r="DE218" s="228">
        <v>31.26</v>
      </c>
      <c r="DF218" s="228">
        <v>31.33</v>
      </c>
      <c r="DG218" s="228">
        <v>1.42</v>
      </c>
      <c r="DH218" s="228">
        <v>-7.0000000000000007E-2</v>
      </c>
      <c r="DI218" s="228">
        <v>33.31</v>
      </c>
      <c r="DJ218" s="228">
        <v>27.31</v>
      </c>
      <c r="DK218" s="228">
        <v>6</v>
      </c>
      <c r="DL218" s="228">
        <v>6</v>
      </c>
      <c r="DM218" s="228">
        <v>31.1</v>
      </c>
      <c r="DN218" s="228">
        <v>28.5</v>
      </c>
      <c r="DO218" s="228">
        <v>2.6</v>
      </c>
      <c r="DP218" s="228">
        <v>2.6</v>
      </c>
      <c r="DQ218" s="228">
        <v>0.51</v>
      </c>
      <c r="DR218" s="228">
        <v>0.54</v>
      </c>
      <c r="DS218" s="228">
        <v>-0.03</v>
      </c>
      <c r="DT218" s="229">
        <v>-5.5599999999999997E-2</v>
      </c>
      <c r="DU218" s="228">
        <v>210</v>
      </c>
      <c r="DV218" s="228">
        <v>200</v>
      </c>
      <c r="DW218" s="228">
        <v>0.59</v>
      </c>
      <c r="DX218" s="228">
        <v>0.57999999999999996</v>
      </c>
      <c r="DY218" s="228">
        <v>0.01</v>
      </c>
      <c r="DZ218" s="229">
        <v>1.72E-2</v>
      </c>
      <c r="EA218" s="229">
        <v>0.46229999999999999</v>
      </c>
      <c r="EB218" s="230">
        <v>102402000</v>
      </c>
      <c r="EC218" s="229">
        <v>-2.2700000000000001E-2</v>
      </c>
      <c r="ED218" s="229">
        <v>0.46229999999999999</v>
      </c>
      <c r="EE218" s="228">
        <v>-4.4000000000000004</v>
      </c>
      <c r="EF218" s="229">
        <v>-2.1700000000000001E-2</v>
      </c>
      <c r="EG218" s="230">
        <v>12554182</v>
      </c>
      <c r="EH218" s="230">
        <v>11769080</v>
      </c>
      <c r="EI218" s="229">
        <v>6.6699999999999995E-2</v>
      </c>
      <c r="EJ218" s="229">
        <v>0.58699999999999997</v>
      </c>
      <c r="EK218" s="231">
        <v>2751.34</v>
      </c>
      <c r="EL218" s="231">
        <v>1542.32</v>
      </c>
      <c r="EM218" s="231">
        <v>3918.34</v>
      </c>
      <c r="EN218" s="228">
        <v>220.72</v>
      </c>
      <c r="EO218" s="231">
        <v>8212</v>
      </c>
      <c r="EP218" s="231">
        <v>7793.88</v>
      </c>
      <c r="EQ218" s="228">
        <v>418.12</v>
      </c>
      <c r="ER218" s="229">
        <v>5.3600000000000002E-2</v>
      </c>
      <c r="ES218" s="231">
        <v>3606.04</v>
      </c>
      <c r="ET218" s="231">
        <v>1705.87</v>
      </c>
      <c r="EU218" s="231">
        <v>5973.98</v>
      </c>
      <c r="EV218" s="231">
        <v>428710078</v>
      </c>
      <c r="EW218" s="231">
        <v>11285.89</v>
      </c>
      <c r="EX218" s="231">
        <v>12035.67</v>
      </c>
      <c r="EY218" s="228">
        <v>-749.78</v>
      </c>
      <c r="EZ218" s="229">
        <v>-6.2300000000000001E-2</v>
      </c>
      <c r="FA218" s="229">
        <v>1.2896000000000001</v>
      </c>
      <c r="FB218" s="227" t="s">
        <v>567</v>
      </c>
      <c r="FC218">
        <f t="shared" si="4"/>
        <v>0</v>
      </c>
    </row>
    <row r="219" spans="1:159" ht="17.25" thickBot="1" x14ac:dyDescent="0.3">
      <c r="A219" s="226">
        <v>46135</v>
      </c>
      <c r="B219" s="227" t="s">
        <v>172</v>
      </c>
      <c r="C219" s="227" t="s">
        <v>589</v>
      </c>
      <c r="D219" s="228">
        <v>31100</v>
      </c>
      <c r="E219" s="228">
        <v>5</v>
      </c>
      <c r="F219" s="228">
        <v>20</v>
      </c>
      <c r="G219" s="228">
        <v>20</v>
      </c>
      <c r="H219" s="228">
        <v>0</v>
      </c>
      <c r="I219" s="229">
        <v>0</v>
      </c>
      <c r="J219" s="228">
        <v>20.03</v>
      </c>
      <c r="K219" s="228">
        <v>19.989999999999998</v>
      </c>
      <c r="L219" s="228">
        <v>0.04</v>
      </c>
      <c r="M219" s="229">
        <v>2E-3</v>
      </c>
      <c r="N219" s="228">
        <v>20</v>
      </c>
      <c r="O219" s="228">
        <v>20</v>
      </c>
      <c r="P219" s="228">
        <v>0</v>
      </c>
      <c r="Q219" s="229">
        <v>0</v>
      </c>
      <c r="R219" s="228">
        <v>20.100000000000001</v>
      </c>
      <c r="S219" s="228">
        <v>20.12</v>
      </c>
      <c r="T219" s="228">
        <v>-0.02</v>
      </c>
      <c r="U219" s="229">
        <v>-1E-3</v>
      </c>
      <c r="V219" s="228">
        <v>20.22</v>
      </c>
      <c r="W219" s="228">
        <v>20.25</v>
      </c>
      <c r="X219" s="228">
        <v>-0.03</v>
      </c>
      <c r="Y219" s="229">
        <v>-1.5E-3</v>
      </c>
      <c r="Z219" s="228">
        <v>-0.03</v>
      </c>
      <c r="AA219" s="228">
        <v>0.01</v>
      </c>
      <c r="AB219" s="228">
        <v>-0.04</v>
      </c>
      <c r="AC219" s="229">
        <v>-1.5E-3</v>
      </c>
      <c r="AD219" s="228">
        <v>-0.03</v>
      </c>
      <c r="AE219" s="228">
        <v>0.01</v>
      </c>
      <c r="AF219" s="228">
        <v>-0.04</v>
      </c>
      <c r="AG219" s="229">
        <v>-1.5E-3</v>
      </c>
      <c r="AH219" s="228">
        <v>7.0000000000000007E-2</v>
      </c>
      <c r="AI219" s="228">
        <v>0.13</v>
      </c>
      <c r="AJ219" s="228">
        <v>-0.06</v>
      </c>
      <c r="AK219" s="229">
        <v>3.5000000000000001E-3</v>
      </c>
      <c r="AL219" s="228">
        <v>0.19</v>
      </c>
      <c r="AM219" s="228">
        <v>0.26</v>
      </c>
      <c r="AN219" s="228">
        <v>-7.0000000000000007E-2</v>
      </c>
      <c r="AO219" s="229">
        <v>9.4999999999999998E-3</v>
      </c>
      <c r="AP219" s="228">
        <v>19.95</v>
      </c>
      <c r="AQ219" s="228">
        <v>20.04</v>
      </c>
      <c r="AR219" s="228">
        <v>0</v>
      </c>
      <c r="AS219" s="230">
        <v>1245</v>
      </c>
      <c r="AT219" s="228">
        <v>415</v>
      </c>
      <c r="AU219" s="228">
        <v>829</v>
      </c>
      <c r="AV219" s="229">
        <v>1.9963</v>
      </c>
      <c r="AW219" s="228">
        <v>613</v>
      </c>
      <c r="AX219" s="228">
        <v>259</v>
      </c>
      <c r="AY219" s="228">
        <v>354</v>
      </c>
      <c r="AZ219" s="229">
        <v>1.3648</v>
      </c>
      <c r="BA219" s="228">
        <v>613</v>
      </c>
      <c r="BB219" s="228">
        <v>142</v>
      </c>
      <c r="BC219" s="228">
        <v>471</v>
      </c>
      <c r="BD219" s="229">
        <v>3.3281000000000001</v>
      </c>
      <c r="BE219" s="228">
        <v>19</v>
      </c>
      <c r="BF219" s="228">
        <v>15</v>
      </c>
      <c r="BG219" s="228">
        <v>4</v>
      </c>
      <c r="BH219" s="229">
        <v>0.2863</v>
      </c>
      <c r="BI219" s="228">
        <v>827</v>
      </c>
      <c r="BJ219" s="230">
        <v>1328</v>
      </c>
      <c r="BK219" s="228">
        <v>-501</v>
      </c>
      <c r="BL219" s="229">
        <v>-0.37719999999999998</v>
      </c>
      <c r="BM219" s="228">
        <v>370</v>
      </c>
      <c r="BN219" s="228">
        <v>413</v>
      </c>
      <c r="BO219" s="228">
        <v>-43</v>
      </c>
      <c r="BP219" s="229">
        <v>-0.1038</v>
      </c>
      <c r="BQ219" s="230">
        <v>2442</v>
      </c>
      <c r="BR219" s="230">
        <v>2157</v>
      </c>
      <c r="BS219" s="228">
        <v>286</v>
      </c>
      <c r="BT219" s="229">
        <v>0.13239999999999999</v>
      </c>
      <c r="BU219" s="230">
        <v>91466908</v>
      </c>
      <c r="BV219" s="230">
        <v>105520105</v>
      </c>
      <c r="BW219" s="230">
        <v>-14053197</v>
      </c>
      <c r="BX219" s="229">
        <v>-0.13320000000000001</v>
      </c>
      <c r="BY219" s="230">
        <v>2590</v>
      </c>
      <c r="BZ219" s="230">
        <v>2591</v>
      </c>
      <c r="CA219" s="228">
        <v>-1</v>
      </c>
      <c r="CB219" s="229">
        <v>-5.0000000000000001E-4</v>
      </c>
      <c r="CC219" s="230">
        <v>1405</v>
      </c>
      <c r="CD219" s="230">
        <v>1895</v>
      </c>
      <c r="CE219" s="228">
        <v>-490</v>
      </c>
      <c r="CF219" s="229">
        <v>-0.25869999999999999</v>
      </c>
      <c r="CG219" s="230">
        <v>1108</v>
      </c>
      <c r="CH219" s="228">
        <v>630</v>
      </c>
      <c r="CI219" s="228">
        <v>477</v>
      </c>
      <c r="CJ219" s="229">
        <v>0.75700000000000001</v>
      </c>
      <c r="CK219" s="228">
        <v>78</v>
      </c>
      <c r="CL219" s="228">
        <v>66</v>
      </c>
      <c r="CM219" s="228">
        <v>12</v>
      </c>
      <c r="CN219" s="229">
        <v>0.17660000000000001</v>
      </c>
      <c r="CO219" s="230">
        <v>1315</v>
      </c>
      <c r="CP219" s="230">
        <v>1369</v>
      </c>
      <c r="CQ219" s="228">
        <v>-54</v>
      </c>
      <c r="CR219" s="229">
        <v>-3.9199999999999999E-2</v>
      </c>
      <c r="CS219" s="228">
        <v>694</v>
      </c>
      <c r="CT219" s="228">
        <v>709</v>
      </c>
      <c r="CU219" s="228">
        <v>-16</v>
      </c>
      <c r="CV219" s="229">
        <v>-2.2100000000000002E-2</v>
      </c>
      <c r="CW219" s="230">
        <v>4599</v>
      </c>
      <c r="CX219" s="230">
        <v>4669</v>
      </c>
      <c r="CY219" s="228">
        <v>-71</v>
      </c>
      <c r="CZ219" s="229">
        <v>-1.5100000000000001E-2</v>
      </c>
      <c r="DA219" s="228">
        <v>34.520000000000003</v>
      </c>
      <c r="DB219" s="228">
        <v>34.869999999999997</v>
      </c>
      <c r="DC219" s="228">
        <v>-0.35</v>
      </c>
      <c r="DD219" s="228">
        <v>-0.35</v>
      </c>
      <c r="DE219" s="228">
        <v>38.409999999999997</v>
      </c>
      <c r="DF219" s="228">
        <v>38.5</v>
      </c>
      <c r="DG219" s="228">
        <v>-3.89</v>
      </c>
      <c r="DH219" s="228">
        <v>-0.09</v>
      </c>
      <c r="DI219" s="228">
        <v>34.75</v>
      </c>
      <c r="DJ219" s="228">
        <v>35.97</v>
      </c>
      <c r="DK219" s="228">
        <v>-1.22</v>
      </c>
      <c r="DL219" s="228">
        <v>-1.22</v>
      </c>
      <c r="DM219" s="228">
        <v>33.67</v>
      </c>
      <c r="DN219" s="228">
        <v>31.35</v>
      </c>
      <c r="DO219" s="228">
        <v>2.3199999999999998</v>
      </c>
      <c r="DP219" s="228">
        <v>2.3199999999999998</v>
      </c>
      <c r="DQ219" s="228">
        <v>0.53</v>
      </c>
      <c r="DR219" s="228">
        <v>0.52</v>
      </c>
      <c r="DS219" s="228">
        <v>0.01</v>
      </c>
      <c r="DT219" s="229">
        <v>1.9199999999999998E-2</v>
      </c>
      <c r="DU219" s="228">
        <v>22</v>
      </c>
      <c r="DV219" s="228">
        <v>20</v>
      </c>
      <c r="DW219" s="228">
        <v>0.45</v>
      </c>
      <c r="DX219" s="228">
        <v>0.31</v>
      </c>
      <c r="DY219" s="228">
        <v>0.14000000000000001</v>
      </c>
      <c r="DZ219" s="229">
        <v>0.4516</v>
      </c>
      <c r="EA219" s="229">
        <v>0.45760000000000001</v>
      </c>
      <c r="EB219" s="230">
        <v>348164500</v>
      </c>
      <c r="EC219" s="229">
        <v>5.0000000000000001E-3</v>
      </c>
      <c r="ED219" s="229">
        <v>0.45760000000000001</v>
      </c>
      <c r="EE219" s="228">
        <v>0.09</v>
      </c>
      <c r="EF219" s="229">
        <v>4.4999999999999997E-3</v>
      </c>
      <c r="EG219" s="230">
        <v>44502658</v>
      </c>
      <c r="EH219" s="230">
        <v>46535782</v>
      </c>
      <c r="EI219" s="229">
        <v>-4.3700000000000003E-2</v>
      </c>
      <c r="EJ219" s="229">
        <v>0.48649999999999999</v>
      </c>
      <c r="EK219" s="228">
        <v>877.07</v>
      </c>
      <c r="EL219" s="228">
        <v>366.03</v>
      </c>
      <c r="EM219" s="231">
        <v>1244.74</v>
      </c>
      <c r="EN219" s="228">
        <v>95.82</v>
      </c>
      <c r="EO219" s="231">
        <v>2487.83</v>
      </c>
      <c r="EP219" s="231">
        <v>2248.4299999999998</v>
      </c>
      <c r="EQ219" s="228">
        <v>239.4</v>
      </c>
      <c r="ER219" s="229">
        <v>0.1065</v>
      </c>
      <c r="ES219" s="231">
        <v>1414.81</v>
      </c>
      <c r="ET219" s="228">
        <v>643.25</v>
      </c>
      <c r="EU219" s="231">
        <v>2596.34</v>
      </c>
      <c r="EV219" s="231">
        <v>3425130022</v>
      </c>
      <c r="EW219" s="231">
        <v>4654.3900000000003</v>
      </c>
      <c r="EX219" s="231">
        <v>4723.5600000000004</v>
      </c>
      <c r="EY219" s="228">
        <v>-69.17</v>
      </c>
      <c r="EZ219" s="229">
        <v>-1.46E-2</v>
      </c>
      <c r="FA219" s="229">
        <v>0.67130000000000001</v>
      </c>
      <c r="FB219" s="227" t="s">
        <v>237</v>
      </c>
      <c r="FC219">
        <f t="shared" si="4"/>
        <v>0</v>
      </c>
    </row>
    <row r="220" spans="1:159" ht="17.25" thickBot="1" x14ac:dyDescent="0.3">
      <c r="A220" s="226">
        <v>46135</v>
      </c>
      <c r="B220" s="227" t="s">
        <v>170</v>
      </c>
      <c r="C220" s="227" t="s">
        <v>556</v>
      </c>
      <c r="D220" s="228">
        <v>900</v>
      </c>
      <c r="E220" s="228">
        <v>5</v>
      </c>
      <c r="F220" s="228">
        <v>946.55</v>
      </c>
      <c r="G220" s="228">
        <v>930.55</v>
      </c>
      <c r="H220" s="228">
        <v>16</v>
      </c>
      <c r="I220" s="229">
        <v>1.72E-2</v>
      </c>
      <c r="J220" s="228">
        <v>946.35</v>
      </c>
      <c r="K220" s="228">
        <v>929.9</v>
      </c>
      <c r="L220" s="228">
        <v>16.45</v>
      </c>
      <c r="M220" s="229">
        <v>1.77E-2</v>
      </c>
      <c r="N220" s="228">
        <v>946.55</v>
      </c>
      <c r="O220" s="228">
        <v>930.55</v>
      </c>
      <c r="P220" s="228">
        <v>16</v>
      </c>
      <c r="Q220" s="229">
        <v>1.72E-2</v>
      </c>
      <c r="R220" s="228">
        <v>951.9</v>
      </c>
      <c r="S220" s="228">
        <v>936.15</v>
      </c>
      <c r="T220" s="228">
        <v>15.75</v>
      </c>
      <c r="U220" s="229">
        <v>1.6799999999999999E-2</v>
      </c>
      <c r="V220" s="228">
        <v>957.6</v>
      </c>
      <c r="W220" s="228">
        <v>938.95</v>
      </c>
      <c r="X220" s="228">
        <v>18.649999999999999</v>
      </c>
      <c r="Y220" s="229">
        <v>1.9900000000000001E-2</v>
      </c>
      <c r="Z220" s="228">
        <v>0.2</v>
      </c>
      <c r="AA220" s="228">
        <v>0.65</v>
      </c>
      <c r="AB220" s="228">
        <v>-0.45</v>
      </c>
      <c r="AC220" s="229">
        <v>2.0000000000000001E-4</v>
      </c>
      <c r="AD220" s="228">
        <v>0.2</v>
      </c>
      <c r="AE220" s="228">
        <v>0.65</v>
      </c>
      <c r="AF220" s="228">
        <v>-0.45</v>
      </c>
      <c r="AG220" s="229">
        <v>2.0000000000000001E-4</v>
      </c>
      <c r="AH220" s="228">
        <v>5.55</v>
      </c>
      <c r="AI220" s="228">
        <v>6.25</v>
      </c>
      <c r="AJ220" s="228">
        <v>-0.7</v>
      </c>
      <c r="AK220" s="229">
        <v>5.8999999999999999E-3</v>
      </c>
      <c r="AL220" s="228">
        <v>11.25</v>
      </c>
      <c r="AM220" s="228">
        <v>9.0500000000000007</v>
      </c>
      <c r="AN220" s="228">
        <v>2.2000000000000002</v>
      </c>
      <c r="AO220" s="229">
        <v>1.1900000000000001E-2</v>
      </c>
      <c r="AP220" s="228">
        <v>947.83</v>
      </c>
      <c r="AQ220" s="228">
        <v>952.86</v>
      </c>
      <c r="AR220" s="228">
        <v>0</v>
      </c>
      <c r="AS220" s="228">
        <v>909</v>
      </c>
      <c r="AT220" s="228">
        <v>136</v>
      </c>
      <c r="AU220" s="228">
        <v>773</v>
      </c>
      <c r="AV220" s="229">
        <v>5.7009999999999996</v>
      </c>
      <c r="AW220" s="228">
        <v>467</v>
      </c>
      <c r="AX220" s="228">
        <v>76</v>
      </c>
      <c r="AY220" s="228">
        <v>391</v>
      </c>
      <c r="AZ220" s="229">
        <v>5.1204999999999998</v>
      </c>
      <c r="BA220" s="228">
        <v>438</v>
      </c>
      <c r="BB220" s="228">
        <v>58</v>
      </c>
      <c r="BC220" s="228">
        <v>380</v>
      </c>
      <c r="BD220" s="229">
        <v>6.5468999999999999</v>
      </c>
      <c r="BE220" s="228">
        <v>3</v>
      </c>
      <c r="BF220" s="228">
        <v>1</v>
      </c>
      <c r="BG220" s="228">
        <v>2</v>
      </c>
      <c r="BH220" s="229">
        <v>1.6429</v>
      </c>
      <c r="BI220" s="230">
        <v>1666</v>
      </c>
      <c r="BJ220" s="228">
        <v>270</v>
      </c>
      <c r="BK220" s="230">
        <v>1397</v>
      </c>
      <c r="BL220" s="229">
        <v>5.1826999999999996</v>
      </c>
      <c r="BM220" s="228">
        <v>420</v>
      </c>
      <c r="BN220" s="228">
        <v>71</v>
      </c>
      <c r="BO220" s="228">
        <v>350</v>
      </c>
      <c r="BP220" s="229">
        <v>4.9600999999999997</v>
      </c>
      <c r="BQ220" s="230">
        <v>2996</v>
      </c>
      <c r="BR220" s="228">
        <v>476</v>
      </c>
      <c r="BS220" s="230">
        <v>2520</v>
      </c>
      <c r="BT220" s="229">
        <v>5.2975000000000003</v>
      </c>
      <c r="BU220" s="230">
        <v>1756135</v>
      </c>
      <c r="BV220" s="230">
        <v>303436</v>
      </c>
      <c r="BW220" s="230">
        <v>1452699</v>
      </c>
      <c r="BX220" s="229">
        <v>4.7874999999999996</v>
      </c>
      <c r="BY220" s="228">
        <v>926</v>
      </c>
      <c r="BZ220" s="228">
        <v>889</v>
      </c>
      <c r="CA220" s="228">
        <v>37</v>
      </c>
      <c r="CB220" s="229">
        <v>4.2200000000000001E-2</v>
      </c>
      <c r="CC220" s="228">
        <v>487</v>
      </c>
      <c r="CD220" s="228">
        <v>765</v>
      </c>
      <c r="CE220" s="228">
        <v>-278</v>
      </c>
      <c r="CF220" s="229">
        <v>-0.3634</v>
      </c>
      <c r="CG220" s="228">
        <v>431</v>
      </c>
      <c r="CH220" s="228">
        <v>117</v>
      </c>
      <c r="CI220" s="228">
        <v>314</v>
      </c>
      <c r="CJ220" s="229">
        <v>2.6863999999999999</v>
      </c>
      <c r="CK220" s="228">
        <v>9</v>
      </c>
      <c r="CL220" s="228">
        <v>7</v>
      </c>
      <c r="CM220" s="228">
        <v>2</v>
      </c>
      <c r="CN220" s="229">
        <v>0.22620000000000001</v>
      </c>
      <c r="CO220" s="228">
        <v>337</v>
      </c>
      <c r="CP220" s="228">
        <v>307</v>
      </c>
      <c r="CQ220" s="228">
        <v>30</v>
      </c>
      <c r="CR220" s="229">
        <v>9.9199999999999997E-2</v>
      </c>
      <c r="CS220" s="228">
        <v>266</v>
      </c>
      <c r="CT220" s="228">
        <v>225</v>
      </c>
      <c r="CU220" s="228">
        <v>41</v>
      </c>
      <c r="CV220" s="229">
        <v>0.18179999999999999</v>
      </c>
      <c r="CW220" s="230">
        <v>1529</v>
      </c>
      <c r="CX220" s="230">
        <v>1421</v>
      </c>
      <c r="CY220" s="228">
        <v>109</v>
      </c>
      <c r="CZ220" s="229">
        <v>7.6600000000000001E-2</v>
      </c>
      <c r="DA220" s="228">
        <v>30.5</v>
      </c>
      <c r="DB220" s="228">
        <v>24.11</v>
      </c>
      <c r="DC220" s="228">
        <v>6.39</v>
      </c>
      <c r="DD220" s="228">
        <v>6.39</v>
      </c>
      <c r="DE220" s="228">
        <v>28.01</v>
      </c>
      <c r="DF220" s="228">
        <v>27.99</v>
      </c>
      <c r="DG220" s="228">
        <v>2.4900000000000002</v>
      </c>
      <c r="DH220" s="228">
        <v>0.02</v>
      </c>
      <c r="DI220" s="228">
        <v>30.6</v>
      </c>
      <c r="DJ220" s="228">
        <v>23.92</v>
      </c>
      <c r="DK220" s="228">
        <v>6.68</v>
      </c>
      <c r="DL220" s="228">
        <v>6.68</v>
      </c>
      <c r="DM220" s="228">
        <v>30.18</v>
      </c>
      <c r="DN220" s="228">
        <v>24.84</v>
      </c>
      <c r="DO220" s="228">
        <v>5.34</v>
      </c>
      <c r="DP220" s="228">
        <v>5.34</v>
      </c>
      <c r="DQ220" s="228">
        <v>0.79</v>
      </c>
      <c r="DR220" s="228">
        <v>0.74</v>
      </c>
      <c r="DS220" s="228">
        <v>0.05</v>
      </c>
      <c r="DT220" s="229">
        <v>6.7599999999999993E-2</v>
      </c>
      <c r="DU220" s="231">
        <v>1000</v>
      </c>
      <c r="DV220" s="228">
        <v>880</v>
      </c>
      <c r="DW220" s="228">
        <v>0.25</v>
      </c>
      <c r="DX220" s="228">
        <v>0.26</v>
      </c>
      <c r="DY220" s="228">
        <v>-0.01</v>
      </c>
      <c r="DZ220" s="229">
        <v>-3.85E-2</v>
      </c>
      <c r="EA220" s="229">
        <v>0.4743</v>
      </c>
      <c r="EB220" s="230">
        <v>1309500</v>
      </c>
      <c r="EC220" s="229">
        <v>5.7000000000000002E-3</v>
      </c>
      <c r="ED220" s="229">
        <v>0.4743</v>
      </c>
      <c r="EE220" s="228">
        <v>5.03</v>
      </c>
      <c r="EF220" s="229">
        <v>5.3E-3</v>
      </c>
      <c r="EG220" s="230">
        <v>553092</v>
      </c>
      <c r="EH220" s="230">
        <v>145159</v>
      </c>
      <c r="EI220" s="229">
        <v>2.8102</v>
      </c>
      <c r="EJ220" s="229">
        <v>0.31490000000000001</v>
      </c>
      <c r="EK220" s="231">
        <v>1718.98</v>
      </c>
      <c r="EL220" s="228">
        <v>414.36</v>
      </c>
      <c r="EM220" s="228">
        <v>912.38</v>
      </c>
      <c r="EN220" s="228">
        <v>14.12</v>
      </c>
      <c r="EO220" s="231">
        <v>3045.73</v>
      </c>
      <c r="EP220" s="228">
        <v>476.24</v>
      </c>
      <c r="EQ220" s="231">
        <v>2569.4899999999998</v>
      </c>
      <c r="ER220" s="229">
        <v>5.3954000000000004</v>
      </c>
      <c r="ES220" s="228">
        <v>339.67</v>
      </c>
      <c r="ET220" s="228">
        <v>253.55</v>
      </c>
      <c r="EU220" s="228">
        <v>928.72</v>
      </c>
      <c r="EV220" s="231">
        <v>25160867</v>
      </c>
      <c r="EW220" s="231">
        <v>1521.93</v>
      </c>
      <c r="EX220" s="231">
        <v>1395.11</v>
      </c>
      <c r="EY220" s="228">
        <v>126.82</v>
      </c>
      <c r="EZ220" s="229">
        <v>9.0899999999999995E-2</v>
      </c>
      <c r="FA220" s="229">
        <v>0.64219999999999999</v>
      </c>
      <c r="FB220" s="227" t="s">
        <v>555</v>
      </c>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BY330-CC330</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BY394-CC394</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CC10" sqref="CC10"/>
    </sheetView>
  </sheetViews>
  <sheetFormatPr defaultRowHeight="15" x14ac:dyDescent="0.25"/>
  <cols>
    <col min="1" max="1" width="12"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85546875" customWidth="1"/>
    <col min="80" max="81" width="15.5703125" customWidth="1"/>
    <col min="82" max="82" width="14.85546875" customWidth="1"/>
    <col min="83" max="83" width="11.42578125" customWidth="1"/>
    <col min="84" max="85" width="15.5703125" customWidth="1"/>
    <col min="86" max="86" width="14" customWidth="1"/>
    <col min="87" max="87" width="11.42578125" customWidth="1"/>
    <col min="88" max="89" width="12.7109375" customWidth="1"/>
    <col min="90" max="90" width="11.5703125" customWidth="1"/>
    <col min="91" max="91" width="11.28515625" customWidth="1"/>
    <col min="92" max="93" width="15.5703125" customWidth="1"/>
    <col min="94" max="94" width="13.7109375" customWidth="1"/>
    <col min="95" max="95" width="10.42578125" customWidth="1"/>
    <col min="96" max="97" width="14" customWidth="1"/>
    <col min="98" max="98" width="13.7109375" customWidth="1"/>
    <col min="99" max="99" width="10.28515625" customWidth="1"/>
    <col min="100" max="101" width="15.5703125" customWidth="1"/>
    <col min="102" max="102" width="13.85546875" customWidth="1"/>
    <col min="103" max="103" width="11.7109375" customWidth="1"/>
    <col min="104" max="104" width="8" style="195" customWidth="1"/>
    <col min="105" max="105" width="8.7109375" customWidth="1"/>
    <col min="106" max="107" width="8.855468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5703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2" width="16.7109375" customWidth="1"/>
    <col min="153"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46135</v>
      </c>
      <c r="B2" s="227" t="s">
        <v>175</v>
      </c>
      <c r="C2" s="227" t="s">
        <v>680</v>
      </c>
      <c r="D2" s="228">
        <v>500</v>
      </c>
      <c r="E2" s="231">
        <v>1044.6500000000001</v>
      </c>
      <c r="F2" s="231">
        <v>1047.45</v>
      </c>
      <c r="G2" s="228">
        <v>-2.8</v>
      </c>
      <c r="H2" s="229">
        <v>-2.7000000000000001E-3</v>
      </c>
      <c r="I2" s="231">
        <v>1052.25</v>
      </c>
      <c r="J2" s="231">
        <v>1054.9000000000001</v>
      </c>
      <c r="K2" s="228">
        <v>-2.65</v>
      </c>
      <c r="L2" s="229">
        <v>-2.5000000000000001E-3</v>
      </c>
      <c r="M2" s="231">
        <v>1044.6500000000001</v>
      </c>
      <c r="N2" s="231">
        <v>1047.45</v>
      </c>
      <c r="O2" s="228">
        <v>-2.8</v>
      </c>
      <c r="P2" s="229">
        <v>-2.7000000000000001E-3</v>
      </c>
      <c r="Q2" s="231">
        <v>1049.0999999999999</v>
      </c>
      <c r="R2" s="231">
        <v>1051.55</v>
      </c>
      <c r="S2" s="228">
        <v>-2.4500000000000002</v>
      </c>
      <c r="T2" s="229">
        <v>-2.3E-3</v>
      </c>
      <c r="U2" s="231">
        <v>1055.75</v>
      </c>
      <c r="V2" s="231">
        <v>1055.45</v>
      </c>
      <c r="W2" s="228">
        <v>0.3</v>
      </c>
      <c r="X2" s="229">
        <v>2.9999999999999997E-4</v>
      </c>
      <c r="Y2" s="228">
        <v>-7.6</v>
      </c>
      <c r="Z2" s="228">
        <v>-7.45</v>
      </c>
      <c r="AA2" s="228">
        <v>-0.15</v>
      </c>
      <c r="AB2" s="229">
        <v>-7.1999999999999998E-3</v>
      </c>
      <c r="AC2" s="228">
        <v>-7.6</v>
      </c>
      <c r="AD2" s="228">
        <v>-7.45</v>
      </c>
      <c r="AE2" s="228">
        <v>-0.15</v>
      </c>
      <c r="AF2" s="229">
        <v>-7.1999999999999998E-3</v>
      </c>
      <c r="AG2" s="228">
        <v>-3.15</v>
      </c>
      <c r="AH2" s="228">
        <v>-3.35</v>
      </c>
      <c r="AI2" s="228">
        <v>0.2</v>
      </c>
      <c r="AJ2" s="229">
        <v>-3.0000000000000001E-3</v>
      </c>
      <c r="AK2" s="228">
        <v>3.5</v>
      </c>
      <c r="AL2" s="228">
        <v>0.55000000000000004</v>
      </c>
      <c r="AM2" s="228">
        <v>2.95</v>
      </c>
      <c r="AN2" s="229">
        <v>3.3E-3</v>
      </c>
      <c r="AO2" s="231">
        <v>1039.94</v>
      </c>
      <c r="AP2" s="231">
        <v>1044.31</v>
      </c>
      <c r="AQ2" s="228">
        <v>0</v>
      </c>
      <c r="AR2" s="230">
        <v>3331000</v>
      </c>
      <c r="AS2" s="230">
        <v>5604000</v>
      </c>
      <c r="AT2" s="230">
        <v>-2273000</v>
      </c>
      <c r="AU2" s="229">
        <v>-0.40560000000000002</v>
      </c>
      <c r="AV2" s="230">
        <v>1875000</v>
      </c>
      <c r="AW2" s="230">
        <v>4219500</v>
      </c>
      <c r="AX2" s="230">
        <v>-2344500</v>
      </c>
      <c r="AY2" s="229">
        <v>-0.55559999999999998</v>
      </c>
      <c r="AZ2" s="230">
        <v>1452500</v>
      </c>
      <c r="BA2" s="230">
        <v>1351500</v>
      </c>
      <c r="BB2" s="230">
        <v>101000</v>
      </c>
      <c r="BC2" s="229">
        <v>7.4700000000000003E-2</v>
      </c>
      <c r="BD2" s="230">
        <v>3500</v>
      </c>
      <c r="BE2" s="230">
        <v>33000</v>
      </c>
      <c r="BF2" s="230">
        <v>-29500</v>
      </c>
      <c r="BG2" s="229">
        <v>-0.89390000000000003</v>
      </c>
      <c r="BH2" s="230">
        <v>7040000</v>
      </c>
      <c r="BI2" s="230">
        <v>24967000</v>
      </c>
      <c r="BJ2" s="230">
        <v>-17927000</v>
      </c>
      <c r="BK2" s="229">
        <v>-0.71799999999999997</v>
      </c>
      <c r="BL2" s="230">
        <v>2134000</v>
      </c>
      <c r="BM2" s="230">
        <v>13348500</v>
      </c>
      <c r="BN2" s="230">
        <v>-11214500</v>
      </c>
      <c r="BO2" s="229">
        <v>-0.84009999999999996</v>
      </c>
      <c r="BP2" s="230">
        <v>12505000</v>
      </c>
      <c r="BQ2" s="230">
        <v>43919500</v>
      </c>
      <c r="BR2" s="230">
        <v>-31414500</v>
      </c>
      <c r="BS2" s="229">
        <v>-0.71530000000000005</v>
      </c>
      <c r="BT2" s="230">
        <v>1388061</v>
      </c>
      <c r="BU2" s="230">
        <v>8531090</v>
      </c>
      <c r="BV2" s="230">
        <v>-7143029</v>
      </c>
      <c r="BW2" s="229">
        <v>-0.83730000000000004</v>
      </c>
      <c r="BX2" s="230">
        <v>6042500</v>
      </c>
      <c r="BY2" s="230">
        <v>5818500</v>
      </c>
      <c r="BZ2" s="230">
        <v>224000</v>
      </c>
      <c r="CA2" s="229">
        <v>3.85E-2</v>
      </c>
      <c r="CB2" s="230">
        <v>3963000</v>
      </c>
      <c r="CC2" s="230">
        <v>4632000</v>
      </c>
      <c r="CD2" s="230">
        <v>-669000</v>
      </c>
      <c r="CE2" s="229">
        <v>-0.1444</v>
      </c>
      <c r="CF2" s="230">
        <v>2047500</v>
      </c>
      <c r="CG2" s="230">
        <v>1155500</v>
      </c>
      <c r="CH2" s="230">
        <v>892000</v>
      </c>
      <c r="CI2" s="229">
        <v>0.77200000000000002</v>
      </c>
      <c r="CJ2" s="230">
        <v>32000</v>
      </c>
      <c r="CK2" s="230">
        <v>31000</v>
      </c>
      <c r="CL2" s="230">
        <v>1000</v>
      </c>
      <c r="CM2" s="229">
        <v>3.2300000000000002E-2</v>
      </c>
      <c r="CN2" s="230">
        <v>5435000</v>
      </c>
      <c r="CO2" s="230">
        <v>6297000</v>
      </c>
      <c r="CP2" s="230">
        <v>-862000</v>
      </c>
      <c r="CQ2" s="229">
        <v>-0.13689999999999999</v>
      </c>
      <c r="CR2" s="230">
        <v>2275500</v>
      </c>
      <c r="CS2" s="230">
        <v>2707000</v>
      </c>
      <c r="CT2" s="230">
        <v>-431500</v>
      </c>
      <c r="CU2" s="229">
        <v>-0.15939999999999999</v>
      </c>
      <c r="CV2" s="230">
        <v>13753000</v>
      </c>
      <c r="CW2" s="230">
        <v>14822500</v>
      </c>
      <c r="CX2" s="230">
        <v>-1069500</v>
      </c>
      <c r="CY2" s="229">
        <v>-7.22E-2</v>
      </c>
      <c r="CZ2" s="228">
        <v>38.630000000000003</v>
      </c>
      <c r="DA2" s="228">
        <v>45.42</v>
      </c>
      <c r="DB2" s="228">
        <v>-6.79</v>
      </c>
      <c r="DC2" s="228">
        <v>-6.79</v>
      </c>
      <c r="DD2" s="228">
        <v>42.33</v>
      </c>
      <c r="DE2" s="228">
        <v>42.43</v>
      </c>
      <c r="DF2" s="228">
        <v>-3.7</v>
      </c>
      <c r="DG2" s="228">
        <v>-0.1</v>
      </c>
      <c r="DH2" s="228">
        <v>38.29</v>
      </c>
      <c r="DI2" s="228">
        <v>48.13</v>
      </c>
      <c r="DJ2" s="228">
        <v>-9.84</v>
      </c>
      <c r="DK2" s="228">
        <v>-9.84</v>
      </c>
      <c r="DL2" s="228">
        <v>39.6</v>
      </c>
      <c r="DM2" s="228">
        <v>40.36</v>
      </c>
      <c r="DN2" s="228">
        <v>-0.76</v>
      </c>
      <c r="DO2" s="228">
        <v>-0.76</v>
      </c>
      <c r="DP2" s="228">
        <v>0.42</v>
      </c>
      <c r="DQ2" s="228">
        <v>0.43</v>
      </c>
      <c r="DR2" s="228">
        <v>-0.01</v>
      </c>
      <c r="DS2" s="229">
        <v>-2.3300000000000001E-2</v>
      </c>
      <c r="DT2" s="231">
        <v>1120</v>
      </c>
      <c r="DU2" s="231">
        <v>1000</v>
      </c>
      <c r="DV2" s="228">
        <v>0.3</v>
      </c>
      <c r="DW2" s="228">
        <v>0.53</v>
      </c>
      <c r="DX2" s="228">
        <v>-0.23</v>
      </c>
      <c r="DY2" s="229">
        <v>-0.434</v>
      </c>
      <c r="DZ2" s="229">
        <v>0.34410000000000002</v>
      </c>
      <c r="EA2" s="230">
        <v>1186500</v>
      </c>
      <c r="EB2" s="229">
        <v>4.3E-3</v>
      </c>
      <c r="EC2" s="229">
        <v>0.34410000000000002</v>
      </c>
      <c r="ED2" s="228">
        <v>4.37</v>
      </c>
      <c r="EE2" s="229">
        <v>4.1999999999999997E-3</v>
      </c>
      <c r="EF2" s="230">
        <v>687307</v>
      </c>
      <c r="EG2" s="230">
        <v>4883722</v>
      </c>
      <c r="EH2" s="229">
        <v>-0.85929999999999995</v>
      </c>
      <c r="EI2" s="229">
        <v>0.49519999999999997</v>
      </c>
      <c r="EJ2" s="231">
        <v>78958.95</v>
      </c>
      <c r="EK2" s="231">
        <v>21860.21</v>
      </c>
      <c r="EL2" s="231">
        <v>34704.129999999997</v>
      </c>
      <c r="EM2" s="231">
        <v>5306</v>
      </c>
      <c r="EN2" s="231">
        <v>135523.29</v>
      </c>
      <c r="EO2" s="231">
        <v>485012.34</v>
      </c>
      <c r="EP2" s="231">
        <v>-349489.05</v>
      </c>
      <c r="EQ2" s="229">
        <v>-0.72060000000000002</v>
      </c>
      <c r="ER2" s="231">
        <v>61326</v>
      </c>
      <c r="ES2" s="231">
        <v>23028</v>
      </c>
      <c r="ET2" s="231">
        <v>63218</v>
      </c>
      <c r="EU2" s="231">
        <v>37756901</v>
      </c>
      <c r="EV2" s="231">
        <v>147572</v>
      </c>
      <c r="EW2" s="231">
        <v>159702</v>
      </c>
      <c r="EX2" s="231">
        <v>-12130</v>
      </c>
      <c r="EY2" s="229">
        <v>-7.5999999999999998E-2</v>
      </c>
      <c r="EZ2" s="229">
        <v>0.36430000000000001</v>
      </c>
      <c r="FA2" s="227" t="s">
        <v>566</v>
      </c>
      <c r="FB2" s="161">
        <f>BX2-CB2</f>
        <v>2079500</v>
      </c>
    </row>
    <row r="3" spans="1:158" ht="17.25" thickBot="1" x14ac:dyDescent="0.3">
      <c r="A3" s="226">
        <v>46135</v>
      </c>
      <c r="B3" s="227" t="s">
        <v>184</v>
      </c>
      <c r="C3" s="227" t="s">
        <v>553</v>
      </c>
      <c r="D3" s="228">
        <v>125</v>
      </c>
      <c r="E3" s="231">
        <v>7592</v>
      </c>
      <c r="F3" s="231">
        <v>7615</v>
      </c>
      <c r="G3" s="228">
        <v>-23</v>
      </c>
      <c r="H3" s="229">
        <v>-3.0000000000000001E-3</v>
      </c>
      <c r="I3" s="231">
        <v>7575.5</v>
      </c>
      <c r="J3" s="231">
        <v>7587</v>
      </c>
      <c r="K3" s="228">
        <v>-11.5</v>
      </c>
      <c r="L3" s="229">
        <v>-1.5E-3</v>
      </c>
      <c r="M3" s="231">
        <v>7592</v>
      </c>
      <c r="N3" s="231">
        <v>7615</v>
      </c>
      <c r="O3" s="228">
        <v>-23</v>
      </c>
      <c r="P3" s="229">
        <v>-3.0000000000000001E-3</v>
      </c>
      <c r="Q3" s="231">
        <v>7543.5</v>
      </c>
      <c r="R3" s="231">
        <v>7576</v>
      </c>
      <c r="S3" s="228">
        <v>-32.5</v>
      </c>
      <c r="T3" s="229">
        <v>-4.3E-3</v>
      </c>
      <c r="U3" s="231">
        <v>7544</v>
      </c>
      <c r="V3" s="231">
        <v>7584</v>
      </c>
      <c r="W3" s="228">
        <v>-40</v>
      </c>
      <c r="X3" s="229">
        <v>-5.3E-3</v>
      </c>
      <c r="Y3" s="228">
        <v>16.5</v>
      </c>
      <c r="Z3" s="228">
        <v>28</v>
      </c>
      <c r="AA3" s="228">
        <v>-11.5</v>
      </c>
      <c r="AB3" s="229">
        <v>2.2000000000000001E-3</v>
      </c>
      <c r="AC3" s="228">
        <v>16.5</v>
      </c>
      <c r="AD3" s="228">
        <v>28</v>
      </c>
      <c r="AE3" s="228">
        <v>-11.5</v>
      </c>
      <c r="AF3" s="229">
        <v>2.2000000000000001E-3</v>
      </c>
      <c r="AG3" s="228">
        <v>-32</v>
      </c>
      <c r="AH3" s="228">
        <v>-11</v>
      </c>
      <c r="AI3" s="228">
        <v>-21</v>
      </c>
      <c r="AJ3" s="229">
        <v>-4.1999999999999997E-3</v>
      </c>
      <c r="AK3" s="228">
        <v>-31.5</v>
      </c>
      <c r="AL3" s="228">
        <v>-3</v>
      </c>
      <c r="AM3" s="228">
        <v>-28.5</v>
      </c>
      <c r="AN3" s="229">
        <v>-4.1999999999999997E-3</v>
      </c>
      <c r="AO3" s="231">
        <v>7601.45</v>
      </c>
      <c r="AP3" s="231">
        <v>7560.48</v>
      </c>
      <c r="AQ3" s="228">
        <v>0</v>
      </c>
      <c r="AR3" s="230">
        <v>2051000</v>
      </c>
      <c r="AS3" s="230">
        <v>3091875</v>
      </c>
      <c r="AT3" s="230">
        <v>-1040875</v>
      </c>
      <c r="AU3" s="229">
        <v>-0.33660000000000001</v>
      </c>
      <c r="AV3" s="230">
        <v>1111750</v>
      </c>
      <c r="AW3" s="230">
        <v>2391000</v>
      </c>
      <c r="AX3" s="230">
        <v>-1279250</v>
      </c>
      <c r="AY3" s="229">
        <v>-0.53500000000000003</v>
      </c>
      <c r="AZ3" s="230">
        <v>931750</v>
      </c>
      <c r="BA3" s="230">
        <v>672500</v>
      </c>
      <c r="BB3" s="230">
        <v>259250</v>
      </c>
      <c r="BC3" s="229">
        <v>0.38550000000000001</v>
      </c>
      <c r="BD3" s="230">
        <v>7500</v>
      </c>
      <c r="BE3" s="230">
        <v>28375</v>
      </c>
      <c r="BF3" s="230">
        <v>-20875</v>
      </c>
      <c r="BG3" s="229">
        <v>-0.73570000000000002</v>
      </c>
      <c r="BH3" s="230">
        <v>4229875</v>
      </c>
      <c r="BI3" s="230">
        <v>24945750</v>
      </c>
      <c r="BJ3" s="230">
        <v>-20715875</v>
      </c>
      <c r="BK3" s="229">
        <v>-0.83040000000000003</v>
      </c>
      <c r="BL3" s="230">
        <v>2195500</v>
      </c>
      <c r="BM3" s="230">
        <v>12206500</v>
      </c>
      <c r="BN3" s="230">
        <v>-10011000</v>
      </c>
      <c r="BO3" s="229">
        <v>-0.82010000000000005</v>
      </c>
      <c r="BP3" s="230">
        <v>8476375</v>
      </c>
      <c r="BQ3" s="230">
        <v>40244125</v>
      </c>
      <c r="BR3" s="230">
        <v>-31767750</v>
      </c>
      <c r="BS3" s="229">
        <v>-0.78939999999999999</v>
      </c>
      <c r="BT3" s="230">
        <v>436723</v>
      </c>
      <c r="BU3" s="230">
        <v>1799504</v>
      </c>
      <c r="BV3" s="230">
        <v>-1362781</v>
      </c>
      <c r="BW3" s="229">
        <v>-0.75729999999999997</v>
      </c>
      <c r="BX3" s="230">
        <v>2610625</v>
      </c>
      <c r="BY3" s="230">
        <v>2658375</v>
      </c>
      <c r="BZ3" s="230">
        <v>-47750</v>
      </c>
      <c r="CA3" s="229">
        <v>-1.7999999999999999E-2</v>
      </c>
      <c r="CB3" s="230">
        <v>1586750</v>
      </c>
      <c r="CC3" s="230">
        <v>2265500</v>
      </c>
      <c r="CD3" s="230">
        <v>-678750</v>
      </c>
      <c r="CE3" s="229">
        <v>-0.29959999999999998</v>
      </c>
      <c r="CF3" s="230">
        <v>1000000</v>
      </c>
      <c r="CG3" s="230">
        <v>369250</v>
      </c>
      <c r="CH3" s="230">
        <v>630750</v>
      </c>
      <c r="CI3" s="229">
        <v>1.7081999999999999</v>
      </c>
      <c r="CJ3" s="230">
        <v>23875</v>
      </c>
      <c r="CK3" s="230">
        <v>23625</v>
      </c>
      <c r="CL3" s="228">
        <v>250</v>
      </c>
      <c r="CM3" s="229">
        <v>1.06E-2</v>
      </c>
      <c r="CN3" s="230">
        <v>1998625</v>
      </c>
      <c r="CO3" s="230">
        <v>2031000</v>
      </c>
      <c r="CP3" s="230">
        <v>-32375</v>
      </c>
      <c r="CQ3" s="229">
        <v>-1.5900000000000001E-2</v>
      </c>
      <c r="CR3" s="230">
        <v>1636000</v>
      </c>
      <c r="CS3" s="230">
        <v>1742625</v>
      </c>
      <c r="CT3" s="230">
        <v>-106625</v>
      </c>
      <c r="CU3" s="229">
        <v>-6.1199999999999997E-2</v>
      </c>
      <c r="CV3" s="230">
        <v>6245250</v>
      </c>
      <c r="CW3" s="230">
        <v>6432000</v>
      </c>
      <c r="CX3" s="230">
        <v>-186750</v>
      </c>
      <c r="CY3" s="229">
        <v>-2.9000000000000001E-2</v>
      </c>
      <c r="CZ3" s="228">
        <v>37.700000000000003</v>
      </c>
      <c r="DA3" s="228">
        <v>40.340000000000003</v>
      </c>
      <c r="DB3" s="228">
        <v>-2.64</v>
      </c>
      <c r="DC3" s="228">
        <v>-2.64</v>
      </c>
      <c r="DD3" s="228">
        <v>37.36</v>
      </c>
      <c r="DE3" s="228">
        <v>37.450000000000003</v>
      </c>
      <c r="DF3" s="228">
        <v>0.34</v>
      </c>
      <c r="DG3" s="228">
        <v>-0.09</v>
      </c>
      <c r="DH3" s="228">
        <v>37.85</v>
      </c>
      <c r="DI3" s="228">
        <v>39.68</v>
      </c>
      <c r="DJ3" s="228">
        <v>-1.83</v>
      </c>
      <c r="DK3" s="228">
        <v>-1.83</v>
      </c>
      <c r="DL3" s="228">
        <v>37.35</v>
      </c>
      <c r="DM3" s="228">
        <v>41.68</v>
      </c>
      <c r="DN3" s="228">
        <v>-4.33</v>
      </c>
      <c r="DO3" s="228">
        <v>-4.33</v>
      </c>
      <c r="DP3" s="228">
        <v>0.82</v>
      </c>
      <c r="DQ3" s="228">
        <v>0.86</v>
      </c>
      <c r="DR3" s="228">
        <v>-0.04</v>
      </c>
      <c r="DS3" s="229">
        <v>-4.65E-2</v>
      </c>
      <c r="DT3" s="231">
        <v>8000</v>
      </c>
      <c r="DU3" s="231">
        <v>7000</v>
      </c>
      <c r="DV3" s="228">
        <v>0.52</v>
      </c>
      <c r="DW3" s="228">
        <v>0.49</v>
      </c>
      <c r="DX3" s="228">
        <v>0.03</v>
      </c>
      <c r="DY3" s="229">
        <v>6.1199999999999997E-2</v>
      </c>
      <c r="DZ3" s="229">
        <v>0.39219999999999999</v>
      </c>
      <c r="EA3" s="230">
        <v>392875</v>
      </c>
      <c r="EB3" s="229">
        <v>-6.4000000000000003E-3</v>
      </c>
      <c r="EC3" s="229">
        <v>0.39219999999999999</v>
      </c>
      <c r="ED3" s="228">
        <v>-40.97</v>
      </c>
      <c r="EE3" s="229">
        <v>-5.4000000000000003E-3</v>
      </c>
      <c r="EF3" s="230">
        <v>201062</v>
      </c>
      <c r="EG3" s="230">
        <v>476388</v>
      </c>
      <c r="EH3" s="229">
        <v>-0.57789999999999997</v>
      </c>
      <c r="EI3" s="229">
        <v>0.46039999999999998</v>
      </c>
      <c r="EJ3" s="231">
        <v>336364.64</v>
      </c>
      <c r="EK3" s="231">
        <v>161430.49</v>
      </c>
      <c r="EL3" s="231">
        <v>155520.73000000001</v>
      </c>
      <c r="EM3" s="231">
        <v>8803</v>
      </c>
      <c r="EN3" s="231">
        <v>653315.86</v>
      </c>
      <c r="EO3" s="231">
        <v>3113197.03</v>
      </c>
      <c r="EP3" s="231">
        <v>-2459881.17</v>
      </c>
      <c r="EQ3" s="229">
        <v>-0.79010000000000002</v>
      </c>
      <c r="ER3" s="231">
        <v>151105</v>
      </c>
      <c r="ES3" s="231">
        <v>111509</v>
      </c>
      <c r="ET3" s="231">
        <v>197702</v>
      </c>
      <c r="EU3" s="231">
        <v>7946564</v>
      </c>
      <c r="EV3" s="231">
        <v>460316</v>
      </c>
      <c r="EW3" s="231">
        <v>474176</v>
      </c>
      <c r="EX3" s="231">
        <v>-13860</v>
      </c>
      <c r="EY3" s="229">
        <v>-2.92E-2</v>
      </c>
      <c r="EZ3" s="229">
        <v>0.78590000000000004</v>
      </c>
      <c r="FA3" s="227" t="s">
        <v>567</v>
      </c>
      <c r="FB3" s="161">
        <f t="shared" ref="FB3:FB66" si="0">BX3-CB3</f>
        <v>1023875</v>
      </c>
    </row>
    <row r="4" spans="1:158" ht="17.25" thickBot="1" x14ac:dyDescent="0.3">
      <c r="A4" s="226">
        <v>46135</v>
      </c>
      <c r="B4" s="227" t="s">
        <v>175</v>
      </c>
      <c r="C4" s="227" t="s">
        <v>544</v>
      </c>
      <c r="D4" s="228">
        <v>3100</v>
      </c>
      <c r="E4" s="228">
        <v>349.65</v>
      </c>
      <c r="F4" s="228">
        <v>350.85</v>
      </c>
      <c r="G4" s="228">
        <v>-1.2</v>
      </c>
      <c r="H4" s="229">
        <v>-3.3999999999999998E-3</v>
      </c>
      <c r="I4" s="228">
        <v>349.75</v>
      </c>
      <c r="J4" s="228">
        <v>350.7</v>
      </c>
      <c r="K4" s="228">
        <v>-0.95</v>
      </c>
      <c r="L4" s="229">
        <v>-2.7000000000000001E-3</v>
      </c>
      <c r="M4" s="228">
        <v>349.65</v>
      </c>
      <c r="N4" s="228">
        <v>350.85</v>
      </c>
      <c r="O4" s="228">
        <v>-1.2</v>
      </c>
      <c r="P4" s="229">
        <v>-3.3999999999999998E-3</v>
      </c>
      <c r="Q4" s="228">
        <v>351.6</v>
      </c>
      <c r="R4" s="228">
        <v>352.45</v>
      </c>
      <c r="S4" s="228">
        <v>-0.85</v>
      </c>
      <c r="T4" s="229">
        <v>-2.3999999999999998E-3</v>
      </c>
      <c r="U4" s="228">
        <v>353.7</v>
      </c>
      <c r="V4" s="228">
        <v>353.85</v>
      </c>
      <c r="W4" s="228">
        <v>-0.15</v>
      </c>
      <c r="X4" s="229">
        <v>-4.0000000000000002E-4</v>
      </c>
      <c r="Y4" s="228">
        <v>-0.1</v>
      </c>
      <c r="Z4" s="228">
        <v>0.15</v>
      </c>
      <c r="AA4" s="228">
        <v>-0.25</v>
      </c>
      <c r="AB4" s="229">
        <v>-2.9999999999999997E-4</v>
      </c>
      <c r="AC4" s="228">
        <v>-0.1</v>
      </c>
      <c r="AD4" s="228">
        <v>0.15</v>
      </c>
      <c r="AE4" s="228">
        <v>-0.25</v>
      </c>
      <c r="AF4" s="229">
        <v>-2.9999999999999997E-4</v>
      </c>
      <c r="AG4" s="228">
        <v>1.85</v>
      </c>
      <c r="AH4" s="228">
        <v>1.75</v>
      </c>
      <c r="AI4" s="228">
        <v>0.1</v>
      </c>
      <c r="AJ4" s="229">
        <v>5.3E-3</v>
      </c>
      <c r="AK4" s="228">
        <v>3.95</v>
      </c>
      <c r="AL4" s="228">
        <v>3.15</v>
      </c>
      <c r="AM4" s="228">
        <v>0.8</v>
      </c>
      <c r="AN4" s="229">
        <v>1.1299999999999999E-2</v>
      </c>
      <c r="AO4" s="228">
        <v>350.45</v>
      </c>
      <c r="AP4" s="228">
        <v>352.32</v>
      </c>
      <c r="AQ4" s="228">
        <v>0</v>
      </c>
      <c r="AR4" s="230">
        <v>26508100</v>
      </c>
      <c r="AS4" s="230">
        <v>8890800</v>
      </c>
      <c r="AT4" s="230">
        <v>17617300</v>
      </c>
      <c r="AU4" s="229">
        <v>1.9815</v>
      </c>
      <c r="AV4" s="230">
        <v>13609000</v>
      </c>
      <c r="AW4" s="230">
        <v>6565800</v>
      </c>
      <c r="AX4" s="230">
        <v>7043200</v>
      </c>
      <c r="AY4" s="229">
        <v>1.0727</v>
      </c>
      <c r="AZ4" s="230">
        <v>12883600</v>
      </c>
      <c r="BA4" s="230">
        <v>2266100</v>
      </c>
      <c r="BB4" s="230">
        <v>10617500</v>
      </c>
      <c r="BC4" s="229">
        <v>4.6853999999999996</v>
      </c>
      <c r="BD4" s="230">
        <v>15500</v>
      </c>
      <c r="BE4" s="230">
        <v>58900</v>
      </c>
      <c r="BF4" s="230">
        <v>-43400</v>
      </c>
      <c r="BG4" s="229">
        <v>-0.73680000000000001</v>
      </c>
      <c r="BH4" s="230">
        <v>19533100</v>
      </c>
      <c r="BI4" s="230">
        <v>31911400</v>
      </c>
      <c r="BJ4" s="230">
        <v>-12378300</v>
      </c>
      <c r="BK4" s="229">
        <v>-0.38790000000000002</v>
      </c>
      <c r="BL4" s="230">
        <v>10403600</v>
      </c>
      <c r="BM4" s="230">
        <v>18317900</v>
      </c>
      <c r="BN4" s="230">
        <v>-7914300</v>
      </c>
      <c r="BO4" s="229">
        <v>-0.43209999999999998</v>
      </c>
      <c r="BP4" s="230">
        <v>56444800</v>
      </c>
      <c r="BQ4" s="230">
        <v>59120100</v>
      </c>
      <c r="BR4" s="230">
        <v>-2675300</v>
      </c>
      <c r="BS4" s="229">
        <v>-4.53E-2</v>
      </c>
      <c r="BT4" s="230">
        <v>4406245</v>
      </c>
      <c r="BU4" s="230">
        <v>4292401</v>
      </c>
      <c r="BV4" s="230">
        <v>113844</v>
      </c>
      <c r="BW4" s="229">
        <v>2.6499999999999999E-2</v>
      </c>
      <c r="BX4" s="230">
        <v>41660900</v>
      </c>
      <c r="BY4" s="230">
        <v>41369500</v>
      </c>
      <c r="BZ4" s="230">
        <v>291400</v>
      </c>
      <c r="CA4" s="229">
        <v>7.0000000000000001E-3</v>
      </c>
      <c r="CB4" s="230">
        <v>28780400</v>
      </c>
      <c r="CC4" s="230">
        <v>38991800</v>
      </c>
      <c r="CD4" s="230">
        <v>-10211400</v>
      </c>
      <c r="CE4" s="229">
        <v>-0.26190000000000002</v>
      </c>
      <c r="CF4" s="230">
        <v>12762700</v>
      </c>
      <c r="CG4" s="230">
        <v>2263000</v>
      </c>
      <c r="CH4" s="230">
        <v>10499700</v>
      </c>
      <c r="CI4" s="229">
        <v>4.6397000000000004</v>
      </c>
      <c r="CJ4" s="230">
        <v>117800</v>
      </c>
      <c r="CK4" s="230">
        <v>114700</v>
      </c>
      <c r="CL4" s="230">
        <v>3100</v>
      </c>
      <c r="CM4" s="229">
        <v>2.7E-2</v>
      </c>
      <c r="CN4" s="230">
        <v>13007600</v>
      </c>
      <c r="CO4" s="230">
        <v>13147100</v>
      </c>
      <c r="CP4" s="230">
        <v>-139500</v>
      </c>
      <c r="CQ4" s="229">
        <v>-1.06E-2</v>
      </c>
      <c r="CR4" s="230">
        <v>10493500</v>
      </c>
      <c r="CS4" s="230">
        <v>10822100</v>
      </c>
      <c r="CT4" s="230">
        <v>-328600</v>
      </c>
      <c r="CU4" s="229">
        <v>-3.04E-2</v>
      </c>
      <c r="CV4" s="230">
        <v>65162000</v>
      </c>
      <c r="CW4" s="230">
        <v>65338700</v>
      </c>
      <c r="CX4" s="230">
        <v>-176700</v>
      </c>
      <c r="CY4" s="229">
        <v>-2.7000000000000001E-3</v>
      </c>
      <c r="CZ4" s="228">
        <v>36.17</v>
      </c>
      <c r="DA4" s="228">
        <v>35.15</v>
      </c>
      <c r="DB4" s="228">
        <v>1.02</v>
      </c>
      <c r="DC4" s="228">
        <v>1.02</v>
      </c>
      <c r="DD4" s="228">
        <v>41.18</v>
      </c>
      <c r="DE4" s="228">
        <v>41.28</v>
      </c>
      <c r="DF4" s="228">
        <v>-5.01</v>
      </c>
      <c r="DG4" s="228">
        <v>-0.1</v>
      </c>
      <c r="DH4" s="228">
        <v>36.14</v>
      </c>
      <c r="DI4" s="228">
        <v>33.590000000000003</v>
      </c>
      <c r="DJ4" s="228">
        <v>2.5499999999999998</v>
      </c>
      <c r="DK4" s="228">
        <v>2.5499999999999998</v>
      </c>
      <c r="DL4" s="228">
        <v>36.229999999999997</v>
      </c>
      <c r="DM4" s="228">
        <v>37.880000000000003</v>
      </c>
      <c r="DN4" s="228">
        <v>-1.65</v>
      </c>
      <c r="DO4" s="228">
        <v>-1.65</v>
      </c>
      <c r="DP4" s="228">
        <v>0.81</v>
      </c>
      <c r="DQ4" s="228">
        <v>0.82</v>
      </c>
      <c r="DR4" s="228">
        <v>-0.01</v>
      </c>
      <c r="DS4" s="229">
        <v>-1.2200000000000001E-2</v>
      </c>
      <c r="DT4" s="228">
        <v>355</v>
      </c>
      <c r="DU4" s="228">
        <v>340</v>
      </c>
      <c r="DV4" s="228">
        <v>0.53</v>
      </c>
      <c r="DW4" s="228">
        <v>0.56999999999999995</v>
      </c>
      <c r="DX4" s="228">
        <v>-0.04</v>
      </c>
      <c r="DY4" s="229">
        <v>-7.0199999999999999E-2</v>
      </c>
      <c r="DZ4" s="229">
        <v>0.30919999999999997</v>
      </c>
      <c r="EA4" s="230">
        <v>2377700</v>
      </c>
      <c r="EB4" s="229">
        <v>5.5999999999999999E-3</v>
      </c>
      <c r="EC4" s="229">
        <v>0.30919999999999997</v>
      </c>
      <c r="ED4" s="228">
        <v>1.87</v>
      </c>
      <c r="EE4" s="229">
        <v>5.3E-3</v>
      </c>
      <c r="EF4" s="230">
        <v>2681152</v>
      </c>
      <c r="EG4" s="230">
        <v>1873515</v>
      </c>
      <c r="EH4" s="229">
        <v>0.43109999999999998</v>
      </c>
      <c r="EI4" s="229">
        <v>0.60850000000000004</v>
      </c>
      <c r="EJ4" s="231">
        <v>70698.69</v>
      </c>
      <c r="EK4" s="231">
        <v>35655.47</v>
      </c>
      <c r="EL4" s="231">
        <v>93139.87</v>
      </c>
      <c r="EM4" s="231">
        <v>2257</v>
      </c>
      <c r="EN4" s="231">
        <v>199494.03</v>
      </c>
      <c r="EO4" s="231">
        <v>207842.58</v>
      </c>
      <c r="EP4" s="231">
        <v>-8348.5499999999993</v>
      </c>
      <c r="EQ4" s="229">
        <v>-4.02E-2</v>
      </c>
      <c r="ER4" s="231">
        <v>45236</v>
      </c>
      <c r="ES4" s="231">
        <v>33871</v>
      </c>
      <c r="ET4" s="231">
        <v>145921</v>
      </c>
      <c r="EU4" s="231">
        <v>123369777</v>
      </c>
      <c r="EV4" s="231">
        <v>225029</v>
      </c>
      <c r="EW4" s="231">
        <v>225609</v>
      </c>
      <c r="EX4" s="228">
        <v>-580</v>
      </c>
      <c r="EY4" s="229">
        <v>-2.5999999999999999E-3</v>
      </c>
      <c r="EZ4" s="229">
        <v>0.5282</v>
      </c>
      <c r="FA4" s="227" t="s">
        <v>566</v>
      </c>
      <c r="FB4" s="161">
        <f t="shared" si="0"/>
        <v>12880500</v>
      </c>
    </row>
    <row r="5" spans="1:158" ht="17.25" thickBot="1" x14ac:dyDescent="0.3">
      <c r="A5" s="226">
        <v>46135</v>
      </c>
      <c r="B5" s="227" t="s">
        <v>161</v>
      </c>
      <c r="C5" s="227" t="s">
        <v>578</v>
      </c>
      <c r="D5" s="228">
        <v>675</v>
      </c>
      <c r="E5" s="231">
        <v>1364.45</v>
      </c>
      <c r="F5" s="231">
        <v>1365.25</v>
      </c>
      <c r="G5" s="228">
        <v>-0.8</v>
      </c>
      <c r="H5" s="229">
        <v>-5.9999999999999995E-4</v>
      </c>
      <c r="I5" s="231">
        <v>1361.25</v>
      </c>
      <c r="J5" s="231">
        <v>1368.1</v>
      </c>
      <c r="K5" s="228">
        <v>-6.85</v>
      </c>
      <c r="L5" s="229">
        <v>-5.0000000000000001E-3</v>
      </c>
      <c r="M5" s="231">
        <v>1364.45</v>
      </c>
      <c r="N5" s="231">
        <v>1365.25</v>
      </c>
      <c r="O5" s="228">
        <v>-0.8</v>
      </c>
      <c r="P5" s="229">
        <v>-5.9999999999999995E-4</v>
      </c>
      <c r="Q5" s="231">
        <v>1370.75</v>
      </c>
      <c r="R5" s="231">
        <v>1372.3</v>
      </c>
      <c r="S5" s="228">
        <v>-1.55</v>
      </c>
      <c r="T5" s="229">
        <v>-1.1000000000000001E-3</v>
      </c>
      <c r="U5" s="231">
        <v>1379.05</v>
      </c>
      <c r="V5" s="231">
        <v>1377.1</v>
      </c>
      <c r="W5" s="228">
        <v>1.95</v>
      </c>
      <c r="X5" s="229">
        <v>1.4E-3</v>
      </c>
      <c r="Y5" s="228">
        <v>3.2</v>
      </c>
      <c r="Z5" s="228">
        <v>-2.85</v>
      </c>
      <c r="AA5" s="228">
        <v>6.05</v>
      </c>
      <c r="AB5" s="229">
        <v>2.3999999999999998E-3</v>
      </c>
      <c r="AC5" s="228">
        <v>3.2</v>
      </c>
      <c r="AD5" s="228">
        <v>-2.85</v>
      </c>
      <c r="AE5" s="228">
        <v>6.05</v>
      </c>
      <c r="AF5" s="229">
        <v>2.3999999999999998E-3</v>
      </c>
      <c r="AG5" s="228">
        <v>9.5</v>
      </c>
      <c r="AH5" s="228">
        <v>4.2</v>
      </c>
      <c r="AI5" s="228">
        <v>5.3</v>
      </c>
      <c r="AJ5" s="229">
        <v>7.0000000000000001E-3</v>
      </c>
      <c r="AK5" s="228">
        <v>17.8</v>
      </c>
      <c r="AL5" s="228">
        <v>9</v>
      </c>
      <c r="AM5" s="228">
        <v>8.8000000000000007</v>
      </c>
      <c r="AN5" s="229">
        <v>1.3100000000000001E-2</v>
      </c>
      <c r="AO5" s="231">
        <v>1368.42</v>
      </c>
      <c r="AP5" s="231">
        <v>1376.01</v>
      </c>
      <c r="AQ5" s="228">
        <v>0</v>
      </c>
      <c r="AR5" s="230">
        <v>11638350</v>
      </c>
      <c r="AS5" s="230">
        <v>8711550</v>
      </c>
      <c r="AT5" s="230">
        <v>2926800</v>
      </c>
      <c r="AU5" s="229">
        <v>0.33600000000000002</v>
      </c>
      <c r="AV5" s="230">
        <v>6107400</v>
      </c>
      <c r="AW5" s="230">
        <v>6147900</v>
      </c>
      <c r="AX5" s="230">
        <v>-40500</v>
      </c>
      <c r="AY5" s="229">
        <v>-6.6E-3</v>
      </c>
      <c r="AZ5" s="230">
        <v>5493150</v>
      </c>
      <c r="BA5" s="230">
        <v>2537325</v>
      </c>
      <c r="BB5" s="230">
        <v>2955825</v>
      </c>
      <c r="BC5" s="229">
        <v>1.1649</v>
      </c>
      <c r="BD5" s="230">
        <v>37800</v>
      </c>
      <c r="BE5" s="230">
        <v>26325</v>
      </c>
      <c r="BF5" s="230">
        <v>11475</v>
      </c>
      <c r="BG5" s="229">
        <v>0.43590000000000001</v>
      </c>
      <c r="BH5" s="230">
        <v>23179500</v>
      </c>
      <c r="BI5" s="230">
        <v>35981550</v>
      </c>
      <c r="BJ5" s="230">
        <v>-12802050</v>
      </c>
      <c r="BK5" s="229">
        <v>-0.35580000000000001</v>
      </c>
      <c r="BL5" s="230">
        <v>7931925</v>
      </c>
      <c r="BM5" s="230">
        <v>11451375</v>
      </c>
      <c r="BN5" s="230">
        <v>-3519450</v>
      </c>
      <c r="BO5" s="229">
        <v>-0.30730000000000002</v>
      </c>
      <c r="BP5" s="230">
        <v>42749775</v>
      </c>
      <c r="BQ5" s="230">
        <v>56144475</v>
      </c>
      <c r="BR5" s="230">
        <v>-13394700</v>
      </c>
      <c r="BS5" s="229">
        <v>-0.23860000000000001</v>
      </c>
      <c r="BT5" s="230">
        <v>4348886</v>
      </c>
      <c r="BU5" s="230">
        <v>6969140</v>
      </c>
      <c r="BV5" s="230">
        <v>-2620254</v>
      </c>
      <c r="BW5" s="229">
        <v>-0.376</v>
      </c>
      <c r="BX5" s="230">
        <v>21818700</v>
      </c>
      <c r="BY5" s="230">
        <v>21920625</v>
      </c>
      <c r="BZ5" s="230">
        <v>-101925</v>
      </c>
      <c r="CA5" s="229">
        <v>-4.5999999999999999E-3</v>
      </c>
      <c r="CB5" s="230">
        <v>11923200</v>
      </c>
      <c r="CC5" s="230">
        <v>15788925</v>
      </c>
      <c r="CD5" s="230">
        <v>-3865725</v>
      </c>
      <c r="CE5" s="229">
        <v>-0.24479999999999999</v>
      </c>
      <c r="CF5" s="230">
        <v>9841500</v>
      </c>
      <c r="CG5" s="230">
        <v>6090525</v>
      </c>
      <c r="CH5" s="230">
        <v>3750975</v>
      </c>
      <c r="CI5" s="229">
        <v>0.6159</v>
      </c>
      <c r="CJ5" s="230">
        <v>54000</v>
      </c>
      <c r="CK5" s="230">
        <v>41175</v>
      </c>
      <c r="CL5" s="230">
        <v>12825</v>
      </c>
      <c r="CM5" s="229">
        <v>0.3115</v>
      </c>
      <c r="CN5" s="230">
        <v>7618725</v>
      </c>
      <c r="CO5" s="230">
        <v>5727375</v>
      </c>
      <c r="CP5" s="230">
        <v>1891350</v>
      </c>
      <c r="CQ5" s="229">
        <v>0.33019999999999999</v>
      </c>
      <c r="CR5" s="230">
        <v>4922100</v>
      </c>
      <c r="CS5" s="230">
        <v>4054725</v>
      </c>
      <c r="CT5" s="230">
        <v>867375</v>
      </c>
      <c r="CU5" s="229">
        <v>0.21390000000000001</v>
      </c>
      <c r="CV5" s="230">
        <v>34359525</v>
      </c>
      <c r="CW5" s="230">
        <v>31702725</v>
      </c>
      <c r="CX5" s="230">
        <v>2656800</v>
      </c>
      <c r="CY5" s="229">
        <v>8.3799999999999999E-2</v>
      </c>
      <c r="CZ5" s="228">
        <v>57.23</v>
      </c>
      <c r="DA5" s="228">
        <v>65.819999999999993</v>
      </c>
      <c r="DB5" s="228">
        <v>-8.59</v>
      </c>
      <c r="DC5" s="228">
        <v>-8.59</v>
      </c>
      <c r="DD5" s="228">
        <v>56.2</v>
      </c>
      <c r="DE5" s="228">
        <v>56.34</v>
      </c>
      <c r="DF5" s="228">
        <v>1.03</v>
      </c>
      <c r="DG5" s="228">
        <v>-0.14000000000000001</v>
      </c>
      <c r="DH5" s="228">
        <v>57.25</v>
      </c>
      <c r="DI5" s="228">
        <v>65.84</v>
      </c>
      <c r="DJ5" s="228">
        <v>-8.59</v>
      </c>
      <c r="DK5" s="228">
        <v>-8.59</v>
      </c>
      <c r="DL5" s="228">
        <v>57.14</v>
      </c>
      <c r="DM5" s="228">
        <v>65.73</v>
      </c>
      <c r="DN5" s="228">
        <v>-8.59</v>
      </c>
      <c r="DO5" s="228">
        <v>-8.59</v>
      </c>
      <c r="DP5" s="228">
        <v>0.65</v>
      </c>
      <c r="DQ5" s="228">
        <v>0.71</v>
      </c>
      <c r="DR5" s="228">
        <v>-0.06</v>
      </c>
      <c r="DS5" s="229">
        <v>-8.4500000000000006E-2</v>
      </c>
      <c r="DT5" s="231">
        <v>1400</v>
      </c>
      <c r="DU5" s="231">
        <v>1200</v>
      </c>
      <c r="DV5" s="228">
        <v>0.34</v>
      </c>
      <c r="DW5" s="228">
        <v>0.32</v>
      </c>
      <c r="DX5" s="228">
        <v>0.02</v>
      </c>
      <c r="DY5" s="229">
        <v>6.25E-2</v>
      </c>
      <c r="DZ5" s="229">
        <v>0.45350000000000001</v>
      </c>
      <c r="EA5" s="230">
        <v>6131700</v>
      </c>
      <c r="EB5" s="229">
        <v>4.5999999999999999E-3</v>
      </c>
      <c r="EC5" s="229">
        <v>0.45350000000000001</v>
      </c>
      <c r="ED5" s="228">
        <v>7.59</v>
      </c>
      <c r="EE5" s="229">
        <v>5.4999999999999997E-3</v>
      </c>
      <c r="EF5" s="230">
        <v>1176723</v>
      </c>
      <c r="EG5" s="230">
        <v>2701473</v>
      </c>
      <c r="EH5" s="229">
        <v>-0.56440000000000001</v>
      </c>
      <c r="EI5" s="229">
        <v>0.27060000000000001</v>
      </c>
      <c r="EJ5" s="231">
        <v>338158.09</v>
      </c>
      <c r="EK5" s="231">
        <v>104342.51</v>
      </c>
      <c r="EL5" s="231">
        <v>159683.76</v>
      </c>
      <c r="EM5" s="231">
        <v>7867</v>
      </c>
      <c r="EN5" s="231">
        <v>602184.36</v>
      </c>
      <c r="EO5" s="231">
        <v>767298.09</v>
      </c>
      <c r="EP5" s="231">
        <v>-165113.73000000001</v>
      </c>
      <c r="EQ5" s="229">
        <v>-0.2152</v>
      </c>
      <c r="ER5" s="231">
        <v>98828</v>
      </c>
      <c r="ES5" s="231">
        <v>58505</v>
      </c>
      <c r="ET5" s="231">
        <v>298333</v>
      </c>
      <c r="EU5" s="231">
        <v>35196587</v>
      </c>
      <c r="EV5" s="231">
        <v>455666</v>
      </c>
      <c r="EW5" s="231">
        <v>417971</v>
      </c>
      <c r="EX5" s="231">
        <v>37695</v>
      </c>
      <c r="EY5" s="229">
        <v>9.0200000000000002E-2</v>
      </c>
      <c r="EZ5" s="229">
        <v>0.97619999999999996</v>
      </c>
      <c r="FA5" s="227" t="s">
        <v>567</v>
      </c>
      <c r="FB5" s="161">
        <f t="shared" si="0"/>
        <v>9895500</v>
      </c>
    </row>
    <row r="6" spans="1:158" ht="17.25" thickBot="1" x14ac:dyDescent="0.3">
      <c r="A6" s="226">
        <v>46135</v>
      </c>
      <c r="B6" s="227" t="s">
        <v>215</v>
      </c>
      <c r="C6" s="227" t="s">
        <v>159</v>
      </c>
      <c r="D6" s="228">
        <v>309</v>
      </c>
      <c r="E6" s="231">
        <v>2307.1999999999998</v>
      </c>
      <c r="F6" s="231">
        <v>2269.1999999999998</v>
      </c>
      <c r="G6" s="228">
        <v>38</v>
      </c>
      <c r="H6" s="229">
        <v>1.67E-2</v>
      </c>
      <c r="I6" s="231">
        <v>2300</v>
      </c>
      <c r="J6" s="231">
        <v>2260.8000000000002</v>
      </c>
      <c r="K6" s="228">
        <v>39.200000000000003</v>
      </c>
      <c r="L6" s="229">
        <v>1.7299999999999999E-2</v>
      </c>
      <c r="M6" s="231">
        <v>2307.1999999999998</v>
      </c>
      <c r="N6" s="231">
        <v>2269.1999999999998</v>
      </c>
      <c r="O6" s="228">
        <v>38</v>
      </c>
      <c r="P6" s="229">
        <v>1.67E-2</v>
      </c>
      <c r="Q6" s="231">
        <v>2320.1999999999998</v>
      </c>
      <c r="R6" s="231">
        <v>2277.3000000000002</v>
      </c>
      <c r="S6" s="228">
        <v>42.9</v>
      </c>
      <c r="T6" s="229">
        <v>1.8800000000000001E-2</v>
      </c>
      <c r="U6" s="231">
        <v>2328.9</v>
      </c>
      <c r="V6" s="231">
        <v>2291.3000000000002</v>
      </c>
      <c r="W6" s="228">
        <v>37.6</v>
      </c>
      <c r="X6" s="229">
        <v>1.6400000000000001E-2</v>
      </c>
      <c r="Y6" s="228">
        <v>7.2</v>
      </c>
      <c r="Z6" s="228">
        <v>8.4</v>
      </c>
      <c r="AA6" s="228">
        <v>-1.2</v>
      </c>
      <c r="AB6" s="229">
        <v>3.0999999999999999E-3</v>
      </c>
      <c r="AC6" s="228">
        <v>7.2</v>
      </c>
      <c r="AD6" s="228">
        <v>8.4</v>
      </c>
      <c r="AE6" s="228">
        <v>-1.2</v>
      </c>
      <c r="AF6" s="229">
        <v>3.0999999999999999E-3</v>
      </c>
      <c r="AG6" s="228">
        <v>20.2</v>
      </c>
      <c r="AH6" s="228">
        <v>16.5</v>
      </c>
      <c r="AI6" s="228">
        <v>3.7</v>
      </c>
      <c r="AJ6" s="229">
        <v>8.8000000000000005E-3</v>
      </c>
      <c r="AK6" s="228">
        <v>28.9</v>
      </c>
      <c r="AL6" s="228">
        <v>30.5</v>
      </c>
      <c r="AM6" s="228">
        <v>-1.6</v>
      </c>
      <c r="AN6" s="229">
        <v>1.26E-2</v>
      </c>
      <c r="AO6" s="231">
        <v>2293.85</v>
      </c>
      <c r="AP6" s="231">
        <v>2307.83</v>
      </c>
      <c r="AQ6" s="228">
        <v>0</v>
      </c>
      <c r="AR6" s="230">
        <v>9522762</v>
      </c>
      <c r="AS6" s="230">
        <v>5530173</v>
      </c>
      <c r="AT6" s="230">
        <v>3992589</v>
      </c>
      <c r="AU6" s="229">
        <v>0.72199999999999998</v>
      </c>
      <c r="AV6" s="230">
        <v>5015070</v>
      </c>
      <c r="AW6" s="230">
        <v>3229050</v>
      </c>
      <c r="AX6" s="230">
        <v>1786020</v>
      </c>
      <c r="AY6" s="229">
        <v>0.55310000000000004</v>
      </c>
      <c r="AZ6" s="230">
        <v>4420245</v>
      </c>
      <c r="BA6" s="230">
        <v>2247048</v>
      </c>
      <c r="BB6" s="230">
        <v>2173197</v>
      </c>
      <c r="BC6" s="229">
        <v>0.96709999999999996</v>
      </c>
      <c r="BD6" s="230">
        <v>87447</v>
      </c>
      <c r="BE6" s="230">
        <v>54075</v>
      </c>
      <c r="BF6" s="230">
        <v>33372</v>
      </c>
      <c r="BG6" s="229">
        <v>0.61709999999999998</v>
      </c>
      <c r="BH6" s="230">
        <v>25821276</v>
      </c>
      <c r="BI6" s="230">
        <v>14545557</v>
      </c>
      <c r="BJ6" s="230">
        <v>11275719</v>
      </c>
      <c r="BK6" s="229">
        <v>0.7752</v>
      </c>
      <c r="BL6" s="230">
        <v>9832071</v>
      </c>
      <c r="BM6" s="230">
        <v>8052540</v>
      </c>
      <c r="BN6" s="230">
        <v>1779531</v>
      </c>
      <c r="BO6" s="229">
        <v>0.221</v>
      </c>
      <c r="BP6" s="230">
        <v>45176109</v>
      </c>
      <c r="BQ6" s="230">
        <v>28128270</v>
      </c>
      <c r="BR6" s="230">
        <v>17047839</v>
      </c>
      <c r="BS6" s="229">
        <v>0.60609999999999997</v>
      </c>
      <c r="BT6" s="230">
        <v>3211060</v>
      </c>
      <c r="BU6" s="230">
        <v>3579892</v>
      </c>
      <c r="BV6" s="230">
        <v>-368832</v>
      </c>
      <c r="BW6" s="229">
        <v>-0.10299999999999999</v>
      </c>
      <c r="BX6" s="230">
        <v>19292106</v>
      </c>
      <c r="BY6" s="230">
        <v>18764952</v>
      </c>
      <c r="BZ6" s="230">
        <v>527154</v>
      </c>
      <c r="CA6" s="229">
        <v>2.81E-2</v>
      </c>
      <c r="CB6" s="230">
        <v>12455172</v>
      </c>
      <c r="CC6" s="230">
        <v>15013383</v>
      </c>
      <c r="CD6" s="230">
        <v>-2558211</v>
      </c>
      <c r="CE6" s="229">
        <v>-0.1704</v>
      </c>
      <c r="CF6" s="230">
        <v>6675327</v>
      </c>
      <c r="CG6" s="230">
        <v>3613755</v>
      </c>
      <c r="CH6" s="230">
        <v>3061572</v>
      </c>
      <c r="CI6" s="229">
        <v>0.84719999999999995</v>
      </c>
      <c r="CJ6" s="230">
        <v>161607</v>
      </c>
      <c r="CK6" s="230">
        <v>137814</v>
      </c>
      <c r="CL6" s="230">
        <v>23793</v>
      </c>
      <c r="CM6" s="229">
        <v>0.1726</v>
      </c>
      <c r="CN6" s="230">
        <v>8326932</v>
      </c>
      <c r="CO6" s="230">
        <v>7528476</v>
      </c>
      <c r="CP6" s="230">
        <v>798456</v>
      </c>
      <c r="CQ6" s="229">
        <v>0.1061</v>
      </c>
      <c r="CR6" s="230">
        <v>7291473</v>
      </c>
      <c r="CS6" s="230">
        <v>7188576</v>
      </c>
      <c r="CT6" s="230">
        <v>102897</v>
      </c>
      <c r="CU6" s="229">
        <v>1.43E-2</v>
      </c>
      <c r="CV6" s="230">
        <v>34910511</v>
      </c>
      <c r="CW6" s="230">
        <v>33482004</v>
      </c>
      <c r="CX6" s="230">
        <v>1428507</v>
      </c>
      <c r="CY6" s="229">
        <v>4.2700000000000002E-2</v>
      </c>
      <c r="CZ6" s="228">
        <v>42.48</v>
      </c>
      <c r="DA6" s="228">
        <v>37.49</v>
      </c>
      <c r="DB6" s="228">
        <v>4.99</v>
      </c>
      <c r="DC6" s="228">
        <v>4.99</v>
      </c>
      <c r="DD6" s="228">
        <v>49.24</v>
      </c>
      <c r="DE6" s="228">
        <v>49.31</v>
      </c>
      <c r="DF6" s="228">
        <v>-6.76</v>
      </c>
      <c r="DG6" s="228">
        <v>-7.0000000000000007E-2</v>
      </c>
      <c r="DH6" s="228">
        <v>42.17</v>
      </c>
      <c r="DI6" s="228">
        <v>35.28</v>
      </c>
      <c r="DJ6" s="228">
        <v>6.89</v>
      </c>
      <c r="DK6" s="228">
        <v>6.89</v>
      </c>
      <c r="DL6" s="228">
        <v>43.28</v>
      </c>
      <c r="DM6" s="228">
        <v>41.49</v>
      </c>
      <c r="DN6" s="228">
        <v>1.79</v>
      </c>
      <c r="DO6" s="228">
        <v>1.79</v>
      </c>
      <c r="DP6" s="228">
        <v>0.88</v>
      </c>
      <c r="DQ6" s="228">
        <v>0.95</v>
      </c>
      <c r="DR6" s="228">
        <v>-7.0000000000000007E-2</v>
      </c>
      <c r="DS6" s="229">
        <v>-7.3700000000000002E-2</v>
      </c>
      <c r="DT6" s="231">
        <v>2400</v>
      </c>
      <c r="DU6" s="231">
        <v>2200</v>
      </c>
      <c r="DV6" s="228">
        <v>0.38</v>
      </c>
      <c r="DW6" s="228">
        <v>0.55000000000000004</v>
      </c>
      <c r="DX6" s="228">
        <v>-0.17</v>
      </c>
      <c r="DY6" s="229">
        <v>-0.30909999999999999</v>
      </c>
      <c r="DZ6" s="229">
        <v>0.35439999999999999</v>
      </c>
      <c r="EA6" s="230">
        <v>3751569</v>
      </c>
      <c r="EB6" s="229">
        <v>5.5999999999999999E-3</v>
      </c>
      <c r="EC6" s="229">
        <v>0.35439999999999999</v>
      </c>
      <c r="ED6" s="228">
        <v>13.98</v>
      </c>
      <c r="EE6" s="229">
        <v>6.1000000000000004E-3</v>
      </c>
      <c r="EF6" s="230">
        <v>957336</v>
      </c>
      <c r="EG6" s="230">
        <v>1649148</v>
      </c>
      <c r="EH6" s="229">
        <v>-0.41949999999999998</v>
      </c>
      <c r="EI6" s="229">
        <v>0.29809999999999998</v>
      </c>
      <c r="EJ6" s="231">
        <v>616415.78</v>
      </c>
      <c r="EK6" s="231">
        <v>218944.67</v>
      </c>
      <c r="EL6" s="231">
        <v>219078.63</v>
      </c>
      <c r="EM6" s="231">
        <v>11601</v>
      </c>
      <c r="EN6" s="231">
        <v>1054439.08</v>
      </c>
      <c r="EO6" s="231">
        <v>639367.31999999995</v>
      </c>
      <c r="EP6" s="231">
        <v>415071.76</v>
      </c>
      <c r="EQ6" s="229">
        <v>0.6492</v>
      </c>
      <c r="ER6" s="231">
        <v>182936</v>
      </c>
      <c r="ES6" s="231">
        <v>150263</v>
      </c>
      <c r="ET6" s="231">
        <v>446010</v>
      </c>
      <c r="EU6" s="231">
        <v>33645895</v>
      </c>
      <c r="EV6" s="231">
        <v>779209</v>
      </c>
      <c r="EW6" s="231">
        <v>736256</v>
      </c>
      <c r="EX6" s="231">
        <v>42953</v>
      </c>
      <c r="EY6" s="229">
        <v>5.8299999999999998E-2</v>
      </c>
      <c r="EZ6" s="229">
        <v>1.0376000000000001</v>
      </c>
      <c r="FA6" s="227" t="s">
        <v>555</v>
      </c>
      <c r="FB6" s="161">
        <f t="shared" si="0"/>
        <v>6836934</v>
      </c>
    </row>
    <row r="7" spans="1:158" ht="17.25" thickBot="1" x14ac:dyDescent="0.3">
      <c r="A7" s="226">
        <v>46135</v>
      </c>
      <c r="B7" s="227" t="s">
        <v>161</v>
      </c>
      <c r="C7" s="227" t="s">
        <v>605</v>
      </c>
      <c r="D7" s="228">
        <v>600</v>
      </c>
      <c r="E7" s="231">
        <v>1213.2</v>
      </c>
      <c r="F7" s="231">
        <v>1198.25</v>
      </c>
      <c r="G7" s="228">
        <v>14.95</v>
      </c>
      <c r="H7" s="229">
        <v>1.2500000000000001E-2</v>
      </c>
      <c r="I7" s="231">
        <v>1214.1500000000001</v>
      </c>
      <c r="J7" s="231">
        <v>1198.95</v>
      </c>
      <c r="K7" s="228">
        <v>15.2</v>
      </c>
      <c r="L7" s="229">
        <v>1.2699999999999999E-2</v>
      </c>
      <c r="M7" s="231">
        <v>1213.2</v>
      </c>
      <c r="N7" s="231">
        <v>1198.25</v>
      </c>
      <c r="O7" s="228">
        <v>14.95</v>
      </c>
      <c r="P7" s="229">
        <v>1.2500000000000001E-2</v>
      </c>
      <c r="Q7" s="231">
        <v>1220.05</v>
      </c>
      <c r="R7" s="231">
        <v>1205.25</v>
      </c>
      <c r="S7" s="228">
        <v>14.8</v>
      </c>
      <c r="T7" s="229">
        <v>1.23E-2</v>
      </c>
      <c r="U7" s="231">
        <v>1227.95</v>
      </c>
      <c r="V7" s="231">
        <v>1211.6500000000001</v>
      </c>
      <c r="W7" s="228">
        <v>16.3</v>
      </c>
      <c r="X7" s="229">
        <v>1.35E-2</v>
      </c>
      <c r="Y7" s="228">
        <v>-0.95</v>
      </c>
      <c r="Z7" s="228">
        <v>-0.7</v>
      </c>
      <c r="AA7" s="228">
        <v>-0.25</v>
      </c>
      <c r="AB7" s="229">
        <v>-8.0000000000000004E-4</v>
      </c>
      <c r="AC7" s="228">
        <v>-0.95</v>
      </c>
      <c r="AD7" s="228">
        <v>-0.7</v>
      </c>
      <c r="AE7" s="228">
        <v>-0.25</v>
      </c>
      <c r="AF7" s="229">
        <v>-8.0000000000000004E-4</v>
      </c>
      <c r="AG7" s="228">
        <v>5.9</v>
      </c>
      <c r="AH7" s="228">
        <v>6.3</v>
      </c>
      <c r="AI7" s="228">
        <v>-0.4</v>
      </c>
      <c r="AJ7" s="229">
        <v>4.8999999999999998E-3</v>
      </c>
      <c r="AK7" s="228">
        <v>13.8</v>
      </c>
      <c r="AL7" s="228">
        <v>12.7</v>
      </c>
      <c r="AM7" s="228">
        <v>1.1000000000000001</v>
      </c>
      <c r="AN7" s="229">
        <v>1.14E-2</v>
      </c>
      <c r="AO7" s="231">
        <v>1213.42</v>
      </c>
      <c r="AP7" s="231">
        <v>1221.3599999999999</v>
      </c>
      <c r="AQ7" s="228">
        <v>0</v>
      </c>
      <c r="AR7" s="230">
        <v>13521000</v>
      </c>
      <c r="AS7" s="230">
        <v>9286200</v>
      </c>
      <c r="AT7" s="230">
        <v>4234800</v>
      </c>
      <c r="AU7" s="229">
        <v>0.45600000000000002</v>
      </c>
      <c r="AV7" s="230">
        <v>7288800</v>
      </c>
      <c r="AW7" s="230">
        <v>5931000</v>
      </c>
      <c r="AX7" s="230">
        <v>1357800</v>
      </c>
      <c r="AY7" s="229">
        <v>0.22889999999999999</v>
      </c>
      <c r="AZ7" s="230">
        <v>6121800</v>
      </c>
      <c r="BA7" s="230">
        <v>3282600</v>
      </c>
      <c r="BB7" s="230">
        <v>2839200</v>
      </c>
      <c r="BC7" s="229">
        <v>0.8649</v>
      </c>
      <c r="BD7" s="230">
        <v>110400</v>
      </c>
      <c r="BE7" s="230">
        <v>72600</v>
      </c>
      <c r="BF7" s="230">
        <v>37800</v>
      </c>
      <c r="BG7" s="229">
        <v>0.52070000000000005</v>
      </c>
      <c r="BH7" s="230">
        <v>43658400</v>
      </c>
      <c r="BI7" s="230">
        <v>29872200</v>
      </c>
      <c r="BJ7" s="230">
        <v>13786200</v>
      </c>
      <c r="BK7" s="229">
        <v>0.46150000000000002</v>
      </c>
      <c r="BL7" s="230">
        <v>13425000</v>
      </c>
      <c r="BM7" s="230">
        <v>9930600</v>
      </c>
      <c r="BN7" s="230">
        <v>3494400</v>
      </c>
      <c r="BO7" s="229">
        <v>0.35189999999999999</v>
      </c>
      <c r="BP7" s="230">
        <v>70604400</v>
      </c>
      <c r="BQ7" s="230">
        <v>49089000</v>
      </c>
      <c r="BR7" s="230">
        <v>21515400</v>
      </c>
      <c r="BS7" s="229">
        <v>0.43830000000000002</v>
      </c>
      <c r="BT7" s="230">
        <v>7240015</v>
      </c>
      <c r="BU7" s="230">
        <v>5614814</v>
      </c>
      <c r="BV7" s="230">
        <v>1625201</v>
      </c>
      <c r="BW7" s="229">
        <v>0.28939999999999999</v>
      </c>
      <c r="BX7" s="230">
        <v>22129200</v>
      </c>
      <c r="BY7" s="230">
        <v>21618000</v>
      </c>
      <c r="BZ7" s="230">
        <v>511200</v>
      </c>
      <c r="CA7" s="229">
        <v>2.3599999999999999E-2</v>
      </c>
      <c r="CB7" s="230">
        <v>11593800</v>
      </c>
      <c r="CC7" s="230">
        <v>15603000</v>
      </c>
      <c r="CD7" s="230">
        <v>-4009200</v>
      </c>
      <c r="CE7" s="229">
        <v>-0.25700000000000001</v>
      </c>
      <c r="CF7" s="230">
        <v>10420200</v>
      </c>
      <c r="CG7" s="230">
        <v>5903400</v>
      </c>
      <c r="CH7" s="230">
        <v>4516800</v>
      </c>
      <c r="CI7" s="229">
        <v>0.7651</v>
      </c>
      <c r="CJ7" s="230">
        <v>115200</v>
      </c>
      <c r="CK7" s="230">
        <v>111600</v>
      </c>
      <c r="CL7" s="230">
        <v>3600</v>
      </c>
      <c r="CM7" s="229">
        <v>3.2300000000000002E-2</v>
      </c>
      <c r="CN7" s="230">
        <v>12267600</v>
      </c>
      <c r="CO7" s="230">
        <v>10209000</v>
      </c>
      <c r="CP7" s="230">
        <v>2058600</v>
      </c>
      <c r="CQ7" s="229">
        <v>0.2016</v>
      </c>
      <c r="CR7" s="230">
        <v>8233200</v>
      </c>
      <c r="CS7" s="230">
        <v>7509600</v>
      </c>
      <c r="CT7" s="230">
        <v>723600</v>
      </c>
      <c r="CU7" s="229">
        <v>9.64E-2</v>
      </c>
      <c r="CV7" s="230">
        <v>42630000</v>
      </c>
      <c r="CW7" s="230">
        <v>39336600</v>
      </c>
      <c r="CX7" s="230">
        <v>3293400</v>
      </c>
      <c r="CY7" s="229">
        <v>8.3699999999999997E-2</v>
      </c>
      <c r="CZ7" s="228">
        <v>56.88</v>
      </c>
      <c r="DA7" s="228">
        <v>54.35</v>
      </c>
      <c r="DB7" s="228">
        <v>2.5299999999999998</v>
      </c>
      <c r="DC7" s="228">
        <v>2.5299999999999998</v>
      </c>
      <c r="DD7" s="228">
        <v>59.03</v>
      </c>
      <c r="DE7" s="228">
        <v>59.16</v>
      </c>
      <c r="DF7" s="228">
        <v>-2.15</v>
      </c>
      <c r="DG7" s="228">
        <v>-0.13</v>
      </c>
      <c r="DH7" s="228">
        <v>56.98</v>
      </c>
      <c r="DI7" s="228">
        <v>53.7</v>
      </c>
      <c r="DJ7" s="228">
        <v>3.28</v>
      </c>
      <c r="DK7" s="228">
        <v>3.28</v>
      </c>
      <c r="DL7" s="228">
        <v>56.48</v>
      </c>
      <c r="DM7" s="228">
        <v>56.31</v>
      </c>
      <c r="DN7" s="228">
        <v>0.17</v>
      </c>
      <c r="DO7" s="228">
        <v>0.17</v>
      </c>
      <c r="DP7" s="228">
        <v>0.67</v>
      </c>
      <c r="DQ7" s="228">
        <v>0.74</v>
      </c>
      <c r="DR7" s="228">
        <v>-7.0000000000000007E-2</v>
      </c>
      <c r="DS7" s="229">
        <v>-9.4600000000000004E-2</v>
      </c>
      <c r="DT7" s="231">
        <v>1200</v>
      </c>
      <c r="DU7" s="231">
        <v>1100</v>
      </c>
      <c r="DV7" s="228">
        <v>0.31</v>
      </c>
      <c r="DW7" s="228">
        <v>0.33</v>
      </c>
      <c r="DX7" s="228">
        <v>-0.02</v>
      </c>
      <c r="DY7" s="229">
        <v>-6.0600000000000001E-2</v>
      </c>
      <c r="DZ7" s="229">
        <v>0.47610000000000002</v>
      </c>
      <c r="EA7" s="230">
        <v>6015000</v>
      </c>
      <c r="EB7" s="229">
        <v>5.5999999999999999E-3</v>
      </c>
      <c r="EC7" s="229">
        <v>0.47610000000000002</v>
      </c>
      <c r="ED7" s="228">
        <v>7.94</v>
      </c>
      <c r="EE7" s="229">
        <v>6.4999999999999997E-3</v>
      </c>
      <c r="EF7" s="230">
        <v>1562115</v>
      </c>
      <c r="EG7" s="230">
        <v>1743199</v>
      </c>
      <c r="EH7" s="229">
        <v>-0.10390000000000001</v>
      </c>
      <c r="EI7" s="229">
        <v>0.21579999999999999</v>
      </c>
      <c r="EJ7" s="231">
        <v>559304.80000000005</v>
      </c>
      <c r="EK7" s="231">
        <v>159495.67000000001</v>
      </c>
      <c r="EL7" s="231">
        <v>164571.48000000001</v>
      </c>
      <c r="EM7" s="231">
        <v>10020</v>
      </c>
      <c r="EN7" s="231">
        <v>883371.95</v>
      </c>
      <c r="EO7" s="231">
        <v>594433</v>
      </c>
      <c r="EP7" s="231">
        <v>288938.95</v>
      </c>
      <c r="EQ7" s="229">
        <v>0.48609999999999998</v>
      </c>
      <c r="ER7" s="231">
        <v>139158</v>
      </c>
      <c r="ES7" s="231">
        <v>86652</v>
      </c>
      <c r="ET7" s="231">
        <v>269202</v>
      </c>
      <c r="EU7" s="231">
        <v>64724093</v>
      </c>
      <c r="EV7" s="231">
        <v>495012</v>
      </c>
      <c r="EW7" s="231">
        <v>449048</v>
      </c>
      <c r="EX7" s="231">
        <v>45964</v>
      </c>
      <c r="EY7" s="229">
        <v>0.1024</v>
      </c>
      <c r="EZ7" s="229">
        <v>0.65859999999999996</v>
      </c>
      <c r="FA7" s="227" t="s">
        <v>555</v>
      </c>
      <c r="FB7" s="161">
        <f t="shared" si="0"/>
        <v>10535400</v>
      </c>
    </row>
    <row r="8" spans="1:158" ht="17.25" thickBot="1" x14ac:dyDescent="0.3">
      <c r="A8" s="226">
        <v>46135</v>
      </c>
      <c r="B8" s="227" t="s">
        <v>215</v>
      </c>
      <c r="C8" s="227" t="s">
        <v>160</v>
      </c>
      <c r="D8" s="228">
        <v>475</v>
      </c>
      <c r="E8" s="231">
        <v>1599.8</v>
      </c>
      <c r="F8" s="231">
        <v>1591</v>
      </c>
      <c r="G8" s="228">
        <v>8.8000000000000007</v>
      </c>
      <c r="H8" s="229">
        <v>5.4999999999999997E-3</v>
      </c>
      <c r="I8" s="231">
        <v>1602.9</v>
      </c>
      <c r="J8" s="231">
        <v>1588.6</v>
      </c>
      <c r="K8" s="228">
        <v>14.3</v>
      </c>
      <c r="L8" s="229">
        <v>8.9999999999999993E-3</v>
      </c>
      <c r="M8" s="231">
        <v>1599.8</v>
      </c>
      <c r="N8" s="231">
        <v>1591</v>
      </c>
      <c r="O8" s="228">
        <v>8.8000000000000007</v>
      </c>
      <c r="P8" s="229">
        <v>5.4999999999999997E-3</v>
      </c>
      <c r="Q8" s="231">
        <v>1608.6</v>
      </c>
      <c r="R8" s="231">
        <v>1599.5</v>
      </c>
      <c r="S8" s="228">
        <v>9.1</v>
      </c>
      <c r="T8" s="229">
        <v>5.7000000000000002E-3</v>
      </c>
      <c r="U8" s="231">
        <v>1613.9</v>
      </c>
      <c r="V8" s="231">
        <v>1604.6</v>
      </c>
      <c r="W8" s="228">
        <v>9.3000000000000007</v>
      </c>
      <c r="X8" s="229">
        <v>5.7999999999999996E-3</v>
      </c>
      <c r="Y8" s="228">
        <v>-3.1</v>
      </c>
      <c r="Z8" s="228">
        <v>2.4</v>
      </c>
      <c r="AA8" s="228">
        <v>-5.5</v>
      </c>
      <c r="AB8" s="229">
        <v>-1.9E-3</v>
      </c>
      <c r="AC8" s="228">
        <v>-3.1</v>
      </c>
      <c r="AD8" s="228">
        <v>2.4</v>
      </c>
      <c r="AE8" s="228">
        <v>-5.5</v>
      </c>
      <c r="AF8" s="229">
        <v>-1.9E-3</v>
      </c>
      <c r="AG8" s="228">
        <v>5.7</v>
      </c>
      <c r="AH8" s="228">
        <v>10.9</v>
      </c>
      <c r="AI8" s="228">
        <v>-5.2</v>
      </c>
      <c r="AJ8" s="229">
        <v>3.5999999999999999E-3</v>
      </c>
      <c r="AK8" s="228">
        <v>11</v>
      </c>
      <c r="AL8" s="228">
        <v>16</v>
      </c>
      <c r="AM8" s="228">
        <v>-5</v>
      </c>
      <c r="AN8" s="229">
        <v>6.8999999999999999E-3</v>
      </c>
      <c r="AO8" s="231">
        <v>1596.21</v>
      </c>
      <c r="AP8" s="231">
        <v>1605.04</v>
      </c>
      <c r="AQ8" s="228">
        <v>0</v>
      </c>
      <c r="AR8" s="230">
        <v>10775375</v>
      </c>
      <c r="AS8" s="230">
        <v>3315025</v>
      </c>
      <c r="AT8" s="230">
        <v>7460350</v>
      </c>
      <c r="AU8" s="229">
        <v>2.2505000000000002</v>
      </c>
      <c r="AV8" s="230">
        <v>5547525</v>
      </c>
      <c r="AW8" s="230">
        <v>1997850</v>
      </c>
      <c r="AX8" s="230">
        <v>3549675</v>
      </c>
      <c r="AY8" s="229">
        <v>1.7766999999999999</v>
      </c>
      <c r="AZ8" s="230">
        <v>5152325</v>
      </c>
      <c r="BA8" s="230">
        <v>1206025</v>
      </c>
      <c r="BB8" s="230">
        <v>3946300</v>
      </c>
      <c r="BC8" s="229">
        <v>3.2722000000000002</v>
      </c>
      <c r="BD8" s="230">
        <v>75525</v>
      </c>
      <c r="BE8" s="230">
        <v>111150</v>
      </c>
      <c r="BF8" s="230">
        <v>-35625</v>
      </c>
      <c r="BG8" s="229">
        <v>-0.32050000000000001</v>
      </c>
      <c r="BH8" s="230">
        <v>15102150</v>
      </c>
      <c r="BI8" s="230">
        <v>12380400</v>
      </c>
      <c r="BJ8" s="230">
        <v>2721750</v>
      </c>
      <c r="BK8" s="229">
        <v>0.2198</v>
      </c>
      <c r="BL8" s="230">
        <v>8749025</v>
      </c>
      <c r="BM8" s="230">
        <v>7441350</v>
      </c>
      <c r="BN8" s="230">
        <v>1307675</v>
      </c>
      <c r="BO8" s="229">
        <v>0.1757</v>
      </c>
      <c r="BP8" s="230">
        <v>34626550</v>
      </c>
      <c r="BQ8" s="230">
        <v>23136775</v>
      </c>
      <c r="BR8" s="230">
        <v>11489775</v>
      </c>
      <c r="BS8" s="229">
        <v>0.49659999999999999</v>
      </c>
      <c r="BT8" s="230">
        <v>2548131</v>
      </c>
      <c r="BU8" s="230">
        <v>2065514</v>
      </c>
      <c r="BV8" s="230">
        <v>482617</v>
      </c>
      <c r="BW8" s="229">
        <v>0.23369999999999999</v>
      </c>
      <c r="BX8" s="230">
        <v>20196050</v>
      </c>
      <c r="BY8" s="230">
        <v>20007950</v>
      </c>
      <c r="BZ8" s="230">
        <v>188100</v>
      </c>
      <c r="CA8" s="229">
        <v>9.4000000000000004E-3</v>
      </c>
      <c r="CB8" s="230">
        <v>12168550</v>
      </c>
      <c r="CC8" s="230">
        <v>15874975</v>
      </c>
      <c r="CD8" s="230">
        <v>-3706425</v>
      </c>
      <c r="CE8" s="229">
        <v>-0.23350000000000001</v>
      </c>
      <c r="CF8" s="230">
        <v>7777650</v>
      </c>
      <c r="CG8" s="230">
        <v>3920650</v>
      </c>
      <c r="CH8" s="230">
        <v>3857000</v>
      </c>
      <c r="CI8" s="229">
        <v>0.98380000000000001</v>
      </c>
      <c r="CJ8" s="230">
        <v>249850</v>
      </c>
      <c r="CK8" s="230">
        <v>212325</v>
      </c>
      <c r="CL8" s="230">
        <v>37525</v>
      </c>
      <c r="CM8" s="229">
        <v>0.1767</v>
      </c>
      <c r="CN8" s="230">
        <v>10317950</v>
      </c>
      <c r="CO8" s="230">
        <v>10425775</v>
      </c>
      <c r="CP8" s="230">
        <v>-107825</v>
      </c>
      <c r="CQ8" s="229">
        <v>-1.03E-2</v>
      </c>
      <c r="CR8" s="230">
        <v>8778475</v>
      </c>
      <c r="CS8" s="230">
        <v>9108600</v>
      </c>
      <c r="CT8" s="230">
        <v>-330125</v>
      </c>
      <c r="CU8" s="229">
        <v>-3.6200000000000003E-2</v>
      </c>
      <c r="CV8" s="230">
        <v>39292475</v>
      </c>
      <c r="CW8" s="230">
        <v>39542325</v>
      </c>
      <c r="CX8" s="230">
        <v>-249850</v>
      </c>
      <c r="CY8" s="229">
        <v>-6.3E-3</v>
      </c>
      <c r="CZ8" s="228">
        <v>35.31</v>
      </c>
      <c r="DA8" s="228">
        <v>32.08</v>
      </c>
      <c r="DB8" s="228">
        <v>3.23</v>
      </c>
      <c r="DC8" s="228">
        <v>3.23</v>
      </c>
      <c r="DD8" s="228">
        <v>39.94</v>
      </c>
      <c r="DE8" s="228">
        <v>40.03</v>
      </c>
      <c r="DF8" s="228">
        <v>-4.63</v>
      </c>
      <c r="DG8" s="228">
        <v>-0.09</v>
      </c>
      <c r="DH8" s="228">
        <v>34.35</v>
      </c>
      <c r="DI8" s="228">
        <v>30.83</v>
      </c>
      <c r="DJ8" s="228">
        <v>3.52</v>
      </c>
      <c r="DK8" s="228">
        <v>3.52</v>
      </c>
      <c r="DL8" s="228">
        <v>37.409999999999997</v>
      </c>
      <c r="DM8" s="228">
        <v>34.14</v>
      </c>
      <c r="DN8" s="228">
        <v>3.27</v>
      </c>
      <c r="DO8" s="228">
        <v>3.27</v>
      </c>
      <c r="DP8" s="228">
        <v>0.85</v>
      </c>
      <c r="DQ8" s="228">
        <v>0.87</v>
      </c>
      <c r="DR8" s="228">
        <v>-0.02</v>
      </c>
      <c r="DS8" s="229">
        <v>-2.3E-2</v>
      </c>
      <c r="DT8" s="231">
        <v>1500</v>
      </c>
      <c r="DU8" s="231">
        <v>1500</v>
      </c>
      <c r="DV8" s="228">
        <v>0.57999999999999996</v>
      </c>
      <c r="DW8" s="228">
        <v>0.6</v>
      </c>
      <c r="DX8" s="228">
        <v>-0.02</v>
      </c>
      <c r="DY8" s="229">
        <v>-3.3300000000000003E-2</v>
      </c>
      <c r="DZ8" s="229">
        <v>0.39750000000000002</v>
      </c>
      <c r="EA8" s="230">
        <v>4132975</v>
      </c>
      <c r="EB8" s="229">
        <v>5.4999999999999997E-3</v>
      </c>
      <c r="EC8" s="229">
        <v>0.39750000000000002</v>
      </c>
      <c r="ED8" s="228">
        <v>8.83</v>
      </c>
      <c r="EE8" s="229">
        <v>5.4999999999999997E-3</v>
      </c>
      <c r="EF8" s="230">
        <v>1204101</v>
      </c>
      <c r="EG8" s="230">
        <v>865597</v>
      </c>
      <c r="EH8" s="229">
        <v>0.3911</v>
      </c>
      <c r="EI8" s="229">
        <v>0.47249999999999998</v>
      </c>
      <c r="EJ8" s="231">
        <v>249254.03</v>
      </c>
      <c r="EK8" s="231">
        <v>135360.12</v>
      </c>
      <c r="EL8" s="231">
        <v>172462.8</v>
      </c>
      <c r="EM8" s="231">
        <v>7995</v>
      </c>
      <c r="EN8" s="231">
        <v>557076.94999999995</v>
      </c>
      <c r="EO8" s="231">
        <v>371888.63</v>
      </c>
      <c r="EP8" s="231">
        <v>185188.32</v>
      </c>
      <c r="EQ8" s="229">
        <v>0.498</v>
      </c>
      <c r="ER8" s="231">
        <v>161097</v>
      </c>
      <c r="ES8" s="231">
        <v>128763</v>
      </c>
      <c r="ET8" s="231">
        <v>323816</v>
      </c>
      <c r="EU8" s="231">
        <v>88142691</v>
      </c>
      <c r="EV8" s="231">
        <v>613676</v>
      </c>
      <c r="EW8" s="231">
        <v>614497</v>
      </c>
      <c r="EX8" s="228">
        <v>-821</v>
      </c>
      <c r="EY8" s="229">
        <v>-1.2999999999999999E-3</v>
      </c>
      <c r="EZ8" s="229">
        <v>0.44579999999999997</v>
      </c>
      <c r="FA8" s="227" t="s">
        <v>555</v>
      </c>
      <c r="FB8" s="161">
        <f t="shared" si="0"/>
        <v>8027500</v>
      </c>
    </row>
    <row r="9" spans="1:158" ht="17.25" thickBot="1" x14ac:dyDescent="0.3">
      <c r="A9" s="226">
        <v>46135</v>
      </c>
      <c r="B9" s="227" t="s">
        <v>161</v>
      </c>
      <c r="C9" s="227" t="s">
        <v>695</v>
      </c>
      <c r="D9" s="228">
        <v>3550</v>
      </c>
      <c r="E9" s="228">
        <v>214.22</v>
      </c>
      <c r="F9" s="228">
        <v>215.39</v>
      </c>
      <c r="G9" s="228">
        <v>-1.17</v>
      </c>
      <c r="H9" s="229">
        <v>-5.4000000000000003E-3</v>
      </c>
      <c r="I9" s="228">
        <v>214.18</v>
      </c>
      <c r="J9" s="228">
        <v>215.65</v>
      </c>
      <c r="K9" s="228">
        <v>-1.47</v>
      </c>
      <c r="L9" s="229">
        <v>-6.7999999999999996E-3</v>
      </c>
      <c r="M9" s="228">
        <v>214.22</v>
      </c>
      <c r="N9" s="228">
        <v>215.39</v>
      </c>
      <c r="O9" s="228">
        <v>-1.17</v>
      </c>
      <c r="P9" s="229">
        <v>-5.4000000000000003E-3</v>
      </c>
      <c r="Q9" s="228">
        <v>215.39</v>
      </c>
      <c r="R9" s="228">
        <v>216.27</v>
      </c>
      <c r="S9" s="228">
        <v>-0.88</v>
      </c>
      <c r="T9" s="229">
        <v>-4.1000000000000003E-3</v>
      </c>
      <c r="U9" s="228">
        <v>216.35</v>
      </c>
      <c r="V9" s="228">
        <v>217.51</v>
      </c>
      <c r="W9" s="228">
        <v>-1.1599999999999999</v>
      </c>
      <c r="X9" s="229">
        <v>-5.3E-3</v>
      </c>
      <c r="Y9" s="228">
        <v>0.04</v>
      </c>
      <c r="Z9" s="228">
        <v>-0.26</v>
      </c>
      <c r="AA9" s="228">
        <v>0.3</v>
      </c>
      <c r="AB9" s="229">
        <v>2.0000000000000001E-4</v>
      </c>
      <c r="AC9" s="228">
        <v>0.04</v>
      </c>
      <c r="AD9" s="228">
        <v>-0.26</v>
      </c>
      <c r="AE9" s="228">
        <v>0.3</v>
      </c>
      <c r="AF9" s="229">
        <v>2.0000000000000001E-4</v>
      </c>
      <c r="AG9" s="228">
        <v>1.21</v>
      </c>
      <c r="AH9" s="228">
        <v>0.62</v>
      </c>
      <c r="AI9" s="228">
        <v>0.59</v>
      </c>
      <c r="AJ9" s="229">
        <v>5.5999999999999999E-3</v>
      </c>
      <c r="AK9" s="228">
        <v>2.17</v>
      </c>
      <c r="AL9" s="228">
        <v>1.86</v>
      </c>
      <c r="AM9" s="228">
        <v>0.31</v>
      </c>
      <c r="AN9" s="229">
        <v>1.01E-2</v>
      </c>
      <c r="AO9" s="228">
        <v>215</v>
      </c>
      <c r="AP9" s="228">
        <v>216.18</v>
      </c>
      <c r="AQ9" s="228">
        <v>0</v>
      </c>
      <c r="AR9" s="230">
        <v>48819600</v>
      </c>
      <c r="AS9" s="230">
        <v>56856800</v>
      </c>
      <c r="AT9" s="230">
        <v>-8037200</v>
      </c>
      <c r="AU9" s="229">
        <v>-0.1414</v>
      </c>
      <c r="AV9" s="230">
        <v>25588400</v>
      </c>
      <c r="AW9" s="230">
        <v>39018050</v>
      </c>
      <c r="AX9" s="230">
        <v>-13429650</v>
      </c>
      <c r="AY9" s="229">
        <v>-0.34420000000000001</v>
      </c>
      <c r="AZ9" s="230">
        <v>22869100</v>
      </c>
      <c r="BA9" s="230">
        <v>16915750</v>
      </c>
      <c r="BB9" s="230">
        <v>5953350</v>
      </c>
      <c r="BC9" s="229">
        <v>0.35189999999999999</v>
      </c>
      <c r="BD9" s="230">
        <v>362100</v>
      </c>
      <c r="BE9" s="230">
        <v>923000</v>
      </c>
      <c r="BF9" s="230">
        <v>-560900</v>
      </c>
      <c r="BG9" s="229">
        <v>-0.60770000000000002</v>
      </c>
      <c r="BH9" s="230">
        <v>76044550</v>
      </c>
      <c r="BI9" s="230">
        <v>203762900</v>
      </c>
      <c r="BJ9" s="230">
        <v>-127718350</v>
      </c>
      <c r="BK9" s="229">
        <v>-0.62680000000000002</v>
      </c>
      <c r="BL9" s="230">
        <v>36611150</v>
      </c>
      <c r="BM9" s="230">
        <v>66661900</v>
      </c>
      <c r="BN9" s="230">
        <v>-30050750</v>
      </c>
      <c r="BO9" s="229">
        <v>-0.45079999999999998</v>
      </c>
      <c r="BP9" s="230">
        <v>161475300</v>
      </c>
      <c r="BQ9" s="230">
        <v>327281600</v>
      </c>
      <c r="BR9" s="230">
        <v>-165806300</v>
      </c>
      <c r="BS9" s="229">
        <v>-0.50660000000000005</v>
      </c>
      <c r="BT9" s="230">
        <v>62133838</v>
      </c>
      <c r="BU9" s="230">
        <v>124527175</v>
      </c>
      <c r="BV9" s="230">
        <v>-62393337</v>
      </c>
      <c r="BW9" s="229">
        <v>-0.501</v>
      </c>
      <c r="BX9" s="230">
        <v>83094850</v>
      </c>
      <c r="BY9" s="230">
        <v>83627350</v>
      </c>
      <c r="BZ9" s="230">
        <v>-532500</v>
      </c>
      <c r="CA9" s="229">
        <v>-6.4000000000000003E-3</v>
      </c>
      <c r="CB9" s="230">
        <v>56498250</v>
      </c>
      <c r="CC9" s="230">
        <v>67947000</v>
      </c>
      <c r="CD9" s="230">
        <v>-11448750</v>
      </c>
      <c r="CE9" s="229">
        <v>-0.16850000000000001</v>
      </c>
      <c r="CF9" s="230">
        <v>25797850</v>
      </c>
      <c r="CG9" s="230">
        <v>14945500</v>
      </c>
      <c r="CH9" s="230">
        <v>10852350</v>
      </c>
      <c r="CI9" s="229">
        <v>0.72609999999999997</v>
      </c>
      <c r="CJ9" s="230">
        <v>798750</v>
      </c>
      <c r="CK9" s="230">
        <v>734850</v>
      </c>
      <c r="CL9" s="230">
        <v>63900</v>
      </c>
      <c r="CM9" s="229">
        <v>8.6999999999999994E-2</v>
      </c>
      <c r="CN9" s="230">
        <v>40047550</v>
      </c>
      <c r="CO9" s="230">
        <v>37140100</v>
      </c>
      <c r="CP9" s="230">
        <v>2907450</v>
      </c>
      <c r="CQ9" s="229">
        <v>7.8299999999999995E-2</v>
      </c>
      <c r="CR9" s="230">
        <v>31541750</v>
      </c>
      <c r="CS9" s="230">
        <v>32095550</v>
      </c>
      <c r="CT9" s="230">
        <v>-553800</v>
      </c>
      <c r="CU9" s="229">
        <v>-1.7299999999999999E-2</v>
      </c>
      <c r="CV9" s="230">
        <v>154684150</v>
      </c>
      <c r="CW9" s="230">
        <v>152863000</v>
      </c>
      <c r="CX9" s="230">
        <v>1821150</v>
      </c>
      <c r="CY9" s="229">
        <v>1.1900000000000001E-2</v>
      </c>
      <c r="CZ9" s="228">
        <v>65.67</v>
      </c>
      <c r="DA9" s="228">
        <v>60.6</v>
      </c>
      <c r="DB9" s="228">
        <v>5.07</v>
      </c>
      <c r="DC9" s="228">
        <v>5.07</v>
      </c>
      <c r="DD9" s="228">
        <v>52.82</v>
      </c>
      <c r="DE9" s="228">
        <v>52.95</v>
      </c>
      <c r="DF9" s="228">
        <v>12.85</v>
      </c>
      <c r="DG9" s="228">
        <v>-0.13</v>
      </c>
      <c r="DH9" s="228">
        <v>65.73</v>
      </c>
      <c r="DI9" s="228">
        <v>60</v>
      </c>
      <c r="DJ9" s="228">
        <v>5.73</v>
      </c>
      <c r="DK9" s="228">
        <v>5.73</v>
      </c>
      <c r="DL9" s="228">
        <v>65.569999999999993</v>
      </c>
      <c r="DM9" s="228">
        <v>62.42</v>
      </c>
      <c r="DN9" s="228">
        <v>3.15</v>
      </c>
      <c r="DO9" s="228">
        <v>3.15</v>
      </c>
      <c r="DP9" s="228">
        <v>0.79</v>
      </c>
      <c r="DQ9" s="228">
        <v>0.86</v>
      </c>
      <c r="DR9" s="228">
        <v>-7.0000000000000007E-2</v>
      </c>
      <c r="DS9" s="229">
        <v>-8.14E-2</v>
      </c>
      <c r="DT9" s="228">
        <v>220</v>
      </c>
      <c r="DU9" s="228">
        <v>200</v>
      </c>
      <c r="DV9" s="228">
        <v>0.48</v>
      </c>
      <c r="DW9" s="228">
        <v>0.33</v>
      </c>
      <c r="DX9" s="228">
        <v>0.15</v>
      </c>
      <c r="DY9" s="229">
        <v>0.45450000000000002</v>
      </c>
      <c r="DZ9" s="229">
        <v>0.3201</v>
      </c>
      <c r="EA9" s="230">
        <v>15680350</v>
      </c>
      <c r="EB9" s="229">
        <v>5.4999999999999997E-3</v>
      </c>
      <c r="EC9" s="229">
        <v>0.3201</v>
      </c>
      <c r="ED9" s="228">
        <v>1.18</v>
      </c>
      <c r="EE9" s="229">
        <v>5.4999999999999997E-3</v>
      </c>
      <c r="EF9" s="230">
        <v>14682363</v>
      </c>
      <c r="EG9" s="230">
        <v>32252818</v>
      </c>
      <c r="EH9" s="229">
        <v>-0.54479999999999995</v>
      </c>
      <c r="EI9" s="229">
        <v>0.23630000000000001</v>
      </c>
      <c r="EJ9" s="231">
        <v>172710.53</v>
      </c>
      <c r="EK9" s="231">
        <v>75356.55</v>
      </c>
      <c r="EL9" s="231">
        <v>105240.78</v>
      </c>
      <c r="EM9" s="231">
        <v>13394</v>
      </c>
      <c r="EN9" s="231">
        <v>353307.86</v>
      </c>
      <c r="EO9" s="231">
        <v>709718.01</v>
      </c>
      <c r="EP9" s="231">
        <v>-356410.15</v>
      </c>
      <c r="EQ9" s="229">
        <v>-0.50219999999999998</v>
      </c>
      <c r="ER9" s="231">
        <v>82153</v>
      </c>
      <c r="ES9" s="231">
        <v>59309</v>
      </c>
      <c r="ET9" s="231">
        <v>178325</v>
      </c>
      <c r="EU9" s="231">
        <v>482906787</v>
      </c>
      <c r="EV9" s="231">
        <v>319787</v>
      </c>
      <c r="EW9" s="231">
        <v>315166</v>
      </c>
      <c r="EX9" s="231">
        <v>4621</v>
      </c>
      <c r="EY9" s="229">
        <v>1.47E-2</v>
      </c>
      <c r="EZ9" s="229">
        <v>0.32029999999999997</v>
      </c>
      <c r="FA9" s="227" t="s">
        <v>567</v>
      </c>
      <c r="FB9" s="161">
        <f t="shared" si="0"/>
        <v>26596600</v>
      </c>
    </row>
    <row r="10" spans="1:158" ht="17.25" thickBot="1" x14ac:dyDescent="0.3">
      <c r="A10" s="226">
        <v>46135</v>
      </c>
      <c r="B10" s="227" t="s">
        <v>170</v>
      </c>
      <c r="C10" s="227" t="s">
        <v>497</v>
      </c>
      <c r="D10" s="228">
        <v>125</v>
      </c>
      <c r="E10" s="231">
        <v>5511</v>
      </c>
      <c r="F10" s="231">
        <v>5599.5</v>
      </c>
      <c r="G10" s="228">
        <v>-88.5</v>
      </c>
      <c r="H10" s="229">
        <v>-1.5800000000000002E-2</v>
      </c>
      <c r="I10" s="231">
        <v>5520.5</v>
      </c>
      <c r="J10" s="231">
        <v>5627</v>
      </c>
      <c r="K10" s="228">
        <v>-106.5</v>
      </c>
      <c r="L10" s="229">
        <v>-1.89E-2</v>
      </c>
      <c r="M10" s="231">
        <v>5511</v>
      </c>
      <c r="N10" s="231">
        <v>5599.5</v>
      </c>
      <c r="O10" s="228">
        <v>-88.5</v>
      </c>
      <c r="P10" s="229">
        <v>-1.5800000000000002E-2</v>
      </c>
      <c r="Q10" s="231">
        <v>5532.5</v>
      </c>
      <c r="R10" s="231">
        <v>5623.5</v>
      </c>
      <c r="S10" s="228">
        <v>-91</v>
      </c>
      <c r="T10" s="229">
        <v>-1.6199999999999999E-2</v>
      </c>
      <c r="U10" s="231">
        <v>5550</v>
      </c>
      <c r="V10" s="231">
        <v>5595</v>
      </c>
      <c r="W10" s="228">
        <v>-45</v>
      </c>
      <c r="X10" s="229">
        <v>-8.0000000000000002E-3</v>
      </c>
      <c r="Y10" s="228">
        <v>-9.5</v>
      </c>
      <c r="Z10" s="228">
        <v>-27.5</v>
      </c>
      <c r="AA10" s="228">
        <v>18</v>
      </c>
      <c r="AB10" s="229">
        <v>-1.6999999999999999E-3</v>
      </c>
      <c r="AC10" s="228">
        <v>-9.5</v>
      </c>
      <c r="AD10" s="228">
        <v>-27.5</v>
      </c>
      <c r="AE10" s="228">
        <v>18</v>
      </c>
      <c r="AF10" s="229">
        <v>-1.6999999999999999E-3</v>
      </c>
      <c r="AG10" s="228">
        <v>12</v>
      </c>
      <c r="AH10" s="228">
        <v>-3.5</v>
      </c>
      <c r="AI10" s="228">
        <v>15.5</v>
      </c>
      <c r="AJ10" s="229">
        <v>2.2000000000000001E-3</v>
      </c>
      <c r="AK10" s="228">
        <v>29.5</v>
      </c>
      <c r="AL10" s="228">
        <v>-32</v>
      </c>
      <c r="AM10" s="228">
        <v>61.5</v>
      </c>
      <c r="AN10" s="229">
        <v>5.3E-3</v>
      </c>
      <c r="AO10" s="231">
        <v>5488.29</v>
      </c>
      <c r="AP10" s="231">
        <v>5505.89</v>
      </c>
      <c r="AQ10" s="228">
        <v>0</v>
      </c>
      <c r="AR10" s="230">
        <v>1112250</v>
      </c>
      <c r="AS10" s="230">
        <v>357500</v>
      </c>
      <c r="AT10" s="230">
        <v>754750</v>
      </c>
      <c r="AU10" s="229">
        <v>2.1112000000000002</v>
      </c>
      <c r="AV10" s="230">
        <v>654625</v>
      </c>
      <c r="AW10" s="230">
        <v>288625</v>
      </c>
      <c r="AX10" s="230">
        <v>366000</v>
      </c>
      <c r="AY10" s="229">
        <v>1.2681</v>
      </c>
      <c r="AZ10" s="230">
        <v>457375</v>
      </c>
      <c r="BA10" s="230">
        <v>68625</v>
      </c>
      <c r="BB10" s="230">
        <v>388750</v>
      </c>
      <c r="BC10" s="229">
        <v>5.6647999999999996</v>
      </c>
      <c r="BD10" s="228">
        <v>250</v>
      </c>
      <c r="BE10" s="228">
        <v>250</v>
      </c>
      <c r="BF10" s="228">
        <v>0</v>
      </c>
      <c r="BG10" s="229">
        <v>0</v>
      </c>
      <c r="BH10" s="230">
        <v>858250</v>
      </c>
      <c r="BI10" s="230">
        <v>656000</v>
      </c>
      <c r="BJ10" s="230">
        <v>202250</v>
      </c>
      <c r="BK10" s="229">
        <v>0.30830000000000002</v>
      </c>
      <c r="BL10" s="230">
        <v>466750</v>
      </c>
      <c r="BM10" s="230">
        <v>361125</v>
      </c>
      <c r="BN10" s="230">
        <v>105625</v>
      </c>
      <c r="BO10" s="229">
        <v>0.29249999999999998</v>
      </c>
      <c r="BP10" s="230">
        <v>2437250</v>
      </c>
      <c r="BQ10" s="230">
        <v>1374625</v>
      </c>
      <c r="BR10" s="230">
        <v>1062625</v>
      </c>
      <c r="BS10" s="229">
        <v>0.77300000000000002</v>
      </c>
      <c r="BT10" s="230">
        <v>165661</v>
      </c>
      <c r="BU10" s="230">
        <v>202250</v>
      </c>
      <c r="BV10" s="230">
        <v>-36589</v>
      </c>
      <c r="BW10" s="229">
        <v>-0.18090000000000001</v>
      </c>
      <c r="BX10" s="230">
        <v>1236625</v>
      </c>
      <c r="BY10" s="230">
        <v>1172500</v>
      </c>
      <c r="BZ10" s="230">
        <v>64125</v>
      </c>
      <c r="CA10" s="229">
        <v>5.4699999999999999E-2</v>
      </c>
      <c r="CB10" s="230">
        <v>815500</v>
      </c>
      <c r="CC10" s="230">
        <v>1124125</v>
      </c>
      <c r="CD10" s="230">
        <v>-308625</v>
      </c>
      <c r="CE10" s="229">
        <v>-0.27450000000000002</v>
      </c>
      <c r="CF10" s="230">
        <v>420750</v>
      </c>
      <c r="CG10" s="230">
        <v>48125</v>
      </c>
      <c r="CH10" s="230">
        <v>372625</v>
      </c>
      <c r="CI10" s="229">
        <v>7.7428999999999997</v>
      </c>
      <c r="CJ10" s="228">
        <v>375</v>
      </c>
      <c r="CK10" s="228">
        <v>250</v>
      </c>
      <c r="CL10" s="228">
        <v>125</v>
      </c>
      <c r="CM10" s="229">
        <v>0.5</v>
      </c>
      <c r="CN10" s="230">
        <v>325000</v>
      </c>
      <c r="CO10" s="230">
        <v>328250</v>
      </c>
      <c r="CP10" s="230">
        <v>-3250</v>
      </c>
      <c r="CQ10" s="229">
        <v>-9.9000000000000008E-3</v>
      </c>
      <c r="CR10" s="230">
        <v>225125</v>
      </c>
      <c r="CS10" s="230">
        <v>247375</v>
      </c>
      <c r="CT10" s="230">
        <v>-22250</v>
      </c>
      <c r="CU10" s="229">
        <v>-8.9899999999999994E-2</v>
      </c>
      <c r="CV10" s="230">
        <v>1786750</v>
      </c>
      <c r="CW10" s="230">
        <v>1748125</v>
      </c>
      <c r="CX10" s="230">
        <v>38625</v>
      </c>
      <c r="CY10" s="229">
        <v>2.2100000000000002E-2</v>
      </c>
      <c r="CZ10" s="228">
        <v>30.67</v>
      </c>
      <c r="DA10" s="228">
        <v>26.3</v>
      </c>
      <c r="DB10" s="228">
        <v>4.37</v>
      </c>
      <c r="DC10" s="228">
        <v>4.37</v>
      </c>
      <c r="DD10" s="228">
        <v>28.47</v>
      </c>
      <c r="DE10" s="228">
        <v>28.46</v>
      </c>
      <c r="DF10" s="228">
        <v>2.2000000000000002</v>
      </c>
      <c r="DG10" s="228">
        <v>0.01</v>
      </c>
      <c r="DH10" s="228">
        <v>29.56</v>
      </c>
      <c r="DI10" s="228">
        <v>26.39</v>
      </c>
      <c r="DJ10" s="228">
        <v>3.17</v>
      </c>
      <c r="DK10" s="228">
        <v>3.17</v>
      </c>
      <c r="DL10" s="228">
        <v>31.46</v>
      </c>
      <c r="DM10" s="228">
        <v>26.12</v>
      </c>
      <c r="DN10" s="228">
        <v>5.34</v>
      </c>
      <c r="DO10" s="228">
        <v>5.34</v>
      </c>
      <c r="DP10" s="228">
        <v>0.69</v>
      </c>
      <c r="DQ10" s="228">
        <v>0.75</v>
      </c>
      <c r="DR10" s="228">
        <v>-0.06</v>
      </c>
      <c r="DS10" s="229">
        <v>-0.08</v>
      </c>
      <c r="DT10" s="231">
        <v>5800</v>
      </c>
      <c r="DU10" s="231">
        <v>5650</v>
      </c>
      <c r="DV10" s="228">
        <v>0.54</v>
      </c>
      <c r="DW10" s="228">
        <v>0.55000000000000004</v>
      </c>
      <c r="DX10" s="228">
        <v>-0.01</v>
      </c>
      <c r="DY10" s="229">
        <v>-1.8200000000000001E-2</v>
      </c>
      <c r="DZ10" s="229">
        <v>0.34050000000000002</v>
      </c>
      <c r="EA10" s="230">
        <v>48375</v>
      </c>
      <c r="EB10" s="229">
        <v>3.8999999999999998E-3</v>
      </c>
      <c r="EC10" s="229">
        <v>0.34050000000000002</v>
      </c>
      <c r="ED10" s="228">
        <v>17.600000000000001</v>
      </c>
      <c r="EE10" s="229">
        <v>3.2000000000000002E-3</v>
      </c>
      <c r="EF10" s="230">
        <v>80289</v>
      </c>
      <c r="EG10" s="230">
        <v>111603</v>
      </c>
      <c r="EH10" s="229">
        <v>-0.28060000000000002</v>
      </c>
      <c r="EI10" s="229">
        <v>0.48470000000000002</v>
      </c>
      <c r="EJ10" s="231">
        <v>48913.21</v>
      </c>
      <c r="EK10" s="231">
        <v>25336.93</v>
      </c>
      <c r="EL10" s="231">
        <v>61124.08</v>
      </c>
      <c r="EM10" s="231">
        <v>1601</v>
      </c>
      <c r="EN10" s="231">
        <v>135374.22</v>
      </c>
      <c r="EO10" s="231">
        <v>78503.13</v>
      </c>
      <c r="EP10" s="231">
        <v>56871.09</v>
      </c>
      <c r="EQ10" s="229">
        <v>0.72440000000000004</v>
      </c>
      <c r="ER10" s="231">
        <v>18368</v>
      </c>
      <c r="ES10" s="231">
        <v>12128</v>
      </c>
      <c r="ET10" s="231">
        <v>68241</v>
      </c>
      <c r="EU10" s="231">
        <v>5873365</v>
      </c>
      <c r="EV10" s="231">
        <v>98737</v>
      </c>
      <c r="EW10" s="231">
        <v>97607</v>
      </c>
      <c r="EX10" s="231">
        <v>1130</v>
      </c>
      <c r="EY10" s="229">
        <v>1.1599999999999999E-2</v>
      </c>
      <c r="EZ10" s="229">
        <v>0.30420000000000003</v>
      </c>
      <c r="FA10" s="227" t="s">
        <v>566</v>
      </c>
      <c r="FB10" s="161">
        <f t="shared" si="0"/>
        <v>421125</v>
      </c>
    </row>
    <row r="11" spans="1:158" ht="17.25" thickBot="1" x14ac:dyDescent="0.3">
      <c r="A11" s="226">
        <v>46135</v>
      </c>
      <c r="B11" s="227" t="s">
        <v>184</v>
      </c>
      <c r="C11" s="227" t="s">
        <v>679</v>
      </c>
      <c r="D11" s="228">
        <v>100</v>
      </c>
      <c r="E11" s="231">
        <v>7817</v>
      </c>
      <c r="F11" s="231">
        <v>7807</v>
      </c>
      <c r="G11" s="228">
        <v>10</v>
      </c>
      <c r="H11" s="229">
        <v>1.2999999999999999E-3</v>
      </c>
      <c r="I11" s="231">
        <v>7795</v>
      </c>
      <c r="J11" s="231">
        <v>7803.5</v>
      </c>
      <c r="K11" s="228">
        <v>-8.5</v>
      </c>
      <c r="L11" s="229">
        <v>-1.1000000000000001E-3</v>
      </c>
      <c r="M11" s="231">
        <v>7817</v>
      </c>
      <c r="N11" s="231">
        <v>7807</v>
      </c>
      <c r="O11" s="228">
        <v>10</v>
      </c>
      <c r="P11" s="229">
        <v>1.2999999999999999E-3</v>
      </c>
      <c r="Q11" s="231">
        <v>7716.5</v>
      </c>
      <c r="R11" s="231">
        <v>7737</v>
      </c>
      <c r="S11" s="228">
        <v>-20.5</v>
      </c>
      <c r="T11" s="229">
        <v>-2.5999999999999999E-3</v>
      </c>
      <c r="U11" s="231">
        <v>7660</v>
      </c>
      <c r="V11" s="231">
        <v>7710</v>
      </c>
      <c r="W11" s="228">
        <v>-50</v>
      </c>
      <c r="X11" s="229">
        <v>-6.4999999999999997E-3</v>
      </c>
      <c r="Y11" s="228">
        <v>22</v>
      </c>
      <c r="Z11" s="228">
        <v>3.5</v>
      </c>
      <c r="AA11" s="228">
        <v>18.5</v>
      </c>
      <c r="AB11" s="229">
        <v>2.8E-3</v>
      </c>
      <c r="AC11" s="228">
        <v>22</v>
      </c>
      <c r="AD11" s="228">
        <v>3.5</v>
      </c>
      <c r="AE11" s="228">
        <v>18.5</v>
      </c>
      <c r="AF11" s="229">
        <v>2.8E-3</v>
      </c>
      <c r="AG11" s="228">
        <v>-78.5</v>
      </c>
      <c r="AH11" s="228">
        <v>-66.5</v>
      </c>
      <c r="AI11" s="228">
        <v>-12</v>
      </c>
      <c r="AJ11" s="229">
        <v>-1.01E-2</v>
      </c>
      <c r="AK11" s="228">
        <v>-135</v>
      </c>
      <c r="AL11" s="228">
        <v>-93.5</v>
      </c>
      <c r="AM11" s="228">
        <v>-41.5</v>
      </c>
      <c r="AN11" s="229">
        <v>-1.7299999999999999E-2</v>
      </c>
      <c r="AO11" s="231">
        <v>7798</v>
      </c>
      <c r="AP11" s="231">
        <v>7706.56</v>
      </c>
      <c r="AQ11" s="228">
        <v>0</v>
      </c>
      <c r="AR11" s="230">
        <v>1060500</v>
      </c>
      <c r="AS11" s="230">
        <v>293600</v>
      </c>
      <c r="AT11" s="230">
        <v>766900</v>
      </c>
      <c r="AU11" s="229">
        <v>2.6120999999999999</v>
      </c>
      <c r="AV11" s="230">
        <v>578200</v>
      </c>
      <c r="AW11" s="230">
        <v>209800</v>
      </c>
      <c r="AX11" s="230">
        <v>368400</v>
      </c>
      <c r="AY11" s="229">
        <v>1.756</v>
      </c>
      <c r="AZ11" s="230">
        <v>481400</v>
      </c>
      <c r="BA11" s="230">
        <v>82700</v>
      </c>
      <c r="BB11" s="230">
        <v>398700</v>
      </c>
      <c r="BC11" s="229">
        <v>4.8209999999999997</v>
      </c>
      <c r="BD11" s="228">
        <v>900</v>
      </c>
      <c r="BE11" s="230">
        <v>1100</v>
      </c>
      <c r="BF11" s="228">
        <v>-200</v>
      </c>
      <c r="BG11" s="229">
        <v>-0.18179999999999999</v>
      </c>
      <c r="BH11" s="230">
        <v>1309800</v>
      </c>
      <c r="BI11" s="230">
        <v>1348500</v>
      </c>
      <c r="BJ11" s="230">
        <v>-38700</v>
      </c>
      <c r="BK11" s="229">
        <v>-2.87E-2</v>
      </c>
      <c r="BL11" s="230">
        <v>823700</v>
      </c>
      <c r="BM11" s="230">
        <v>701700</v>
      </c>
      <c r="BN11" s="230">
        <v>122000</v>
      </c>
      <c r="BO11" s="229">
        <v>0.1739</v>
      </c>
      <c r="BP11" s="230">
        <v>3194000</v>
      </c>
      <c r="BQ11" s="230">
        <v>2343800</v>
      </c>
      <c r="BR11" s="230">
        <v>850200</v>
      </c>
      <c r="BS11" s="229">
        <v>0.36270000000000002</v>
      </c>
      <c r="BT11" s="230">
        <v>171657</v>
      </c>
      <c r="BU11" s="230">
        <v>223557</v>
      </c>
      <c r="BV11" s="230">
        <v>-51900</v>
      </c>
      <c r="BW11" s="229">
        <v>-0.23219999999999999</v>
      </c>
      <c r="BX11" s="230">
        <v>1303700</v>
      </c>
      <c r="BY11" s="230">
        <v>1373400</v>
      </c>
      <c r="BZ11" s="230">
        <v>-69700</v>
      </c>
      <c r="CA11" s="229">
        <v>-5.0700000000000002E-2</v>
      </c>
      <c r="CB11" s="230">
        <v>849500</v>
      </c>
      <c r="CC11" s="230">
        <v>1153700</v>
      </c>
      <c r="CD11" s="230">
        <v>-304200</v>
      </c>
      <c r="CE11" s="229">
        <v>-0.26369999999999999</v>
      </c>
      <c r="CF11" s="230">
        <v>442600</v>
      </c>
      <c r="CG11" s="230">
        <v>208300</v>
      </c>
      <c r="CH11" s="230">
        <v>234300</v>
      </c>
      <c r="CI11" s="229">
        <v>1.1248</v>
      </c>
      <c r="CJ11" s="230">
        <v>11600</v>
      </c>
      <c r="CK11" s="230">
        <v>11400</v>
      </c>
      <c r="CL11" s="228">
        <v>200</v>
      </c>
      <c r="CM11" s="229">
        <v>1.7500000000000002E-2</v>
      </c>
      <c r="CN11" s="230">
        <v>883400</v>
      </c>
      <c r="CO11" s="230">
        <v>913100</v>
      </c>
      <c r="CP11" s="230">
        <v>-29700</v>
      </c>
      <c r="CQ11" s="229">
        <v>-3.2500000000000001E-2</v>
      </c>
      <c r="CR11" s="230">
        <v>686700</v>
      </c>
      <c r="CS11" s="230">
        <v>679800</v>
      </c>
      <c r="CT11" s="230">
        <v>6900</v>
      </c>
      <c r="CU11" s="229">
        <v>1.0200000000000001E-2</v>
      </c>
      <c r="CV11" s="230">
        <v>2873800</v>
      </c>
      <c r="CW11" s="230">
        <v>2966300</v>
      </c>
      <c r="CX11" s="230">
        <v>-92500</v>
      </c>
      <c r="CY11" s="229">
        <v>-3.1199999999999999E-2</v>
      </c>
      <c r="CZ11" s="228">
        <v>48.01</v>
      </c>
      <c r="DA11" s="228">
        <v>38.57</v>
      </c>
      <c r="DB11" s="228">
        <v>9.44</v>
      </c>
      <c r="DC11" s="228">
        <v>9.44</v>
      </c>
      <c r="DD11" s="228">
        <v>53.83</v>
      </c>
      <c r="DE11" s="228">
        <v>53.96</v>
      </c>
      <c r="DF11" s="228">
        <v>-5.82</v>
      </c>
      <c r="DG11" s="228">
        <v>-0.13</v>
      </c>
      <c r="DH11" s="228">
        <v>48.29</v>
      </c>
      <c r="DI11" s="228">
        <v>38.22</v>
      </c>
      <c r="DJ11" s="228">
        <v>10.07</v>
      </c>
      <c r="DK11" s="228">
        <v>10.07</v>
      </c>
      <c r="DL11" s="228">
        <v>47.65</v>
      </c>
      <c r="DM11" s="228">
        <v>39.25</v>
      </c>
      <c r="DN11" s="228">
        <v>8.4</v>
      </c>
      <c r="DO11" s="228">
        <v>8.4</v>
      </c>
      <c r="DP11" s="228">
        <v>0.78</v>
      </c>
      <c r="DQ11" s="228">
        <v>0.74</v>
      </c>
      <c r="DR11" s="228">
        <v>0.04</v>
      </c>
      <c r="DS11" s="229">
        <v>5.4100000000000002E-2</v>
      </c>
      <c r="DT11" s="231">
        <v>8000</v>
      </c>
      <c r="DU11" s="231">
        <v>7000</v>
      </c>
      <c r="DV11" s="228">
        <v>0.63</v>
      </c>
      <c r="DW11" s="228">
        <v>0.52</v>
      </c>
      <c r="DX11" s="228">
        <v>0.11</v>
      </c>
      <c r="DY11" s="229">
        <v>0.21149999999999999</v>
      </c>
      <c r="DZ11" s="229">
        <v>0.34839999999999999</v>
      </c>
      <c r="EA11" s="230">
        <v>219700</v>
      </c>
      <c r="EB11" s="229">
        <v>-1.29E-2</v>
      </c>
      <c r="EC11" s="229">
        <v>0.34839999999999999</v>
      </c>
      <c r="ED11" s="228">
        <v>-91.44</v>
      </c>
      <c r="EE11" s="229">
        <v>-1.17E-2</v>
      </c>
      <c r="EF11" s="230">
        <v>31331</v>
      </c>
      <c r="EG11" s="230">
        <v>74448</v>
      </c>
      <c r="EH11" s="229">
        <v>-0.57920000000000005</v>
      </c>
      <c r="EI11" s="229">
        <v>0.1825</v>
      </c>
      <c r="EJ11" s="231">
        <v>106255.59</v>
      </c>
      <c r="EK11" s="231">
        <v>62018.87</v>
      </c>
      <c r="EL11" s="231">
        <v>82256.539999999994</v>
      </c>
      <c r="EM11" s="231">
        <v>4375</v>
      </c>
      <c r="EN11" s="231">
        <v>250531</v>
      </c>
      <c r="EO11" s="231">
        <v>186275.91</v>
      </c>
      <c r="EP11" s="231">
        <v>64255.09</v>
      </c>
      <c r="EQ11" s="229">
        <v>0.34489999999999998</v>
      </c>
      <c r="ER11" s="231">
        <v>69017</v>
      </c>
      <c r="ES11" s="231">
        <v>48665</v>
      </c>
      <c r="ET11" s="231">
        <v>101447</v>
      </c>
      <c r="EU11" s="231">
        <v>3260820</v>
      </c>
      <c r="EV11" s="231">
        <v>219129</v>
      </c>
      <c r="EW11" s="231">
        <v>226560</v>
      </c>
      <c r="EX11" s="231">
        <v>-7431</v>
      </c>
      <c r="EY11" s="229">
        <v>-3.2800000000000003E-2</v>
      </c>
      <c r="EZ11" s="229">
        <v>0.88129999999999997</v>
      </c>
      <c r="FA11" s="227" t="s">
        <v>693</v>
      </c>
      <c r="FB11" s="161">
        <f t="shared" si="0"/>
        <v>454200</v>
      </c>
    </row>
    <row r="12" spans="1:158" ht="17.25" thickBot="1" x14ac:dyDescent="0.3">
      <c r="A12" s="226">
        <v>46135</v>
      </c>
      <c r="B12" s="227" t="s">
        <v>157</v>
      </c>
      <c r="C12" s="227" t="s">
        <v>164</v>
      </c>
      <c r="D12" s="228">
        <v>1050</v>
      </c>
      <c r="E12" s="228">
        <v>449.75</v>
      </c>
      <c r="F12" s="228">
        <v>461.45</v>
      </c>
      <c r="G12" s="228">
        <v>-11.7</v>
      </c>
      <c r="H12" s="229">
        <v>-2.5399999999999999E-2</v>
      </c>
      <c r="I12" s="228">
        <v>450.4</v>
      </c>
      <c r="J12" s="228">
        <v>460.9</v>
      </c>
      <c r="K12" s="228">
        <v>-10.5</v>
      </c>
      <c r="L12" s="229">
        <v>-2.2800000000000001E-2</v>
      </c>
      <c r="M12" s="228">
        <v>449.75</v>
      </c>
      <c r="N12" s="228">
        <v>461.45</v>
      </c>
      <c r="O12" s="228">
        <v>-11.7</v>
      </c>
      <c r="P12" s="229">
        <v>-2.5399999999999999E-2</v>
      </c>
      <c r="Q12" s="228">
        <v>452.2</v>
      </c>
      <c r="R12" s="228">
        <v>463.9</v>
      </c>
      <c r="S12" s="228">
        <v>-11.7</v>
      </c>
      <c r="T12" s="229">
        <v>-2.52E-2</v>
      </c>
      <c r="U12" s="228">
        <v>453.75</v>
      </c>
      <c r="V12" s="228">
        <v>465.75</v>
      </c>
      <c r="W12" s="228">
        <v>-12</v>
      </c>
      <c r="X12" s="229">
        <v>-2.58E-2</v>
      </c>
      <c r="Y12" s="228">
        <v>-0.65</v>
      </c>
      <c r="Z12" s="228">
        <v>0.55000000000000004</v>
      </c>
      <c r="AA12" s="228">
        <v>-1.2</v>
      </c>
      <c r="AB12" s="229">
        <v>-1.4E-3</v>
      </c>
      <c r="AC12" s="228">
        <v>-0.65</v>
      </c>
      <c r="AD12" s="228">
        <v>0.55000000000000004</v>
      </c>
      <c r="AE12" s="228">
        <v>-1.2</v>
      </c>
      <c r="AF12" s="229">
        <v>-1.4E-3</v>
      </c>
      <c r="AG12" s="228">
        <v>1.8</v>
      </c>
      <c r="AH12" s="228">
        <v>3</v>
      </c>
      <c r="AI12" s="228">
        <v>-1.2</v>
      </c>
      <c r="AJ12" s="229">
        <v>4.0000000000000001E-3</v>
      </c>
      <c r="AK12" s="228">
        <v>3.35</v>
      </c>
      <c r="AL12" s="228">
        <v>4.8499999999999996</v>
      </c>
      <c r="AM12" s="228">
        <v>-1.5</v>
      </c>
      <c r="AN12" s="229">
        <v>7.4000000000000003E-3</v>
      </c>
      <c r="AO12" s="228">
        <v>451.53</v>
      </c>
      <c r="AP12" s="228">
        <v>454.01</v>
      </c>
      <c r="AQ12" s="228">
        <v>0</v>
      </c>
      <c r="AR12" s="230">
        <v>26775000</v>
      </c>
      <c r="AS12" s="230">
        <v>23483250</v>
      </c>
      <c r="AT12" s="230">
        <v>3291750</v>
      </c>
      <c r="AU12" s="229">
        <v>0.14019999999999999</v>
      </c>
      <c r="AV12" s="230">
        <v>13867350</v>
      </c>
      <c r="AW12" s="230">
        <v>12729150</v>
      </c>
      <c r="AX12" s="230">
        <v>1138200</v>
      </c>
      <c r="AY12" s="229">
        <v>8.9399999999999993E-2</v>
      </c>
      <c r="AZ12" s="230">
        <v>12765900</v>
      </c>
      <c r="BA12" s="230">
        <v>10694250</v>
      </c>
      <c r="BB12" s="230">
        <v>2071650</v>
      </c>
      <c r="BC12" s="229">
        <v>0.19370000000000001</v>
      </c>
      <c r="BD12" s="230">
        <v>141750</v>
      </c>
      <c r="BE12" s="230">
        <v>59850</v>
      </c>
      <c r="BF12" s="230">
        <v>81900</v>
      </c>
      <c r="BG12" s="229">
        <v>1.3684000000000001</v>
      </c>
      <c r="BH12" s="230">
        <v>9801750</v>
      </c>
      <c r="BI12" s="230">
        <v>12056100</v>
      </c>
      <c r="BJ12" s="230">
        <v>-2254350</v>
      </c>
      <c r="BK12" s="229">
        <v>-0.187</v>
      </c>
      <c r="BL12" s="230">
        <v>3534300</v>
      </c>
      <c r="BM12" s="230">
        <v>5812800</v>
      </c>
      <c r="BN12" s="230">
        <v>-2278500</v>
      </c>
      <c r="BO12" s="229">
        <v>-0.39200000000000002</v>
      </c>
      <c r="BP12" s="230">
        <v>40111050</v>
      </c>
      <c r="BQ12" s="230">
        <v>41352150</v>
      </c>
      <c r="BR12" s="230">
        <v>-1241100</v>
      </c>
      <c r="BS12" s="229">
        <v>-0.03</v>
      </c>
      <c r="BT12" s="230">
        <v>2513457</v>
      </c>
      <c r="BU12" s="230">
        <v>1567881</v>
      </c>
      <c r="BV12" s="230">
        <v>945576</v>
      </c>
      <c r="BW12" s="229">
        <v>0.60309999999999997</v>
      </c>
      <c r="BX12" s="230">
        <v>60545100</v>
      </c>
      <c r="BY12" s="230">
        <v>60331950</v>
      </c>
      <c r="BZ12" s="230">
        <v>213150</v>
      </c>
      <c r="CA12" s="229">
        <v>3.5000000000000001E-3</v>
      </c>
      <c r="CB12" s="230">
        <v>28930650</v>
      </c>
      <c r="CC12" s="230">
        <v>39373950</v>
      </c>
      <c r="CD12" s="230">
        <v>-10443300</v>
      </c>
      <c r="CE12" s="229">
        <v>-0.26519999999999999</v>
      </c>
      <c r="CF12" s="230">
        <v>31323600</v>
      </c>
      <c r="CG12" s="230">
        <v>20746950</v>
      </c>
      <c r="CH12" s="230">
        <v>10576650</v>
      </c>
      <c r="CI12" s="229">
        <v>0.50980000000000003</v>
      </c>
      <c r="CJ12" s="230">
        <v>290850</v>
      </c>
      <c r="CK12" s="230">
        <v>211050</v>
      </c>
      <c r="CL12" s="230">
        <v>79800</v>
      </c>
      <c r="CM12" s="229">
        <v>0.37809999999999999</v>
      </c>
      <c r="CN12" s="230">
        <v>10616550</v>
      </c>
      <c r="CO12" s="230">
        <v>9819600</v>
      </c>
      <c r="CP12" s="230">
        <v>796950</v>
      </c>
      <c r="CQ12" s="229">
        <v>8.1199999999999994E-2</v>
      </c>
      <c r="CR12" s="230">
        <v>8897700</v>
      </c>
      <c r="CS12" s="230">
        <v>9090900</v>
      </c>
      <c r="CT12" s="230">
        <v>-193200</v>
      </c>
      <c r="CU12" s="229">
        <v>-2.1299999999999999E-2</v>
      </c>
      <c r="CV12" s="230">
        <v>80059350</v>
      </c>
      <c r="CW12" s="230">
        <v>79242450</v>
      </c>
      <c r="CX12" s="230">
        <v>816900</v>
      </c>
      <c r="CY12" s="229">
        <v>1.03E-2</v>
      </c>
      <c r="CZ12" s="228">
        <v>34.74</v>
      </c>
      <c r="DA12" s="228">
        <v>34.83</v>
      </c>
      <c r="DB12" s="228">
        <v>-0.09</v>
      </c>
      <c r="DC12" s="228">
        <v>-0.09</v>
      </c>
      <c r="DD12" s="228">
        <v>36.630000000000003</v>
      </c>
      <c r="DE12" s="228">
        <v>36.56</v>
      </c>
      <c r="DF12" s="228">
        <v>-1.89</v>
      </c>
      <c r="DG12" s="228">
        <v>7.0000000000000007E-2</v>
      </c>
      <c r="DH12" s="228">
        <v>35.270000000000003</v>
      </c>
      <c r="DI12" s="228">
        <v>33.119999999999997</v>
      </c>
      <c r="DJ12" s="228">
        <v>2.15</v>
      </c>
      <c r="DK12" s="228">
        <v>2.15</v>
      </c>
      <c r="DL12" s="228">
        <v>33.340000000000003</v>
      </c>
      <c r="DM12" s="228">
        <v>38.380000000000003</v>
      </c>
      <c r="DN12" s="228">
        <v>-5.04</v>
      </c>
      <c r="DO12" s="228">
        <v>-5.04</v>
      </c>
      <c r="DP12" s="228">
        <v>0.84</v>
      </c>
      <c r="DQ12" s="228">
        <v>0.93</v>
      </c>
      <c r="DR12" s="228">
        <v>-0.09</v>
      </c>
      <c r="DS12" s="229">
        <v>-9.6799999999999997E-2</v>
      </c>
      <c r="DT12" s="228">
        <v>500</v>
      </c>
      <c r="DU12" s="228">
        <v>540</v>
      </c>
      <c r="DV12" s="228">
        <v>0.36</v>
      </c>
      <c r="DW12" s="228">
        <v>0.48</v>
      </c>
      <c r="DX12" s="228">
        <v>-0.12</v>
      </c>
      <c r="DY12" s="229">
        <v>-0.25</v>
      </c>
      <c r="DZ12" s="229">
        <v>0.5222</v>
      </c>
      <c r="EA12" s="230">
        <v>20958000</v>
      </c>
      <c r="EB12" s="229">
        <v>5.4000000000000003E-3</v>
      </c>
      <c r="EC12" s="229">
        <v>0.5222</v>
      </c>
      <c r="ED12" s="228">
        <v>2.48</v>
      </c>
      <c r="EE12" s="229">
        <v>5.4999999999999997E-3</v>
      </c>
      <c r="EF12" s="230">
        <v>1095535</v>
      </c>
      <c r="EG12" s="230">
        <v>567306</v>
      </c>
      <c r="EH12" s="229">
        <v>0.93110000000000004</v>
      </c>
      <c r="EI12" s="229">
        <v>0.43590000000000001</v>
      </c>
      <c r="EJ12" s="231">
        <v>46454.75</v>
      </c>
      <c r="EK12" s="231">
        <v>16361.48</v>
      </c>
      <c r="EL12" s="231">
        <v>121220.14</v>
      </c>
      <c r="EM12" s="231">
        <v>8362</v>
      </c>
      <c r="EN12" s="231">
        <v>184036.37</v>
      </c>
      <c r="EO12" s="231">
        <v>192873.17</v>
      </c>
      <c r="EP12" s="231">
        <v>-8836.7999999999993</v>
      </c>
      <c r="EQ12" s="229">
        <v>-4.58E-2</v>
      </c>
      <c r="ER12" s="231">
        <v>49005</v>
      </c>
      <c r="ES12" s="231">
        <v>41127</v>
      </c>
      <c r="ET12" s="231">
        <v>273081</v>
      </c>
      <c r="EU12" s="231">
        <v>97233107</v>
      </c>
      <c r="EV12" s="231">
        <v>363213</v>
      </c>
      <c r="EW12" s="231">
        <v>366151</v>
      </c>
      <c r="EX12" s="231">
        <v>-2938</v>
      </c>
      <c r="EY12" s="229">
        <v>-8.0000000000000002E-3</v>
      </c>
      <c r="EZ12" s="229">
        <v>0.82340000000000002</v>
      </c>
      <c r="FA12" s="227" t="s">
        <v>566</v>
      </c>
      <c r="FB12" s="161">
        <f t="shared" si="0"/>
        <v>31614450</v>
      </c>
    </row>
    <row r="13" spans="1:158" ht="17.25" thickBot="1" x14ac:dyDescent="0.3">
      <c r="A13" s="226">
        <v>46135</v>
      </c>
      <c r="B13" s="227" t="s">
        <v>175</v>
      </c>
      <c r="C13" s="227" t="s">
        <v>608</v>
      </c>
      <c r="D13" s="228">
        <v>2500</v>
      </c>
      <c r="E13" s="228">
        <v>321.87</v>
      </c>
      <c r="F13" s="228">
        <v>329.19</v>
      </c>
      <c r="G13" s="228">
        <v>-7.32</v>
      </c>
      <c r="H13" s="229">
        <v>-2.2200000000000001E-2</v>
      </c>
      <c r="I13" s="228">
        <v>321.20999999999998</v>
      </c>
      <c r="J13" s="228">
        <v>328.59</v>
      </c>
      <c r="K13" s="228">
        <v>-7.38</v>
      </c>
      <c r="L13" s="229">
        <v>-2.2499999999999999E-2</v>
      </c>
      <c r="M13" s="228">
        <v>321.87</v>
      </c>
      <c r="N13" s="228">
        <v>329.19</v>
      </c>
      <c r="O13" s="228">
        <v>-7.32</v>
      </c>
      <c r="P13" s="229">
        <v>-2.2200000000000001E-2</v>
      </c>
      <c r="Q13" s="228">
        <v>320.83</v>
      </c>
      <c r="R13" s="228">
        <v>324.58</v>
      </c>
      <c r="S13" s="228">
        <v>-3.75</v>
      </c>
      <c r="T13" s="229">
        <v>-1.1599999999999999E-2</v>
      </c>
      <c r="U13" s="228">
        <v>319.32</v>
      </c>
      <c r="V13" s="228">
        <v>322.08999999999997</v>
      </c>
      <c r="W13" s="228">
        <v>-2.77</v>
      </c>
      <c r="X13" s="229">
        <v>-8.6E-3</v>
      </c>
      <c r="Y13" s="228">
        <v>0.66</v>
      </c>
      <c r="Z13" s="228">
        <v>0.6</v>
      </c>
      <c r="AA13" s="228">
        <v>0.06</v>
      </c>
      <c r="AB13" s="229">
        <v>2.0999999999999999E-3</v>
      </c>
      <c r="AC13" s="228">
        <v>0.66</v>
      </c>
      <c r="AD13" s="228">
        <v>0.6</v>
      </c>
      <c r="AE13" s="228">
        <v>0.06</v>
      </c>
      <c r="AF13" s="229">
        <v>2.0999999999999999E-3</v>
      </c>
      <c r="AG13" s="228">
        <v>-0.38</v>
      </c>
      <c r="AH13" s="228">
        <v>-4.01</v>
      </c>
      <c r="AI13" s="228">
        <v>3.63</v>
      </c>
      <c r="AJ13" s="229">
        <v>-1.1999999999999999E-3</v>
      </c>
      <c r="AK13" s="228">
        <v>-1.89</v>
      </c>
      <c r="AL13" s="228">
        <v>-6.5</v>
      </c>
      <c r="AM13" s="228">
        <v>4.6100000000000003</v>
      </c>
      <c r="AN13" s="229">
        <v>-5.8999999999999999E-3</v>
      </c>
      <c r="AO13" s="228">
        <v>324.55</v>
      </c>
      <c r="AP13" s="228">
        <v>322.61</v>
      </c>
      <c r="AQ13" s="228">
        <v>0</v>
      </c>
      <c r="AR13" s="230">
        <v>25817500</v>
      </c>
      <c r="AS13" s="230">
        <v>9455000</v>
      </c>
      <c r="AT13" s="230">
        <v>16362500</v>
      </c>
      <c r="AU13" s="229">
        <v>1.7305999999999999</v>
      </c>
      <c r="AV13" s="230">
        <v>14427500</v>
      </c>
      <c r="AW13" s="230">
        <v>6667500</v>
      </c>
      <c r="AX13" s="230">
        <v>7760000</v>
      </c>
      <c r="AY13" s="229">
        <v>1.1638999999999999</v>
      </c>
      <c r="AZ13" s="230">
        <v>11212500</v>
      </c>
      <c r="BA13" s="230">
        <v>2535000</v>
      </c>
      <c r="BB13" s="230">
        <v>8677500</v>
      </c>
      <c r="BC13" s="229">
        <v>3.4230999999999998</v>
      </c>
      <c r="BD13" s="230">
        <v>177500</v>
      </c>
      <c r="BE13" s="230">
        <v>252500</v>
      </c>
      <c r="BF13" s="230">
        <v>-75000</v>
      </c>
      <c r="BG13" s="229">
        <v>-0.29699999999999999</v>
      </c>
      <c r="BH13" s="230">
        <v>34567500</v>
      </c>
      <c r="BI13" s="230">
        <v>52762500</v>
      </c>
      <c r="BJ13" s="230">
        <v>-18195000</v>
      </c>
      <c r="BK13" s="229">
        <v>-0.3448</v>
      </c>
      <c r="BL13" s="230">
        <v>33490000</v>
      </c>
      <c r="BM13" s="230">
        <v>36142500</v>
      </c>
      <c r="BN13" s="230">
        <v>-2652500</v>
      </c>
      <c r="BO13" s="229">
        <v>-7.3400000000000007E-2</v>
      </c>
      <c r="BP13" s="230">
        <v>93875000</v>
      </c>
      <c r="BQ13" s="230">
        <v>98360000</v>
      </c>
      <c r="BR13" s="230">
        <v>-4485000</v>
      </c>
      <c r="BS13" s="229">
        <v>-4.5600000000000002E-2</v>
      </c>
      <c r="BT13" s="230">
        <v>6840920</v>
      </c>
      <c r="BU13" s="230">
        <v>11882954</v>
      </c>
      <c r="BV13" s="230">
        <v>-5042034</v>
      </c>
      <c r="BW13" s="229">
        <v>-0.42430000000000001</v>
      </c>
      <c r="BX13" s="230">
        <v>27345000</v>
      </c>
      <c r="BY13" s="230">
        <v>28852500</v>
      </c>
      <c r="BZ13" s="230">
        <v>-1507500</v>
      </c>
      <c r="CA13" s="229">
        <v>-5.2200000000000003E-2</v>
      </c>
      <c r="CB13" s="230">
        <v>16175000</v>
      </c>
      <c r="CC13" s="230">
        <v>22745000</v>
      </c>
      <c r="CD13" s="230">
        <v>-6570000</v>
      </c>
      <c r="CE13" s="229">
        <v>-0.28889999999999999</v>
      </c>
      <c r="CF13" s="230">
        <v>10725000</v>
      </c>
      <c r="CG13" s="230">
        <v>5637500</v>
      </c>
      <c r="CH13" s="230">
        <v>5087500</v>
      </c>
      <c r="CI13" s="229">
        <v>0.90239999999999998</v>
      </c>
      <c r="CJ13" s="230">
        <v>445000</v>
      </c>
      <c r="CK13" s="230">
        <v>470000</v>
      </c>
      <c r="CL13" s="230">
        <v>-25000</v>
      </c>
      <c r="CM13" s="229">
        <v>-5.3199999999999997E-2</v>
      </c>
      <c r="CN13" s="230">
        <v>29945000</v>
      </c>
      <c r="CO13" s="230">
        <v>30957500</v>
      </c>
      <c r="CP13" s="230">
        <v>-1012500</v>
      </c>
      <c r="CQ13" s="229">
        <v>-3.27E-2</v>
      </c>
      <c r="CR13" s="230">
        <v>30617500</v>
      </c>
      <c r="CS13" s="230">
        <v>34920000</v>
      </c>
      <c r="CT13" s="230">
        <v>-4302500</v>
      </c>
      <c r="CU13" s="229">
        <v>-0.1232</v>
      </c>
      <c r="CV13" s="230">
        <v>87907500</v>
      </c>
      <c r="CW13" s="230">
        <v>94730000</v>
      </c>
      <c r="CX13" s="230">
        <v>-6822500</v>
      </c>
      <c r="CY13" s="229">
        <v>-7.1999999999999995E-2</v>
      </c>
      <c r="CZ13" s="228">
        <v>43.9</v>
      </c>
      <c r="DA13" s="228">
        <v>39.92</v>
      </c>
      <c r="DB13" s="228">
        <v>3.98</v>
      </c>
      <c r="DC13" s="228">
        <v>3.98</v>
      </c>
      <c r="DD13" s="228">
        <v>57.09</v>
      </c>
      <c r="DE13" s="228">
        <v>57.16</v>
      </c>
      <c r="DF13" s="228">
        <v>-13.19</v>
      </c>
      <c r="DG13" s="228">
        <v>-7.0000000000000007E-2</v>
      </c>
      <c r="DH13" s="228">
        <v>43.44</v>
      </c>
      <c r="DI13" s="228">
        <v>37</v>
      </c>
      <c r="DJ13" s="228">
        <v>6.44</v>
      </c>
      <c r="DK13" s="228">
        <v>6.44</v>
      </c>
      <c r="DL13" s="228">
        <v>44.82</v>
      </c>
      <c r="DM13" s="228">
        <v>44.18</v>
      </c>
      <c r="DN13" s="228">
        <v>0.64</v>
      </c>
      <c r="DO13" s="228">
        <v>0.64</v>
      </c>
      <c r="DP13" s="228">
        <v>1.02</v>
      </c>
      <c r="DQ13" s="228">
        <v>1.1299999999999999</v>
      </c>
      <c r="DR13" s="228">
        <v>-0.11</v>
      </c>
      <c r="DS13" s="229">
        <v>-9.7299999999999998E-2</v>
      </c>
      <c r="DT13" s="228">
        <v>320</v>
      </c>
      <c r="DU13" s="228">
        <v>300</v>
      </c>
      <c r="DV13" s="228">
        <v>0.97</v>
      </c>
      <c r="DW13" s="228">
        <v>0.69</v>
      </c>
      <c r="DX13" s="228">
        <v>0.28000000000000003</v>
      </c>
      <c r="DY13" s="229">
        <v>0.40579999999999999</v>
      </c>
      <c r="DZ13" s="229">
        <v>0.40849999999999997</v>
      </c>
      <c r="EA13" s="230">
        <v>6107500</v>
      </c>
      <c r="EB13" s="229">
        <v>-3.2000000000000002E-3</v>
      </c>
      <c r="EC13" s="229">
        <v>0.40849999999999997</v>
      </c>
      <c r="ED13" s="228">
        <v>-1.94</v>
      </c>
      <c r="EE13" s="229">
        <v>-6.0000000000000001E-3</v>
      </c>
      <c r="EF13" s="230">
        <v>2201229</v>
      </c>
      <c r="EG13" s="230">
        <v>3965164</v>
      </c>
      <c r="EH13" s="229">
        <v>-0.44490000000000002</v>
      </c>
      <c r="EI13" s="229">
        <v>0.32179999999999997</v>
      </c>
      <c r="EJ13" s="231">
        <v>116311.89</v>
      </c>
      <c r="EK13" s="231">
        <v>105110.3</v>
      </c>
      <c r="EL13" s="231">
        <v>83564.91</v>
      </c>
      <c r="EM13" s="231">
        <v>10030</v>
      </c>
      <c r="EN13" s="231">
        <v>304987.09999999998</v>
      </c>
      <c r="EO13" s="231">
        <v>322151</v>
      </c>
      <c r="EP13" s="231">
        <v>-17163.900000000001</v>
      </c>
      <c r="EQ13" s="229">
        <v>-5.33E-2</v>
      </c>
      <c r="ER13" s="231">
        <v>93646</v>
      </c>
      <c r="ES13" s="231">
        <v>88234</v>
      </c>
      <c r="ET13" s="231">
        <v>87892</v>
      </c>
      <c r="EU13" s="231">
        <v>96940911</v>
      </c>
      <c r="EV13" s="231">
        <v>269773</v>
      </c>
      <c r="EW13" s="231">
        <v>292735</v>
      </c>
      <c r="EX13" s="231">
        <v>-22962</v>
      </c>
      <c r="EY13" s="229">
        <v>-7.8399999999999997E-2</v>
      </c>
      <c r="EZ13" s="229">
        <v>0.90680000000000005</v>
      </c>
      <c r="FA13" s="227" t="s">
        <v>567</v>
      </c>
      <c r="FB13" s="161">
        <f t="shared" si="0"/>
        <v>11170000</v>
      </c>
    </row>
    <row r="14" spans="1:158" ht="17.25" thickBot="1" x14ac:dyDescent="0.3">
      <c r="A14" s="226">
        <v>46135</v>
      </c>
      <c r="B14" s="227" t="s">
        <v>227</v>
      </c>
      <c r="C14" s="227" t="s">
        <v>597</v>
      </c>
      <c r="D14" s="228">
        <v>350</v>
      </c>
      <c r="E14" s="231">
        <v>2025.7</v>
      </c>
      <c r="F14" s="231">
        <v>2118.4</v>
      </c>
      <c r="G14" s="228">
        <v>-92.7</v>
      </c>
      <c r="H14" s="229">
        <v>-4.3799999999999999E-2</v>
      </c>
      <c r="I14" s="231">
        <v>2022.9</v>
      </c>
      <c r="J14" s="231">
        <v>2121.9</v>
      </c>
      <c r="K14" s="228">
        <v>-99</v>
      </c>
      <c r="L14" s="229">
        <v>-4.6699999999999998E-2</v>
      </c>
      <c r="M14" s="231">
        <v>2025.7</v>
      </c>
      <c r="N14" s="231">
        <v>2118.4</v>
      </c>
      <c r="O14" s="228">
        <v>-92.7</v>
      </c>
      <c r="P14" s="229">
        <v>-4.3799999999999999E-2</v>
      </c>
      <c r="Q14" s="231">
        <v>2036.8</v>
      </c>
      <c r="R14" s="231">
        <v>2130.1999999999998</v>
      </c>
      <c r="S14" s="228">
        <v>-93.4</v>
      </c>
      <c r="T14" s="229">
        <v>-4.3799999999999999E-2</v>
      </c>
      <c r="U14" s="231">
        <v>2046.9</v>
      </c>
      <c r="V14" s="231">
        <v>2129.4</v>
      </c>
      <c r="W14" s="228">
        <v>-82.5</v>
      </c>
      <c r="X14" s="229">
        <v>-3.8699999999999998E-2</v>
      </c>
      <c r="Y14" s="228">
        <v>2.8</v>
      </c>
      <c r="Z14" s="228">
        <v>-3.5</v>
      </c>
      <c r="AA14" s="228">
        <v>6.3</v>
      </c>
      <c r="AB14" s="229">
        <v>1.4E-3</v>
      </c>
      <c r="AC14" s="228">
        <v>2.8</v>
      </c>
      <c r="AD14" s="228">
        <v>-3.5</v>
      </c>
      <c r="AE14" s="228">
        <v>6.3</v>
      </c>
      <c r="AF14" s="229">
        <v>1.4E-3</v>
      </c>
      <c r="AG14" s="228">
        <v>13.9</v>
      </c>
      <c r="AH14" s="228">
        <v>8.3000000000000007</v>
      </c>
      <c r="AI14" s="228">
        <v>5.6</v>
      </c>
      <c r="AJ14" s="229">
        <v>6.8999999999999999E-3</v>
      </c>
      <c r="AK14" s="228">
        <v>24</v>
      </c>
      <c r="AL14" s="228">
        <v>7.5</v>
      </c>
      <c r="AM14" s="228">
        <v>16.5</v>
      </c>
      <c r="AN14" s="229">
        <v>1.1900000000000001E-2</v>
      </c>
      <c r="AO14" s="231">
        <v>2051.59</v>
      </c>
      <c r="AP14" s="231">
        <v>2061.81</v>
      </c>
      <c r="AQ14" s="228">
        <v>0</v>
      </c>
      <c r="AR14" s="230">
        <v>3888500</v>
      </c>
      <c r="AS14" s="230">
        <v>528150</v>
      </c>
      <c r="AT14" s="230">
        <v>3360350</v>
      </c>
      <c r="AU14" s="229">
        <v>6.3624999999999998</v>
      </c>
      <c r="AV14" s="230">
        <v>1984850</v>
      </c>
      <c r="AW14" s="230">
        <v>355950</v>
      </c>
      <c r="AX14" s="230">
        <v>1628900</v>
      </c>
      <c r="AY14" s="229">
        <v>4.5762</v>
      </c>
      <c r="AZ14" s="230">
        <v>1893150</v>
      </c>
      <c r="BA14" s="230">
        <v>172200</v>
      </c>
      <c r="BB14" s="230">
        <v>1720950</v>
      </c>
      <c r="BC14" s="229">
        <v>9.9939</v>
      </c>
      <c r="BD14" s="230">
        <v>10500</v>
      </c>
      <c r="BE14" s="228">
        <v>0</v>
      </c>
      <c r="BF14" s="230">
        <v>10500</v>
      </c>
      <c r="BG14" s="229">
        <v>0</v>
      </c>
      <c r="BH14" s="230">
        <v>2588600</v>
      </c>
      <c r="BI14" s="230">
        <v>1094450</v>
      </c>
      <c r="BJ14" s="230">
        <v>1494150</v>
      </c>
      <c r="BK14" s="229">
        <v>1.3652</v>
      </c>
      <c r="BL14" s="230">
        <v>3147900</v>
      </c>
      <c r="BM14" s="230">
        <v>322700</v>
      </c>
      <c r="BN14" s="230">
        <v>2825200</v>
      </c>
      <c r="BO14" s="229">
        <v>8.7548999999999992</v>
      </c>
      <c r="BP14" s="230">
        <v>9625000</v>
      </c>
      <c r="BQ14" s="230">
        <v>1945300</v>
      </c>
      <c r="BR14" s="230">
        <v>7679700</v>
      </c>
      <c r="BS14" s="229">
        <v>3.9478</v>
      </c>
      <c r="BT14" s="230">
        <v>586783</v>
      </c>
      <c r="BU14" s="230">
        <v>275061</v>
      </c>
      <c r="BV14" s="230">
        <v>311722</v>
      </c>
      <c r="BW14" s="229">
        <v>1.1333</v>
      </c>
      <c r="BX14" s="230">
        <v>4814250</v>
      </c>
      <c r="BY14" s="230">
        <v>4788700</v>
      </c>
      <c r="BZ14" s="230">
        <v>25550</v>
      </c>
      <c r="CA14" s="229">
        <v>5.3E-3</v>
      </c>
      <c r="CB14" s="230">
        <v>2315950</v>
      </c>
      <c r="CC14" s="230">
        <v>4007150</v>
      </c>
      <c r="CD14" s="230">
        <v>-1691200</v>
      </c>
      <c r="CE14" s="229">
        <v>-0.42199999999999999</v>
      </c>
      <c r="CF14" s="230">
        <v>2000950</v>
      </c>
      <c r="CG14" s="230">
        <v>290850</v>
      </c>
      <c r="CH14" s="230">
        <v>1710100</v>
      </c>
      <c r="CI14" s="229">
        <v>5.8796999999999997</v>
      </c>
      <c r="CJ14" s="230">
        <v>497350</v>
      </c>
      <c r="CK14" s="230">
        <v>490700</v>
      </c>
      <c r="CL14" s="230">
        <v>6650</v>
      </c>
      <c r="CM14" s="229">
        <v>1.3599999999999999E-2</v>
      </c>
      <c r="CN14" s="230">
        <v>1395100</v>
      </c>
      <c r="CO14" s="230">
        <v>1292900</v>
      </c>
      <c r="CP14" s="230">
        <v>102200</v>
      </c>
      <c r="CQ14" s="229">
        <v>7.9000000000000001E-2</v>
      </c>
      <c r="CR14" s="230">
        <v>1051750</v>
      </c>
      <c r="CS14" s="230">
        <v>864500</v>
      </c>
      <c r="CT14" s="230">
        <v>187250</v>
      </c>
      <c r="CU14" s="229">
        <v>0.21659999999999999</v>
      </c>
      <c r="CV14" s="230">
        <v>7261100</v>
      </c>
      <c r="CW14" s="230">
        <v>6946100</v>
      </c>
      <c r="CX14" s="230">
        <v>315000</v>
      </c>
      <c r="CY14" s="229">
        <v>4.53E-2</v>
      </c>
      <c r="CZ14" s="228">
        <v>32.159999999999997</v>
      </c>
      <c r="DA14" s="228">
        <v>27.94</v>
      </c>
      <c r="DB14" s="228">
        <v>4.22</v>
      </c>
      <c r="DC14" s="228">
        <v>4.22</v>
      </c>
      <c r="DD14" s="228">
        <v>36.44</v>
      </c>
      <c r="DE14" s="228">
        <v>35.950000000000003</v>
      </c>
      <c r="DF14" s="228">
        <v>-4.28</v>
      </c>
      <c r="DG14" s="228">
        <v>0.49</v>
      </c>
      <c r="DH14" s="228">
        <v>33.06</v>
      </c>
      <c r="DI14" s="228">
        <v>27.13</v>
      </c>
      <c r="DJ14" s="228">
        <v>5.93</v>
      </c>
      <c r="DK14" s="228">
        <v>5.93</v>
      </c>
      <c r="DL14" s="228">
        <v>30.8</v>
      </c>
      <c r="DM14" s="228">
        <v>30.68</v>
      </c>
      <c r="DN14" s="228">
        <v>0.12</v>
      </c>
      <c r="DO14" s="228">
        <v>0.12</v>
      </c>
      <c r="DP14" s="228">
        <v>0.75</v>
      </c>
      <c r="DQ14" s="228">
        <v>0.67</v>
      </c>
      <c r="DR14" s="228">
        <v>0.08</v>
      </c>
      <c r="DS14" s="229">
        <v>0.11940000000000001</v>
      </c>
      <c r="DT14" s="231">
        <v>2100</v>
      </c>
      <c r="DU14" s="231">
        <v>1980</v>
      </c>
      <c r="DV14" s="228">
        <v>1.22</v>
      </c>
      <c r="DW14" s="228">
        <v>0.28999999999999998</v>
      </c>
      <c r="DX14" s="228">
        <v>0.93</v>
      </c>
      <c r="DY14" s="229">
        <v>3.2069000000000001</v>
      </c>
      <c r="DZ14" s="229">
        <v>0.51890000000000003</v>
      </c>
      <c r="EA14" s="230">
        <v>781550</v>
      </c>
      <c r="EB14" s="229">
        <v>5.4999999999999997E-3</v>
      </c>
      <c r="EC14" s="229">
        <v>0.51890000000000003</v>
      </c>
      <c r="ED14" s="228">
        <v>10.220000000000001</v>
      </c>
      <c r="EE14" s="229">
        <v>5.0000000000000001E-3</v>
      </c>
      <c r="EF14" s="230">
        <v>336179</v>
      </c>
      <c r="EG14" s="230">
        <v>131603</v>
      </c>
      <c r="EH14" s="229">
        <v>1.5545</v>
      </c>
      <c r="EI14" s="229">
        <v>0.57289999999999996</v>
      </c>
      <c r="EJ14" s="231">
        <v>55954.66</v>
      </c>
      <c r="EK14" s="231">
        <v>61533.440000000002</v>
      </c>
      <c r="EL14" s="231">
        <v>79971.58</v>
      </c>
      <c r="EM14" s="231">
        <v>2433</v>
      </c>
      <c r="EN14" s="231">
        <v>197459.68</v>
      </c>
      <c r="EO14" s="231">
        <v>41737.199999999997</v>
      </c>
      <c r="EP14" s="231">
        <v>155722.48000000001</v>
      </c>
      <c r="EQ14" s="229">
        <v>3.7309999999999999</v>
      </c>
      <c r="ER14" s="231">
        <v>29534</v>
      </c>
      <c r="ES14" s="231">
        <v>20568</v>
      </c>
      <c r="ET14" s="231">
        <v>97850</v>
      </c>
      <c r="EU14" s="231">
        <v>29871221</v>
      </c>
      <c r="EV14" s="231">
        <v>147952</v>
      </c>
      <c r="EW14" s="231">
        <v>146285</v>
      </c>
      <c r="EX14" s="231">
        <v>1667</v>
      </c>
      <c r="EY14" s="229">
        <v>1.14E-2</v>
      </c>
      <c r="EZ14" s="229">
        <v>0.24310000000000001</v>
      </c>
      <c r="FA14" s="227" t="s">
        <v>566</v>
      </c>
      <c r="FB14" s="161">
        <f t="shared" si="0"/>
        <v>2498300</v>
      </c>
    </row>
    <row r="15" spans="1:158" ht="17.25" thickBot="1" x14ac:dyDescent="0.3">
      <c r="A15" s="226">
        <v>46135</v>
      </c>
      <c r="B15" s="227" t="s">
        <v>170</v>
      </c>
      <c r="C15" s="227" t="s">
        <v>165</v>
      </c>
      <c r="D15" s="228">
        <v>125</v>
      </c>
      <c r="E15" s="231">
        <v>7766.5</v>
      </c>
      <c r="F15" s="231">
        <v>7646</v>
      </c>
      <c r="G15" s="228">
        <v>120.5</v>
      </c>
      <c r="H15" s="229">
        <v>1.5800000000000002E-2</v>
      </c>
      <c r="I15" s="231">
        <v>7781</v>
      </c>
      <c r="J15" s="231">
        <v>7662</v>
      </c>
      <c r="K15" s="228">
        <v>119</v>
      </c>
      <c r="L15" s="229">
        <v>1.55E-2</v>
      </c>
      <c r="M15" s="231">
        <v>7766.5</v>
      </c>
      <c r="N15" s="231">
        <v>7646</v>
      </c>
      <c r="O15" s="228">
        <v>120.5</v>
      </c>
      <c r="P15" s="229">
        <v>1.5800000000000002E-2</v>
      </c>
      <c r="Q15" s="231">
        <v>7810</v>
      </c>
      <c r="R15" s="231">
        <v>7694.5</v>
      </c>
      <c r="S15" s="228">
        <v>115.5</v>
      </c>
      <c r="T15" s="229">
        <v>1.4999999999999999E-2</v>
      </c>
      <c r="U15" s="231">
        <v>7864</v>
      </c>
      <c r="V15" s="231">
        <v>7744</v>
      </c>
      <c r="W15" s="228">
        <v>120</v>
      </c>
      <c r="X15" s="229">
        <v>1.55E-2</v>
      </c>
      <c r="Y15" s="228">
        <v>-14.5</v>
      </c>
      <c r="Z15" s="228">
        <v>-16</v>
      </c>
      <c r="AA15" s="228">
        <v>1.5</v>
      </c>
      <c r="AB15" s="229">
        <v>-1.9E-3</v>
      </c>
      <c r="AC15" s="228">
        <v>-14.5</v>
      </c>
      <c r="AD15" s="228">
        <v>-16</v>
      </c>
      <c r="AE15" s="228">
        <v>1.5</v>
      </c>
      <c r="AF15" s="229">
        <v>-1.9E-3</v>
      </c>
      <c r="AG15" s="228">
        <v>29</v>
      </c>
      <c r="AH15" s="228">
        <v>32.5</v>
      </c>
      <c r="AI15" s="228">
        <v>-3.5</v>
      </c>
      <c r="AJ15" s="229">
        <v>3.7000000000000002E-3</v>
      </c>
      <c r="AK15" s="228">
        <v>83</v>
      </c>
      <c r="AL15" s="228">
        <v>82</v>
      </c>
      <c r="AM15" s="228">
        <v>1</v>
      </c>
      <c r="AN15" s="229">
        <v>1.0699999999999999E-2</v>
      </c>
      <c r="AO15" s="231">
        <v>7717.12</v>
      </c>
      <c r="AP15" s="231">
        <v>7758.44</v>
      </c>
      <c r="AQ15" s="228">
        <v>0</v>
      </c>
      <c r="AR15" s="230">
        <v>1233250</v>
      </c>
      <c r="AS15" s="230">
        <v>950625</v>
      </c>
      <c r="AT15" s="230">
        <v>282625</v>
      </c>
      <c r="AU15" s="229">
        <v>0.29730000000000001</v>
      </c>
      <c r="AV15" s="230">
        <v>681500</v>
      </c>
      <c r="AW15" s="230">
        <v>739125</v>
      </c>
      <c r="AX15" s="230">
        <v>-57625</v>
      </c>
      <c r="AY15" s="229">
        <v>-7.8E-2</v>
      </c>
      <c r="AZ15" s="230">
        <v>538125</v>
      </c>
      <c r="BA15" s="230">
        <v>138750</v>
      </c>
      <c r="BB15" s="230">
        <v>399375</v>
      </c>
      <c r="BC15" s="229">
        <v>2.8784000000000001</v>
      </c>
      <c r="BD15" s="230">
        <v>13625</v>
      </c>
      <c r="BE15" s="230">
        <v>72750</v>
      </c>
      <c r="BF15" s="230">
        <v>-59125</v>
      </c>
      <c r="BG15" s="229">
        <v>-0.81269999999999998</v>
      </c>
      <c r="BH15" s="230">
        <v>3063375</v>
      </c>
      <c r="BI15" s="230">
        <v>3038125</v>
      </c>
      <c r="BJ15" s="230">
        <v>25250</v>
      </c>
      <c r="BK15" s="229">
        <v>8.3000000000000001E-3</v>
      </c>
      <c r="BL15" s="230">
        <v>1696500</v>
      </c>
      <c r="BM15" s="230">
        <v>3310500</v>
      </c>
      <c r="BN15" s="230">
        <v>-1614000</v>
      </c>
      <c r="BO15" s="229">
        <v>-0.48749999999999999</v>
      </c>
      <c r="BP15" s="230">
        <v>5993125</v>
      </c>
      <c r="BQ15" s="230">
        <v>7299250</v>
      </c>
      <c r="BR15" s="230">
        <v>-1306125</v>
      </c>
      <c r="BS15" s="229">
        <v>-0.1789</v>
      </c>
      <c r="BT15" s="230">
        <v>312242</v>
      </c>
      <c r="BU15" s="230">
        <v>619194</v>
      </c>
      <c r="BV15" s="230">
        <v>-306952</v>
      </c>
      <c r="BW15" s="229">
        <v>-0.49569999999999997</v>
      </c>
      <c r="BX15" s="230">
        <v>2116375</v>
      </c>
      <c r="BY15" s="230">
        <v>2153125</v>
      </c>
      <c r="BZ15" s="230">
        <v>-36750</v>
      </c>
      <c r="CA15" s="229">
        <v>-1.7100000000000001E-2</v>
      </c>
      <c r="CB15" s="230">
        <v>1355625</v>
      </c>
      <c r="CC15" s="230">
        <v>1818000</v>
      </c>
      <c r="CD15" s="230">
        <v>-462375</v>
      </c>
      <c r="CE15" s="229">
        <v>-0.25430000000000003</v>
      </c>
      <c r="CF15" s="230">
        <v>660750</v>
      </c>
      <c r="CG15" s="230">
        <v>238000</v>
      </c>
      <c r="CH15" s="230">
        <v>422750</v>
      </c>
      <c r="CI15" s="229">
        <v>1.7763</v>
      </c>
      <c r="CJ15" s="230">
        <v>100000</v>
      </c>
      <c r="CK15" s="230">
        <v>97125</v>
      </c>
      <c r="CL15" s="230">
        <v>2875</v>
      </c>
      <c r="CM15" s="229">
        <v>2.9600000000000001E-2</v>
      </c>
      <c r="CN15" s="230">
        <v>840000</v>
      </c>
      <c r="CO15" s="230">
        <v>920875</v>
      </c>
      <c r="CP15" s="230">
        <v>-80875</v>
      </c>
      <c r="CQ15" s="229">
        <v>-8.7800000000000003E-2</v>
      </c>
      <c r="CR15" s="230">
        <v>951125</v>
      </c>
      <c r="CS15" s="230">
        <v>867125</v>
      </c>
      <c r="CT15" s="230">
        <v>84000</v>
      </c>
      <c r="CU15" s="229">
        <v>9.69E-2</v>
      </c>
      <c r="CV15" s="230">
        <v>3907500</v>
      </c>
      <c r="CW15" s="230">
        <v>3941125</v>
      </c>
      <c r="CX15" s="230">
        <v>-33625</v>
      </c>
      <c r="CY15" s="229">
        <v>-8.5000000000000006E-3</v>
      </c>
      <c r="CZ15" s="228">
        <v>26.13</v>
      </c>
      <c r="DA15" s="228">
        <v>23.54</v>
      </c>
      <c r="DB15" s="228">
        <v>2.59</v>
      </c>
      <c r="DC15" s="228">
        <v>2.59</v>
      </c>
      <c r="DD15" s="228">
        <v>25.16</v>
      </c>
      <c r="DE15" s="228">
        <v>25.14</v>
      </c>
      <c r="DF15" s="228">
        <v>0.97</v>
      </c>
      <c r="DG15" s="228">
        <v>0.02</v>
      </c>
      <c r="DH15" s="228">
        <v>25.99</v>
      </c>
      <c r="DI15" s="228">
        <v>22.93</v>
      </c>
      <c r="DJ15" s="228">
        <v>3.06</v>
      </c>
      <c r="DK15" s="228">
        <v>3.06</v>
      </c>
      <c r="DL15" s="228">
        <v>26.46</v>
      </c>
      <c r="DM15" s="228">
        <v>24.09</v>
      </c>
      <c r="DN15" s="228">
        <v>2.37</v>
      </c>
      <c r="DO15" s="228">
        <v>2.37</v>
      </c>
      <c r="DP15" s="228">
        <v>1.1299999999999999</v>
      </c>
      <c r="DQ15" s="228">
        <v>0.94</v>
      </c>
      <c r="DR15" s="228">
        <v>0.19</v>
      </c>
      <c r="DS15" s="229">
        <v>0.2021</v>
      </c>
      <c r="DT15" s="231">
        <v>8000</v>
      </c>
      <c r="DU15" s="231">
        <v>7700</v>
      </c>
      <c r="DV15" s="228">
        <v>0.55000000000000004</v>
      </c>
      <c r="DW15" s="228">
        <v>1.0900000000000001</v>
      </c>
      <c r="DX15" s="228">
        <v>-0.54</v>
      </c>
      <c r="DY15" s="229">
        <v>-0.49540000000000001</v>
      </c>
      <c r="DZ15" s="229">
        <v>0.35949999999999999</v>
      </c>
      <c r="EA15" s="230">
        <v>335125</v>
      </c>
      <c r="EB15" s="229">
        <v>5.5999999999999999E-3</v>
      </c>
      <c r="EC15" s="229">
        <v>0.35949999999999999</v>
      </c>
      <c r="ED15" s="228">
        <v>41.32</v>
      </c>
      <c r="EE15" s="229">
        <v>5.4000000000000003E-3</v>
      </c>
      <c r="EF15" s="230">
        <v>159074</v>
      </c>
      <c r="EG15" s="230">
        <v>371109</v>
      </c>
      <c r="EH15" s="229">
        <v>-0.57140000000000002</v>
      </c>
      <c r="EI15" s="229">
        <v>0.50949999999999995</v>
      </c>
      <c r="EJ15" s="231">
        <v>242018.26</v>
      </c>
      <c r="EK15" s="231">
        <v>129340.98</v>
      </c>
      <c r="EL15" s="231">
        <v>95405.440000000002</v>
      </c>
      <c r="EM15" s="231">
        <v>3693</v>
      </c>
      <c r="EN15" s="231">
        <v>466764.68</v>
      </c>
      <c r="EO15" s="231">
        <v>564421.64</v>
      </c>
      <c r="EP15" s="231">
        <v>-97656.960000000006</v>
      </c>
      <c r="EQ15" s="229">
        <v>-0.17299999999999999</v>
      </c>
      <c r="ER15" s="231">
        <v>65355</v>
      </c>
      <c r="ES15" s="231">
        <v>69259</v>
      </c>
      <c r="ET15" s="231">
        <v>164753</v>
      </c>
      <c r="EU15" s="231">
        <v>15524629</v>
      </c>
      <c r="EV15" s="231">
        <v>299368</v>
      </c>
      <c r="EW15" s="231">
        <v>299063</v>
      </c>
      <c r="EX15" s="228">
        <v>305</v>
      </c>
      <c r="EY15" s="229">
        <v>1E-3</v>
      </c>
      <c r="EZ15" s="229">
        <v>0.25169999999999998</v>
      </c>
      <c r="FA15" s="227" t="s">
        <v>693</v>
      </c>
      <c r="FB15" s="161">
        <f t="shared" si="0"/>
        <v>760750</v>
      </c>
    </row>
    <row r="16" spans="1:158" ht="17.25" thickBot="1" x14ac:dyDescent="0.3">
      <c r="A16" s="226">
        <v>46135</v>
      </c>
      <c r="B16" s="227" t="s">
        <v>162</v>
      </c>
      <c r="C16" s="227" t="s">
        <v>167</v>
      </c>
      <c r="D16" s="228">
        <v>5000</v>
      </c>
      <c r="E16" s="228">
        <v>170.92</v>
      </c>
      <c r="F16" s="228">
        <v>178.94</v>
      </c>
      <c r="G16" s="228">
        <v>-8.02</v>
      </c>
      <c r="H16" s="229">
        <v>-4.48E-2</v>
      </c>
      <c r="I16" s="228">
        <v>170.63</v>
      </c>
      <c r="J16" s="228">
        <v>178.97</v>
      </c>
      <c r="K16" s="228">
        <v>-8.34</v>
      </c>
      <c r="L16" s="229">
        <v>-4.6600000000000003E-2</v>
      </c>
      <c r="M16" s="228">
        <v>170.92</v>
      </c>
      <c r="N16" s="228">
        <v>178.94</v>
      </c>
      <c r="O16" s="228">
        <v>-8.02</v>
      </c>
      <c r="P16" s="229">
        <v>-4.48E-2</v>
      </c>
      <c r="Q16" s="228">
        <v>168.7</v>
      </c>
      <c r="R16" s="228">
        <v>178.04</v>
      </c>
      <c r="S16" s="228">
        <v>-9.34</v>
      </c>
      <c r="T16" s="229">
        <v>-5.2499999999999998E-2</v>
      </c>
      <c r="U16" s="228">
        <v>168.48</v>
      </c>
      <c r="V16" s="228">
        <v>177.37</v>
      </c>
      <c r="W16" s="228">
        <v>-8.89</v>
      </c>
      <c r="X16" s="229">
        <v>-5.0099999999999999E-2</v>
      </c>
      <c r="Y16" s="228">
        <v>0.28999999999999998</v>
      </c>
      <c r="Z16" s="228">
        <v>-0.03</v>
      </c>
      <c r="AA16" s="228">
        <v>0.32</v>
      </c>
      <c r="AB16" s="229">
        <v>1.6999999999999999E-3</v>
      </c>
      <c r="AC16" s="228">
        <v>0.28999999999999998</v>
      </c>
      <c r="AD16" s="228">
        <v>-0.03</v>
      </c>
      <c r="AE16" s="228">
        <v>0.32</v>
      </c>
      <c r="AF16" s="229">
        <v>1.6999999999999999E-3</v>
      </c>
      <c r="AG16" s="228">
        <v>-1.93</v>
      </c>
      <c r="AH16" s="228">
        <v>-0.93</v>
      </c>
      <c r="AI16" s="228">
        <v>-1</v>
      </c>
      <c r="AJ16" s="229">
        <v>-1.1299999999999999E-2</v>
      </c>
      <c r="AK16" s="228">
        <v>-2.15</v>
      </c>
      <c r="AL16" s="228">
        <v>-1.6</v>
      </c>
      <c r="AM16" s="228">
        <v>-0.55000000000000004</v>
      </c>
      <c r="AN16" s="229">
        <v>-1.26E-2</v>
      </c>
      <c r="AO16" s="228">
        <v>172.18</v>
      </c>
      <c r="AP16" s="228">
        <v>170.56</v>
      </c>
      <c r="AQ16" s="228">
        <v>0</v>
      </c>
      <c r="AR16" s="230">
        <v>114075000</v>
      </c>
      <c r="AS16" s="230">
        <v>53770000</v>
      </c>
      <c r="AT16" s="230">
        <v>60305000</v>
      </c>
      <c r="AU16" s="229">
        <v>1.1214999999999999</v>
      </c>
      <c r="AV16" s="230">
        <v>54730000</v>
      </c>
      <c r="AW16" s="230">
        <v>31110000</v>
      </c>
      <c r="AX16" s="230">
        <v>23620000</v>
      </c>
      <c r="AY16" s="229">
        <v>0.75919999999999999</v>
      </c>
      <c r="AZ16" s="230">
        <v>57500000</v>
      </c>
      <c r="BA16" s="230">
        <v>21460000</v>
      </c>
      <c r="BB16" s="230">
        <v>36040000</v>
      </c>
      <c r="BC16" s="229">
        <v>1.6794</v>
      </c>
      <c r="BD16" s="230">
        <v>1845000</v>
      </c>
      <c r="BE16" s="230">
        <v>1200000</v>
      </c>
      <c r="BF16" s="230">
        <v>645000</v>
      </c>
      <c r="BG16" s="229">
        <v>0.53749999999999998</v>
      </c>
      <c r="BH16" s="230">
        <v>167710000</v>
      </c>
      <c r="BI16" s="230">
        <v>194510000</v>
      </c>
      <c r="BJ16" s="230">
        <v>-26800000</v>
      </c>
      <c r="BK16" s="229">
        <v>-0.13780000000000001</v>
      </c>
      <c r="BL16" s="230">
        <v>99940000</v>
      </c>
      <c r="BM16" s="230">
        <v>85075000</v>
      </c>
      <c r="BN16" s="230">
        <v>14865000</v>
      </c>
      <c r="BO16" s="229">
        <v>0.17469999999999999</v>
      </c>
      <c r="BP16" s="230">
        <v>381725000</v>
      </c>
      <c r="BQ16" s="230">
        <v>333355000</v>
      </c>
      <c r="BR16" s="230">
        <v>48370000</v>
      </c>
      <c r="BS16" s="229">
        <v>0.14510000000000001</v>
      </c>
      <c r="BT16" s="230">
        <v>34819701</v>
      </c>
      <c r="BU16" s="230">
        <v>21148409</v>
      </c>
      <c r="BV16" s="230">
        <v>13671292</v>
      </c>
      <c r="BW16" s="229">
        <v>0.64639999999999997</v>
      </c>
      <c r="BX16" s="230">
        <v>146220000</v>
      </c>
      <c r="BY16" s="230">
        <v>144650000</v>
      </c>
      <c r="BZ16" s="230">
        <v>1570000</v>
      </c>
      <c r="CA16" s="229">
        <v>1.09E-2</v>
      </c>
      <c r="CB16" s="230">
        <v>89360000</v>
      </c>
      <c r="CC16" s="230">
        <v>118525000</v>
      </c>
      <c r="CD16" s="230">
        <v>-29165000</v>
      </c>
      <c r="CE16" s="229">
        <v>-0.24610000000000001</v>
      </c>
      <c r="CF16" s="230">
        <v>53050000</v>
      </c>
      <c r="CG16" s="230">
        <v>23520000</v>
      </c>
      <c r="CH16" s="230">
        <v>29530000</v>
      </c>
      <c r="CI16" s="229">
        <v>1.2555000000000001</v>
      </c>
      <c r="CJ16" s="230">
        <v>3810000</v>
      </c>
      <c r="CK16" s="230">
        <v>2605000</v>
      </c>
      <c r="CL16" s="230">
        <v>1205000</v>
      </c>
      <c r="CM16" s="229">
        <v>0.46260000000000001</v>
      </c>
      <c r="CN16" s="230">
        <v>111885000</v>
      </c>
      <c r="CO16" s="230">
        <v>99465000</v>
      </c>
      <c r="CP16" s="230">
        <v>12420000</v>
      </c>
      <c r="CQ16" s="229">
        <v>0.1249</v>
      </c>
      <c r="CR16" s="230">
        <v>70555000</v>
      </c>
      <c r="CS16" s="230">
        <v>68820000</v>
      </c>
      <c r="CT16" s="230">
        <v>1735000</v>
      </c>
      <c r="CU16" s="229">
        <v>2.52E-2</v>
      </c>
      <c r="CV16" s="230">
        <v>328660000</v>
      </c>
      <c r="CW16" s="230">
        <v>312935000</v>
      </c>
      <c r="CX16" s="230">
        <v>15725000</v>
      </c>
      <c r="CY16" s="229">
        <v>5.0299999999999997E-2</v>
      </c>
      <c r="CZ16" s="228">
        <v>45.35</v>
      </c>
      <c r="DA16" s="228">
        <v>39.6</v>
      </c>
      <c r="DB16" s="228">
        <v>5.75</v>
      </c>
      <c r="DC16" s="228">
        <v>5.75</v>
      </c>
      <c r="DD16" s="228">
        <v>42.71</v>
      </c>
      <c r="DE16" s="228">
        <v>42.33</v>
      </c>
      <c r="DF16" s="228">
        <v>2.64</v>
      </c>
      <c r="DG16" s="228">
        <v>0.38</v>
      </c>
      <c r="DH16" s="228">
        <v>45.93</v>
      </c>
      <c r="DI16" s="228">
        <v>38.229999999999997</v>
      </c>
      <c r="DJ16" s="228">
        <v>7.7</v>
      </c>
      <c r="DK16" s="228">
        <v>7.7</v>
      </c>
      <c r="DL16" s="228">
        <v>44.15</v>
      </c>
      <c r="DM16" s="228">
        <v>42.73</v>
      </c>
      <c r="DN16" s="228">
        <v>1.42</v>
      </c>
      <c r="DO16" s="228">
        <v>1.42</v>
      </c>
      <c r="DP16" s="228">
        <v>0.63</v>
      </c>
      <c r="DQ16" s="228">
        <v>0.69</v>
      </c>
      <c r="DR16" s="228">
        <v>-0.06</v>
      </c>
      <c r="DS16" s="229">
        <v>-8.6999999999999994E-2</v>
      </c>
      <c r="DT16" s="228">
        <v>180</v>
      </c>
      <c r="DU16" s="228">
        <v>160</v>
      </c>
      <c r="DV16" s="228">
        <v>0.6</v>
      </c>
      <c r="DW16" s="228">
        <v>0.44</v>
      </c>
      <c r="DX16" s="228">
        <v>0.16</v>
      </c>
      <c r="DY16" s="229">
        <v>0.36359999999999998</v>
      </c>
      <c r="DZ16" s="229">
        <v>0.38890000000000002</v>
      </c>
      <c r="EA16" s="230">
        <v>26125000</v>
      </c>
      <c r="EB16" s="229">
        <v>-1.2999999999999999E-2</v>
      </c>
      <c r="EC16" s="229">
        <v>0.38890000000000002</v>
      </c>
      <c r="ED16" s="228">
        <v>-1.62</v>
      </c>
      <c r="EE16" s="229">
        <v>-9.4000000000000004E-3</v>
      </c>
      <c r="EF16" s="230">
        <v>15954307</v>
      </c>
      <c r="EG16" s="230">
        <v>9736540</v>
      </c>
      <c r="EH16" s="229">
        <v>0.63859999999999995</v>
      </c>
      <c r="EI16" s="229">
        <v>0.4582</v>
      </c>
      <c r="EJ16" s="231">
        <v>309245.07</v>
      </c>
      <c r="EK16" s="231">
        <v>169651.03</v>
      </c>
      <c r="EL16" s="231">
        <v>195446.28</v>
      </c>
      <c r="EM16" s="231">
        <v>6308</v>
      </c>
      <c r="EN16" s="231">
        <v>674342.38</v>
      </c>
      <c r="EO16" s="231">
        <v>606723.93999999994</v>
      </c>
      <c r="EP16" s="231">
        <v>67618.44</v>
      </c>
      <c r="EQ16" s="229">
        <v>0.1114</v>
      </c>
      <c r="ER16" s="231">
        <v>203979</v>
      </c>
      <c r="ES16" s="231">
        <v>118850</v>
      </c>
      <c r="ET16" s="231">
        <v>248649</v>
      </c>
      <c r="EU16" s="231">
        <v>423779104</v>
      </c>
      <c r="EV16" s="231">
        <v>571478</v>
      </c>
      <c r="EW16" s="231">
        <v>556643</v>
      </c>
      <c r="EX16" s="231">
        <v>14835</v>
      </c>
      <c r="EY16" s="229">
        <v>2.6700000000000002E-2</v>
      </c>
      <c r="EZ16" s="229">
        <v>0.77549999999999997</v>
      </c>
      <c r="FA16" s="227" t="s">
        <v>566</v>
      </c>
      <c r="FB16" s="161">
        <f t="shared" si="0"/>
        <v>56860000</v>
      </c>
    </row>
    <row r="17" spans="1:158" ht="17.25" thickBot="1" x14ac:dyDescent="0.3">
      <c r="A17" s="226">
        <v>46135</v>
      </c>
      <c r="B17" s="227" t="s">
        <v>168</v>
      </c>
      <c r="C17" s="227" t="s">
        <v>169</v>
      </c>
      <c r="D17" s="228">
        <v>250</v>
      </c>
      <c r="E17" s="231">
        <v>2516.8000000000002</v>
      </c>
      <c r="F17" s="231">
        <v>2559.9</v>
      </c>
      <c r="G17" s="228">
        <v>-43.1</v>
      </c>
      <c r="H17" s="229">
        <v>-1.6799999999999999E-2</v>
      </c>
      <c r="I17" s="231">
        <v>2521.4</v>
      </c>
      <c r="J17" s="231">
        <v>2562.9</v>
      </c>
      <c r="K17" s="228">
        <v>-41.5</v>
      </c>
      <c r="L17" s="229">
        <v>-1.6199999999999999E-2</v>
      </c>
      <c r="M17" s="231">
        <v>2516.8000000000002</v>
      </c>
      <c r="N17" s="231">
        <v>2559.9</v>
      </c>
      <c r="O17" s="228">
        <v>-43.1</v>
      </c>
      <c r="P17" s="229">
        <v>-1.6799999999999999E-2</v>
      </c>
      <c r="Q17" s="231">
        <v>2532.1</v>
      </c>
      <c r="R17" s="231">
        <v>2573.9</v>
      </c>
      <c r="S17" s="228">
        <v>-41.8</v>
      </c>
      <c r="T17" s="229">
        <v>-1.6199999999999999E-2</v>
      </c>
      <c r="U17" s="231">
        <v>2524.6</v>
      </c>
      <c r="V17" s="231">
        <v>2566.1999999999998</v>
      </c>
      <c r="W17" s="228">
        <v>-41.6</v>
      </c>
      <c r="X17" s="229">
        <v>-1.6199999999999999E-2</v>
      </c>
      <c r="Y17" s="228">
        <v>-4.5999999999999996</v>
      </c>
      <c r="Z17" s="228">
        <v>-3</v>
      </c>
      <c r="AA17" s="228">
        <v>-1.6</v>
      </c>
      <c r="AB17" s="229">
        <v>-1.8E-3</v>
      </c>
      <c r="AC17" s="228">
        <v>-4.5999999999999996</v>
      </c>
      <c r="AD17" s="228">
        <v>-3</v>
      </c>
      <c r="AE17" s="228">
        <v>-1.6</v>
      </c>
      <c r="AF17" s="229">
        <v>-1.8E-3</v>
      </c>
      <c r="AG17" s="228">
        <v>10.7</v>
      </c>
      <c r="AH17" s="228">
        <v>11</v>
      </c>
      <c r="AI17" s="228">
        <v>-0.3</v>
      </c>
      <c r="AJ17" s="229">
        <v>4.1999999999999997E-3</v>
      </c>
      <c r="AK17" s="228">
        <v>3.2</v>
      </c>
      <c r="AL17" s="228">
        <v>3.3</v>
      </c>
      <c r="AM17" s="228">
        <v>-0.1</v>
      </c>
      <c r="AN17" s="229">
        <v>1.2999999999999999E-3</v>
      </c>
      <c r="AO17" s="231">
        <v>2523.35</v>
      </c>
      <c r="AP17" s="231">
        <v>2537.02</v>
      </c>
      <c r="AQ17" s="228">
        <v>0</v>
      </c>
      <c r="AR17" s="230">
        <v>8250000</v>
      </c>
      <c r="AS17" s="230">
        <v>1814000</v>
      </c>
      <c r="AT17" s="230">
        <v>6436000</v>
      </c>
      <c r="AU17" s="229">
        <v>3.548</v>
      </c>
      <c r="AV17" s="230">
        <v>4263750</v>
      </c>
      <c r="AW17" s="230">
        <v>1163500</v>
      </c>
      <c r="AX17" s="230">
        <v>3100250</v>
      </c>
      <c r="AY17" s="229">
        <v>2.6646000000000001</v>
      </c>
      <c r="AZ17" s="230">
        <v>3926500</v>
      </c>
      <c r="BA17" s="230">
        <v>615250</v>
      </c>
      <c r="BB17" s="230">
        <v>3311250</v>
      </c>
      <c r="BC17" s="229">
        <v>5.3819999999999997</v>
      </c>
      <c r="BD17" s="230">
        <v>59750</v>
      </c>
      <c r="BE17" s="230">
        <v>35250</v>
      </c>
      <c r="BF17" s="230">
        <v>24500</v>
      </c>
      <c r="BG17" s="229">
        <v>0.69499999999999995</v>
      </c>
      <c r="BH17" s="230">
        <v>5715750</v>
      </c>
      <c r="BI17" s="230">
        <v>7759500</v>
      </c>
      <c r="BJ17" s="230">
        <v>-2043750</v>
      </c>
      <c r="BK17" s="229">
        <v>-0.26340000000000002</v>
      </c>
      <c r="BL17" s="230">
        <v>6533000</v>
      </c>
      <c r="BM17" s="230">
        <v>6407500</v>
      </c>
      <c r="BN17" s="230">
        <v>125500</v>
      </c>
      <c r="BO17" s="229">
        <v>1.9599999999999999E-2</v>
      </c>
      <c r="BP17" s="230">
        <v>20498750</v>
      </c>
      <c r="BQ17" s="230">
        <v>15981000</v>
      </c>
      <c r="BR17" s="230">
        <v>4517750</v>
      </c>
      <c r="BS17" s="229">
        <v>0.28270000000000001</v>
      </c>
      <c r="BT17" s="230">
        <v>1410061</v>
      </c>
      <c r="BU17" s="230">
        <v>1159795</v>
      </c>
      <c r="BV17" s="230">
        <v>250266</v>
      </c>
      <c r="BW17" s="229">
        <v>0.21579999999999999</v>
      </c>
      <c r="BX17" s="230">
        <v>14343500</v>
      </c>
      <c r="BY17" s="230">
        <v>14444250</v>
      </c>
      <c r="BZ17" s="230">
        <v>-100750</v>
      </c>
      <c r="CA17" s="229">
        <v>-7.0000000000000001E-3</v>
      </c>
      <c r="CB17" s="230">
        <v>8633000</v>
      </c>
      <c r="CC17" s="230">
        <v>11642000</v>
      </c>
      <c r="CD17" s="230">
        <v>-3009000</v>
      </c>
      <c r="CE17" s="229">
        <v>-0.25850000000000001</v>
      </c>
      <c r="CF17" s="230">
        <v>4873500</v>
      </c>
      <c r="CG17" s="230">
        <v>1994500</v>
      </c>
      <c r="CH17" s="230">
        <v>2879000</v>
      </c>
      <c r="CI17" s="229">
        <v>1.4435</v>
      </c>
      <c r="CJ17" s="230">
        <v>837000</v>
      </c>
      <c r="CK17" s="230">
        <v>807750</v>
      </c>
      <c r="CL17" s="230">
        <v>29250</v>
      </c>
      <c r="CM17" s="229">
        <v>3.6200000000000003E-2</v>
      </c>
      <c r="CN17" s="230">
        <v>5094000</v>
      </c>
      <c r="CO17" s="230">
        <v>5070000</v>
      </c>
      <c r="CP17" s="230">
        <v>24000</v>
      </c>
      <c r="CQ17" s="229">
        <v>4.7000000000000002E-3</v>
      </c>
      <c r="CR17" s="230">
        <v>5790250</v>
      </c>
      <c r="CS17" s="230">
        <v>6326750</v>
      </c>
      <c r="CT17" s="230">
        <v>-536500</v>
      </c>
      <c r="CU17" s="229">
        <v>-8.48E-2</v>
      </c>
      <c r="CV17" s="230">
        <v>25227750</v>
      </c>
      <c r="CW17" s="230">
        <v>25841000</v>
      </c>
      <c r="CX17" s="230">
        <v>-613250</v>
      </c>
      <c r="CY17" s="229">
        <v>-2.3699999999999999E-2</v>
      </c>
      <c r="CZ17" s="228">
        <v>30.85</v>
      </c>
      <c r="DA17" s="228">
        <v>27.9</v>
      </c>
      <c r="DB17" s="228">
        <v>2.95</v>
      </c>
      <c r="DC17" s="228">
        <v>2.95</v>
      </c>
      <c r="DD17" s="228">
        <v>29.19</v>
      </c>
      <c r="DE17" s="228">
        <v>29.17</v>
      </c>
      <c r="DF17" s="228">
        <v>1.66</v>
      </c>
      <c r="DG17" s="228">
        <v>0.02</v>
      </c>
      <c r="DH17" s="228">
        <v>30.1</v>
      </c>
      <c r="DI17" s="228">
        <v>26.28</v>
      </c>
      <c r="DJ17" s="228">
        <v>3.82</v>
      </c>
      <c r="DK17" s="228">
        <v>3.82</v>
      </c>
      <c r="DL17" s="228">
        <v>31.6</v>
      </c>
      <c r="DM17" s="228">
        <v>29.86</v>
      </c>
      <c r="DN17" s="228">
        <v>1.74</v>
      </c>
      <c r="DO17" s="228">
        <v>1.74</v>
      </c>
      <c r="DP17" s="228">
        <v>1.1399999999999999</v>
      </c>
      <c r="DQ17" s="228">
        <v>1.25</v>
      </c>
      <c r="DR17" s="228">
        <v>-0.11</v>
      </c>
      <c r="DS17" s="229">
        <v>-8.7999999999999995E-2</v>
      </c>
      <c r="DT17" s="231">
        <v>2600</v>
      </c>
      <c r="DU17" s="231">
        <v>2400</v>
      </c>
      <c r="DV17" s="228">
        <v>1.1399999999999999</v>
      </c>
      <c r="DW17" s="228">
        <v>0.83</v>
      </c>
      <c r="DX17" s="228">
        <v>0.31</v>
      </c>
      <c r="DY17" s="229">
        <v>0.3735</v>
      </c>
      <c r="DZ17" s="229">
        <v>0.39810000000000001</v>
      </c>
      <c r="EA17" s="230">
        <v>2802250</v>
      </c>
      <c r="EB17" s="229">
        <v>6.1000000000000004E-3</v>
      </c>
      <c r="EC17" s="229">
        <v>0.39810000000000001</v>
      </c>
      <c r="ED17" s="228">
        <v>13.67</v>
      </c>
      <c r="EE17" s="229">
        <v>5.4000000000000003E-3</v>
      </c>
      <c r="EF17" s="230">
        <v>798941</v>
      </c>
      <c r="EG17" s="230">
        <v>515460</v>
      </c>
      <c r="EH17" s="229">
        <v>0.55000000000000004</v>
      </c>
      <c r="EI17" s="229">
        <v>0.56659999999999999</v>
      </c>
      <c r="EJ17" s="231">
        <v>148226</v>
      </c>
      <c r="EK17" s="231">
        <v>161781.9</v>
      </c>
      <c r="EL17" s="231">
        <v>208717.1</v>
      </c>
      <c r="EM17" s="231">
        <v>8502</v>
      </c>
      <c r="EN17" s="231">
        <v>518725</v>
      </c>
      <c r="EO17" s="231">
        <v>408150.67</v>
      </c>
      <c r="EP17" s="231">
        <v>110574.33</v>
      </c>
      <c r="EQ17" s="229">
        <v>0.27089999999999997</v>
      </c>
      <c r="ER17" s="231">
        <v>126430</v>
      </c>
      <c r="ES17" s="231">
        <v>132317</v>
      </c>
      <c r="ET17" s="231">
        <v>361808</v>
      </c>
      <c r="EU17" s="231">
        <v>62818628</v>
      </c>
      <c r="EV17" s="231">
        <v>620555</v>
      </c>
      <c r="EW17" s="231">
        <v>640828</v>
      </c>
      <c r="EX17" s="231">
        <v>-20273</v>
      </c>
      <c r="EY17" s="229">
        <v>-3.1600000000000003E-2</v>
      </c>
      <c r="EZ17" s="229">
        <v>0.40160000000000001</v>
      </c>
      <c r="FA17" s="227" t="s">
        <v>567</v>
      </c>
      <c r="FB17" s="161">
        <f t="shared" si="0"/>
        <v>5710500</v>
      </c>
    </row>
    <row r="18" spans="1:158" ht="17.25" thickBot="1" x14ac:dyDescent="0.3">
      <c r="A18" s="226">
        <v>46135</v>
      </c>
      <c r="B18" s="227" t="s">
        <v>184</v>
      </c>
      <c r="C18" s="227" t="s">
        <v>503</v>
      </c>
      <c r="D18" s="228">
        <v>425</v>
      </c>
      <c r="E18" s="231">
        <v>1575.3</v>
      </c>
      <c r="F18" s="231">
        <v>1581.4</v>
      </c>
      <c r="G18" s="228">
        <v>-6.1</v>
      </c>
      <c r="H18" s="229">
        <v>-3.8999999999999998E-3</v>
      </c>
      <c r="I18" s="231">
        <v>1574.9</v>
      </c>
      <c r="J18" s="231">
        <v>1589.6</v>
      </c>
      <c r="K18" s="228">
        <v>-14.7</v>
      </c>
      <c r="L18" s="229">
        <v>-9.1999999999999998E-3</v>
      </c>
      <c r="M18" s="231">
        <v>1575.3</v>
      </c>
      <c r="N18" s="231">
        <v>1581.4</v>
      </c>
      <c r="O18" s="228">
        <v>-6.1</v>
      </c>
      <c r="P18" s="229">
        <v>-3.8999999999999998E-3</v>
      </c>
      <c r="Q18" s="231">
        <v>1527.3</v>
      </c>
      <c r="R18" s="231">
        <v>1534.8</v>
      </c>
      <c r="S18" s="228">
        <v>-7.5</v>
      </c>
      <c r="T18" s="229">
        <v>-4.8999999999999998E-3</v>
      </c>
      <c r="U18" s="231">
        <v>1492.5</v>
      </c>
      <c r="V18" s="231">
        <v>1506</v>
      </c>
      <c r="W18" s="228">
        <v>-13.5</v>
      </c>
      <c r="X18" s="229">
        <v>-8.9999999999999993E-3</v>
      </c>
      <c r="Y18" s="228">
        <v>0.4</v>
      </c>
      <c r="Z18" s="228">
        <v>-8.1999999999999993</v>
      </c>
      <c r="AA18" s="228">
        <v>8.6</v>
      </c>
      <c r="AB18" s="229">
        <v>2.9999999999999997E-4</v>
      </c>
      <c r="AC18" s="228">
        <v>0.4</v>
      </c>
      <c r="AD18" s="228">
        <v>-8.1999999999999993</v>
      </c>
      <c r="AE18" s="228">
        <v>8.6</v>
      </c>
      <c r="AF18" s="229">
        <v>2.9999999999999997E-4</v>
      </c>
      <c r="AG18" s="228">
        <v>-47.6</v>
      </c>
      <c r="AH18" s="228">
        <v>-54.8</v>
      </c>
      <c r="AI18" s="228">
        <v>7.2</v>
      </c>
      <c r="AJ18" s="229">
        <v>-3.0200000000000001E-2</v>
      </c>
      <c r="AK18" s="228">
        <v>-82.4</v>
      </c>
      <c r="AL18" s="228">
        <v>-83.6</v>
      </c>
      <c r="AM18" s="228">
        <v>1.2</v>
      </c>
      <c r="AN18" s="229">
        <v>-5.2299999999999999E-2</v>
      </c>
      <c r="AO18" s="231">
        <v>1565.37</v>
      </c>
      <c r="AP18" s="231">
        <v>1509.81</v>
      </c>
      <c r="AQ18" s="228">
        <v>0</v>
      </c>
      <c r="AR18" s="230">
        <v>10157500</v>
      </c>
      <c r="AS18" s="230">
        <v>2018325</v>
      </c>
      <c r="AT18" s="230">
        <v>8139175</v>
      </c>
      <c r="AU18" s="229">
        <v>4.0326000000000004</v>
      </c>
      <c r="AV18" s="230">
        <v>5000550</v>
      </c>
      <c r="AW18" s="230">
        <v>1207850</v>
      </c>
      <c r="AX18" s="230">
        <v>3792700</v>
      </c>
      <c r="AY18" s="229">
        <v>3.14</v>
      </c>
      <c r="AZ18" s="230">
        <v>5060050</v>
      </c>
      <c r="BA18" s="230">
        <v>786675</v>
      </c>
      <c r="BB18" s="230">
        <v>4273375</v>
      </c>
      <c r="BC18" s="229">
        <v>5.4321999999999999</v>
      </c>
      <c r="BD18" s="230">
        <v>96900</v>
      </c>
      <c r="BE18" s="230">
        <v>23800</v>
      </c>
      <c r="BF18" s="230">
        <v>73100</v>
      </c>
      <c r="BG18" s="229">
        <v>3.0714000000000001</v>
      </c>
      <c r="BH18" s="230">
        <v>3992875</v>
      </c>
      <c r="BI18" s="230">
        <v>3288225</v>
      </c>
      <c r="BJ18" s="230">
        <v>704650</v>
      </c>
      <c r="BK18" s="229">
        <v>0.21429999999999999</v>
      </c>
      <c r="BL18" s="230">
        <v>1697450</v>
      </c>
      <c r="BM18" s="230">
        <v>1691500</v>
      </c>
      <c r="BN18" s="230">
        <v>5950</v>
      </c>
      <c r="BO18" s="229">
        <v>3.5000000000000001E-3</v>
      </c>
      <c r="BP18" s="230">
        <v>15847825</v>
      </c>
      <c r="BQ18" s="230">
        <v>6998050</v>
      </c>
      <c r="BR18" s="230">
        <v>8849775</v>
      </c>
      <c r="BS18" s="229">
        <v>1.2645999999999999</v>
      </c>
      <c r="BT18" s="230">
        <v>429692</v>
      </c>
      <c r="BU18" s="230">
        <v>578821</v>
      </c>
      <c r="BV18" s="230">
        <v>-149129</v>
      </c>
      <c r="BW18" s="229">
        <v>-0.2576</v>
      </c>
      <c r="BX18" s="230">
        <v>13044950</v>
      </c>
      <c r="BY18" s="230">
        <v>14921325</v>
      </c>
      <c r="BZ18" s="230">
        <v>-1876375</v>
      </c>
      <c r="CA18" s="229">
        <v>-0.1258</v>
      </c>
      <c r="CB18" s="230">
        <v>6778750</v>
      </c>
      <c r="CC18" s="230">
        <v>10503025</v>
      </c>
      <c r="CD18" s="230">
        <v>-3724275</v>
      </c>
      <c r="CE18" s="229">
        <v>-0.35460000000000003</v>
      </c>
      <c r="CF18" s="230">
        <v>6102575</v>
      </c>
      <c r="CG18" s="230">
        <v>4283150</v>
      </c>
      <c r="CH18" s="230">
        <v>1819425</v>
      </c>
      <c r="CI18" s="229">
        <v>0.42480000000000001</v>
      </c>
      <c r="CJ18" s="230">
        <v>163625</v>
      </c>
      <c r="CK18" s="230">
        <v>135150</v>
      </c>
      <c r="CL18" s="230">
        <v>28475</v>
      </c>
      <c r="CM18" s="229">
        <v>0.2107</v>
      </c>
      <c r="CN18" s="230">
        <v>3057025</v>
      </c>
      <c r="CO18" s="230">
        <v>3517725</v>
      </c>
      <c r="CP18" s="230">
        <v>-460700</v>
      </c>
      <c r="CQ18" s="229">
        <v>-0.13100000000000001</v>
      </c>
      <c r="CR18" s="230">
        <v>2117350</v>
      </c>
      <c r="CS18" s="230">
        <v>2187475</v>
      </c>
      <c r="CT18" s="230">
        <v>-70125</v>
      </c>
      <c r="CU18" s="229">
        <v>-3.2099999999999997E-2</v>
      </c>
      <c r="CV18" s="230">
        <v>18219325</v>
      </c>
      <c r="CW18" s="230">
        <v>20626525</v>
      </c>
      <c r="CX18" s="230">
        <v>-2407200</v>
      </c>
      <c r="CY18" s="229">
        <v>-0.1167</v>
      </c>
      <c r="CZ18" s="228">
        <v>34.58</v>
      </c>
      <c r="DA18" s="228">
        <v>33.56</v>
      </c>
      <c r="DB18" s="228">
        <v>1.02</v>
      </c>
      <c r="DC18" s="228">
        <v>1.02</v>
      </c>
      <c r="DD18" s="228">
        <v>35.700000000000003</v>
      </c>
      <c r="DE18" s="228">
        <v>35.76</v>
      </c>
      <c r="DF18" s="228">
        <v>-1.1200000000000001</v>
      </c>
      <c r="DG18" s="228">
        <v>-0.06</v>
      </c>
      <c r="DH18" s="228">
        <v>34.68</v>
      </c>
      <c r="DI18" s="228">
        <v>32.83</v>
      </c>
      <c r="DJ18" s="228">
        <v>1.85</v>
      </c>
      <c r="DK18" s="228">
        <v>1.85</v>
      </c>
      <c r="DL18" s="228">
        <v>34.369999999999997</v>
      </c>
      <c r="DM18" s="228">
        <v>34.96</v>
      </c>
      <c r="DN18" s="228">
        <v>-0.59</v>
      </c>
      <c r="DO18" s="228">
        <v>-0.59</v>
      </c>
      <c r="DP18" s="228">
        <v>0.69</v>
      </c>
      <c r="DQ18" s="228">
        <v>0.62</v>
      </c>
      <c r="DR18" s="228">
        <v>7.0000000000000007E-2</v>
      </c>
      <c r="DS18" s="229">
        <v>0.1129</v>
      </c>
      <c r="DT18" s="231">
        <v>1640</v>
      </c>
      <c r="DU18" s="231">
        <v>1540</v>
      </c>
      <c r="DV18" s="228">
        <v>0.43</v>
      </c>
      <c r="DW18" s="228">
        <v>0.51</v>
      </c>
      <c r="DX18" s="228">
        <v>-0.08</v>
      </c>
      <c r="DY18" s="229">
        <v>-0.15690000000000001</v>
      </c>
      <c r="DZ18" s="229">
        <v>0.48039999999999999</v>
      </c>
      <c r="EA18" s="230">
        <v>4418300</v>
      </c>
      <c r="EB18" s="229">
        <v>-3.0499999999999999E-2</v>
      </c>
      <c r="EC18" s="229">
        <v>0.48039999999999999</v>
      </c>
      <c r="ED18" s="228">
        <v>-55.56</v>
      </c>
      <c r="EE18" s="229">
        <v>-3.5499999999999997E-2</v>
      </c>
      <c r="EF18" s="230">
        <v>155486</v>
      </c>
      <c r="EG18" s="230">
        <v>252276</v>
      </c>
      <c r="EH18" s="229">
        <v>-0.38369999999999999</v>
      </c>
      <c r="EI18" s="229">
        <v>0.3619</v>
      </c>
      <c r="EJ18" s="231">
        <v>65185.48</v>
      </c>
      <c r="EK18" s="231">
        <v>26554.41</v>
      </c>
      <c r="EL18" s="231">
        <v>156107.37</v>
      </c>
      <c r="EM18" s="231">
        <v>7648</v>
      </c>
      <c r="EN18" s="231">
        <v>247847.26</v>
      </c>
      <c r="EO18" s="231">
        <v>111323.36</v>
      </c>
      <c r="EP18" s="231">
        <v>136523.9</v>
      </c>
      <c r="EQ18" s="229">
        <v>1.2263999999999999</v>
      </c>
      <c r="ER18" s="231">
        <v>49932</v>
      </c>
      <c r="ES18" s="231">
        <v>32277</v>
      </c>
      <c r="ET18" s="231">
        <v>202432</v>
      </c>
      <c r="EU18" s="231">
        <v>17577908</v>
      </c>
      <c r="EV18" s="231">
        <v>284642</v>
      </c>
      <c r="EW18" s="231">
        <v>324873</v>
      </c>
      <c r="EX18" s="231">
        <v>-40231</v>
      </c>
      <c r="EY18" s="229">
        <v>-0.12379999999999999</v>
      </c>
      <c r="EZ18" s="229">
        <v>1.0365</v>
      </c>
      <c r="FA18" s="227" t="s">
        <v>567</v>
      </c>
      <c r="FB18" s="161">
        <f t="shared" si="0"/>
        <v>6266200</v>
      </c>
    </row>
    <row r="19" spans="1:158" ht="17.25" thickBot="1" x14ac:dyDescent="0.3">
      <c r="A19" s="226">
        <v>46135</v>
      </c>
      <c r="B19" s="227" t="s">
        <v>172</v>
      </c>
      <c r="C19" s="227" t="s">
        <v>495</v>
      </c>
      <c r="D19" s="228">
        <v>1000</v>
      </c>
      <c r="E19" s="231">
        <v>1057.5999999999999</v>
      </c>
      <c r="F19" s="231">
        <v>1042.45</v>
      </c>
      <c r="G19" s="228">
        <v>15.15</v>
      </c>
      <c r="H19" s="229">
        <v>1.4500000000000001E-2</v>
      </c>
      <c r="I19" s="231">
        <v>1056.25</v>
      </c>
      <c r="J19" s="231">
        <v>1043.2</v>
      </c>
      <c r="K19" s="228">
        <v>13.05</v>
      </c>
      <c r="L19" s="229">
        <v>1.2500000000000001E-2</v>
      </c>
      <c r="M19" s="231">
        <v>1057.5999999999999</v>
      </c>
      <c r="N19" s="231">
        <v>1042.45</v>
      </c>
      <c r="O19" s="228">
        <v>15.15</v>
      </c>
      <c r="P19" s="229">
        <v>1.4500000000000001E-2</v>
      </c>
      <c r="Q19" s="231">
        <v>1063.3499999999999</v>
      </c>
      <c r="R19" s="231">
        <v>1049</v>
      </c>
      <c r="S19" s="228">
        <v>14.35</v>
      </c>
      <c r="T19" s="229">
        <v>1.37E-2</v>
      </c>
      <c r="U19" s="231">
        <v>1069.6500000000001</v>
      </c>
      <c r="V19" s="231">
        <v>1056.0999999999999</v>
      </c>
      <c r="W19" s="228">
        <v>13.55</v>
      </c>
      <c r="X19" s="229">
        <v>1.2800000000000001E-2</v>
      </c>
      <c r="Y19" s="228">
        <v>1.35</v>
      </c>
      <c r="Z19" s="228">
        <v>-0.75</v>
      </c>
      <c r="AA19" s="228">
        <v>2.1</v>
      </c>
      <c r="AB19" s="229">
        <v>1.2999999999999999E-3</v>
      </c>
      <c r="AC19" s="228">
        <v>1.35</v>
      </c>
      <c r="AD19" s="228">
        <v>-0.75</v>
      </c>
      <c r="AE19" s="228">
        <v>2.1</v>
      </c>
      <c r="AF19" s="229">
        <v>1.2999999999999999E-3</v>
      </c>
      <c r="AG19" s="228">
        <v>7.1</v>
      </c>
      <c r="AH19" s="228">
        <v>5.8</v>
      </c>
      <c r="AI19" s="228">
        <v>1.3</v>
      </c>
      <c r="AJ19" s="229">
        <v>6.7000000000000002E-3</v>
      </c>
      <c r="AK19" s="228">
        <v>13.4</v>
      </c>
      <c r="AL19" s="228">
        <v>12.9</v>
      </c>
      <c r="AM19" s="228">
        <v>0.5</v>
      </c>
      <c r="AN19" s="229">
        <v>1.2699999999999999E-2</v>
      </c>
      <c r="AO19" s="231">
        <v>1052.82</v>
      </c>
      <c r="AP19" s="231">
        <v>1058.6300000000001</v>
      </c>
      <c r="AQ19" s="228">
        <v>0</v>
      </c>
      <c r="AR19" s="230">
        <v>17870000</v>
      </c>
      <c r="AS19" s="230">
        <v>5572000</v>
      </c>
      <c r="AT19" s="230">
        <v>12298000</v>
      </c>
      <c r="AU19" s="229">
        <v>2.2071000000000001</v>
      </c>
      <c r="AV19" s="230">
        <v>9296000</v>
      </c>
      <c r="AW19" s="230">
        <v>3758000</v>
      </c>
      <c r="AX19" s="230">
        <v>5538000</v>
      </c>
      <c r="AY19" s="229">
        <v>1.4737</v>
      </c>
      <c r="AZ19" s="230">
        <v>8453000</v>
      </c>
      <c r="BA19" s="230">
        <v>1681000</v>
      </c>
      <c r="BB19" s="230">
        <v>6772000</v>
      </c>
      <c r="BC19" s="229">
        <v>4.0286</v>
      </c>
      <c r="BD19" s="230">
        <v>121000</v>
      </c>
      <c r="BE19" s="230">
        <v>133000</v>
      </c>
      <c r="BF19" s="230">
        <v>-12000</v>
      </c>
      <c r="BG19" s="229">
        <v>-9.0200000000000002E-2</v>
      </c>
      <c r="BH19" s="230">
        <v>16461000</v>
      </c>
      <c r="BI19" s="230">
        <v>19265000</v>
      </c>
      <c r="BJ19" s="230">
        <v>-2804000</v>
      </c>
      <c r="BK19" s="229">
        <v>-0.14549999999999999</v>
      </c>
      <c r="BL19" s="230">
        <v>8883000</v>
      </c>
      <c r="BM19" s="230">
        <v>10658000</v>
      </c>
      <c r="BN19" s="230">
        <v>-1775000</v>
      </c>
      <c r="BO19" s="229">
        <v>-0.16650000000000001</v>
      </c>
      <c r="BP19" s="230">
        <v>43214000</v>
      </c>
      <c r="BQ19" s="230">
        <v>35495000</v>
      </c>
      <c r="BR19" s="230">
        <v>7719000</v>
      </c>
      <c r="BS19" s="229">
        <v>0.2175</v>
      </c>
      <c r="BT19" s="230">
        <v>5844330</v>
      </c>
      <c r="BU19" s="230">
        <v>2202234</v>
      </c>
      <c r="BV19" s="230">
        <v>3642096</v>
      </c>
      <c r="BW19" s="229">
        <v>1.6537999999999999</v>
      </c>
      <c r="BX19" s="230">
        <v>26278000</v>
      </c>
      <c r="BY19" s="230">
        <v>25526000</v>
      </c>
      <c r="BZ19" s="230">
        <v>752000</v>
      </c>
      <c r="CA19" s="229">
        <v>2.9499999999999998E-2</v>
      </c>
      <c r="CB19" s="230">
        <v>16763000</v>
      </c>
      <c r="CC19" s="230">
        <v>22552000</v>
      </c>
      <c r="CD19" s="230">
        <v>-5789000</v>
      </c>
      <c r="CE19" s="229">
        <v>-0.25669999999999998</v>
      </c>
      <c r="CF19" s="230">
        <v>9259000</v>
      </c>
      <c r="CG19" s="230">
        <v>2782000</v>
      </c>
      <c r="CH19" s="230">
        <v>6477000</v>
      </c>
      <c r="CI19" s="229">
        <v>2.3281999999999998</v>
      </c>
      <c r="CJ19" s="230">
        <v>256000</v>
      </c>
      <c r="CK19" s="230">
        <v>192000</v>
      </c>
      <c r="CL19" s="230">
        <v>64000</v>
      </c>
      <c r="CM19" s="229">
        <v>0.33329999999999999</v>
      </c>
      <c r="CN19" s="230">
        <v>10007000</v>
      </c>
      <c r="CO19" s="230">
        <v>8779000</v>
      </c>
      <c r="CP19" s="230">
        <v>1228000</v>
      </c>
      <c r="CQ19" s="229">
        <v>0.1399</v>
      </c>
      <c r="CR19" s="230">
        <v>8270000</v>
      </c>
      <c r="CS19" s="230">
        <v>7782000</v>
      </c>
      <c r="CT19" s="230">
        <v>488000</v>
      </c>
      <c r="CU19" s="229">
        <v>6.2700000000000006E-2</v>
      </c>
      <c r="CV19" s="230">
        <v>44555000</v>
      </c>
      <c r="CW19" s="230">
        <v>42087000</v>
      </c>
      <c r="CX19" s="230">
        <v>2468000</v>
      </c>
      <c r="CY19" s="229">
        <v>5.8599999999999999E-2</v>
      </c>
      <c r="CZ19" s="228">
        <v>38.44</v>
      </c>
      <c r="DA19" s="228">
        <v>40.85</v>
      </c>
      <c r="DB19" s="228">
        <v>-2.41</v>
      </c>
      <c r="DC19" s="228">
        <v>-2.41</v>
      </c>
      <c r="DD19" s="228">
        <v>38.35</v>
      </c>
      <c r="DE19" s="228">
        <v>38.409999999999997</v>
      </c>
      <c r="DF19" s="228">
        <v>0.09</v>
      </c>
      <c r="DG19" s="228">
        <v>-0.06</v>
      </c>
      <c r="DH19" s="228">
        <v>38.26</v>
      </c>
      <c r="DI19" s="228">
        <v>39.659999999999997</v>
      </c>
      <c r="DJ19" s="228">
        <v>-1.4</v>
      </c>
      <c r="DK19" s="228">
        <v>-1.4</v>
      </c>
      <c r="DL19" s="228">
        <v>39.01</v>
      </c>
      <c r="DM19" s="228">
        <v>43.01</v>
      </c>
      <c r="DN19" s="228">
        <v>-4</v>
      </c>
      <c r="DO19" s="228">
        <v>-4</v>
      </c>
      <c r="DP19" s="228">
        <v>0.83</v>
      </c>
      <c r="DQ19" s="228">
        <v>0.89</v>
      </c>
      <c r="DR19" s="228">
        <v>-0.06</v>
      </c>
      <c r="DS19" s="229">
        <v>-6.7400000000000002E-2</v>
      </c>
      <c r="DT19" s="231">
        <v>1100</v>
      </c>
      <c r="DU19" s="231">
        <v>1000</v>
      </c>
      <c r="DV19" s="228">
        <v>0.54</v>
      </c>
      <c r="DW19" s="228">
        <v>0.55000000000000004</v>
      </c>
      <c r="DX19" s="228">
        <v>-0.01</v>
      </c>
      <c r="DY19" s="229">
        <v>-1.8200000000000001E-2</v>
      </c>
      <c r="DZ19" s="229">
        <v>0.36209999999999998</v>
      </c>
      <c r="EA19" s="230">
        <v>2974000</v>
      </c>
      <c r="EB19" s="229">
        <v>5.4000000000000003E-3</v>
      </c>
      <c r="EC19" s="229">
        <v>0.36209999999999998</v>
      </c>
      <c r="ED19" s="228">
        <v>5.81</v>
      </c>
      <c r="EE19" s="229">
        <v>5.4999999999999997E-3</v>
      </c>
      <c r="EF19" s="230">
        <v>3853756</v>
      </c>
      <c r="EG19" s="230">
        <v>962804</v>
      </c>
      <c r="EH19" s="229">
        <v>3.0026000000000002</v>
      </c>
      <c r="EI19" s="229">
        <v>0.65939999999999999</v>
      </c>
      <c r="EJ19" s="231">
        <v>179613.62</v>
      </c>
      <c r="EK19" s="231">
        <v>90995.53</v>
      </c>
      <c r="EL19" s="231">
        <v>188644.92</v>
      </c>
      <c r="EM19" s="231">
        <v>4849</v>
      </c>
      <c r="EN19" s="231">
        <v>459254.07</v>
      </c>
      <c r="EO19" s="231">
        <v>375358.03</v>
      </c>
      <c r="EP19" s="231">
        <v>83896.04</v>
      </c>
      <c r="EQ19" s="229">
        <v>0.2235</v>
      </c>
      <c r="ER19" s="231">
        <v>101930</v>
      </c>
      <c r="ES19" s="231">
        <v>79257</v>
      </c>
      <c r="ET19" s="231">
        <v>278479</v>
      </c>
      <c r="EU19" s="231">
        <v>86532345</v>
      </c>
      <c r="EV19" s="231">
        <v>459666</v>
      </c>
      <c r="EW19" s="231">
        <v>428533</v>
      </c>
      <c r="EX19" s="231">
        <v>31133</v>
      </c>
      <c r="EY19" s="229">
        <v>7.2700000000000001E-2</v>
      </c>
      <c r="EZ19" s="229">
        <v>0.51490000000000002</v>
      </c>
      <c r="FA19" s="227" t="s">
        <v>555</v>
      </c>
      <c r="FB19" s="161">
        <f t="shared" si="0"/>
        <v>9515000</v>
      </c>
    </row>
    <row r="20" spans="1:158" ht="17.25" thickBot="1" x14ac:dyDescent="0.3">
      <c r="A20" s="226">
        <v>46135</v>
      </c>
      <c r="B20" s="227" t="s">
        <v>170</v>
      </c>
      <c r="C20" s="227" t="s">
        <v>171</v>
      </c>
      <c r="D20" s="228">
        <v>550</v>
      </c>
      <c r="E20" s="231">
        <v>1437.7</v>
      </c>
      <c r="F20" s="231">
        <v>1417.3</v>
      </c>
      <c r="G20" s="228">
        <v>20.399999999999999</v>
      </c>
      <c r="H20" s="229">
        <v>1.44E-2</v>
      </c>
      <c r="I20" s="231">
        <v>1435.4</v>
      </c>
      <c r="J20" s="231">
        <v>1421.2</v>
      </c>
      <c r="K20" s="228">
        <v>14.2</v>
      </c>
      <c r="L20" s="229">
        <v>0.01</v>
      </c>
      <c r="M20" s="231">
        <v>1437.7</v>
      </c>
      <c r="N20" s="231">
        <v>1417.3</v>
      </c>
      <c r="O20" s="228">
        <v>20.399999999999999</v>
      </c>
      <c r="P20" s="229">
        <v>1.44E-2</v>
      </c>
      <c r="Q20" s="231">
        <v>1446.4</v>
      </c>
      <c r="R20" s="231">
        <v>1425.7</v>
      </c>
      <c r="S20" s="228">
        <v>20.7</v>
      </c>
      <c r="T20" s="229">
        <v>1.4500000000000001E-2</v>
      </c>
      <c r="U20" s="231">
        <v>1450.8</v>
      </c>
      <c r="V20" s="231">
        <v>1432.3</v>
      </c>
      <c r="W20" s="228">
        <v>18.5</v>
      </c>
      <c r="X20" s="229">
        <v>1.29E-2</v>
      </c>
      <c r="Y20" s="228">
        <v>2.2999999999999998</v>
      </c>
      <c r="Z20" s="228">
        <v>-3.9</v>
      </c>
      <c r="AA20" s="228">
        <v>6.2</v>
      </c>
      <c r="AB20" s="229">
        <v>1.6000000000000001E-3</v>
      </c>
      <c r="AC20" s="228">
        <v>2.2999999999999998</v>
      </c>
      <c r="AD20" s="228">
        <v>-3.9</v>
      </c>
      <c r="AE20" s="228">
        <v>6.2</v>
      </c>
      <c r="AF20" s="229">
        <v>1.6000000000000001E-3</v>
      </c>
      <c r="AG20" s="228">
        <v>11</v>
      </c>
      <c r="AH20" s="228">
        <v>4.5</v>
      </c>
      <c r="AI20" s="228">
        <v>6.5</v>
      </c>
      <c r="AJ20" s="229">
        <v>7.7000000000000002E-3</v>
      </c>
      <c r="AK20" s="228">
        <v>15.4</v>
      </c>
      <c r="AL20" s="228">
        <v>11.1</v>
      </c>
      <c r="AM20" s="228">
        <v>4.3</v>
      </c>
      <c r="AN20" s="229">
        <v>1.0699999999999999E-2</v>
      </c>
      <c r="AO20" s="231">
        <v>1437.86</v>
      </c>
      <c r="AP20" s="231">
        <v>1445.74</v>
      </c>
      <c r="AQ20" s="228">
        <v>0</v>
      </c>
      <c r="AR20" s="230">
        <v>8605850</v>
      </c>
      <c r="AS20" s="230">
        <v>4774000</v>
      </c>
      <c r="AT20" s="230">
        <v>3831850</v>
      </c>
      <c r="AU20" s="229">
        <v>0.80259999999999998</v>
      </c>
      <c r="AV20" s="230">
        <v>4276250</v>
      </c>
      <c r="AW20" s="230">
        <v>2864400</v>
      </c>
      <c r="AX20" s="230">
        <v>1411850</v>
      </c>
      <c r="AY20" s="229">
        <v>0.4929</v>
      </c>
      <c r="AZ20" s="230">
        <v>4314750</v>
      </c>
      <c r="BA20" s="230">
        <v>1880450</v>
      </c>
      <c r="BB20" s="230">
        <v>2434300</v>
      </c>
      <c r="BC20" s="229">
        <v>1.2945</v>
      </c>
      <c r="BD20" s="230">
        <v>14850</v>
      </c>
      <c r="BE20" s="230">
        <v>29150</v>
      </c>
      <c r="BF20" s="230">
        <v>-14300</v>
      </c>
      <c r="BG20" s="229">
        <v>-0.49059999999999998</v>
      </c>
      <c r="BH20" s="230">
        <v>10801450</v>
      </c>
      <c r="BI20" s="230">
        <v>5759050</v>
      </c>
      <c r="BJ20" s="230">
        <v>5042400</v>
      </c>
      <c r="BK20" s="229">
        <v>0.87560000000000004</v>
      </c>
      <c r="BL20" s="230">
        <v>4422000</v>
      </c>
      <c r="BM20" s="230">
        <v>3191650</v>
      </c>
      <c r="BN20" s="230">
        <v>1230350</v>
      </c>
      <c r="BO20" s="229">
        <v>0.38550000000000001</v>
      </c>
      <c r="BP20" s="230">
        <v>23829300</v>
      </c>
      <c r="BQ20" s="230">
        <v>13724700</v>
      </c>
      <c r="BR20" s="230">
        <v>10104600</v>
      </c>
      <c r="BS20" s="229">
        <v>0.73619999999999997</v>
      </c>
      <c r="BT20" s="230">
        <v>2293386</v>
      </c>
      <c r="BU20" s="230">
        <v>1765390</v>
      </c>
      <c r="BV20" s="230">
        <v>527996</v>
      </c>
      <c r="BW20" s="229">
        <v>0.29909999999999998</v>
      </c>
      <c r="BX20" s="230">
        <v>22482350</v>
      </c>
      <c r="BY20" s="230">
        <v>21985700</v>
      </c>
      <c r="BZ20" s="230">
        <v>496650</v>
      </c>
      <c r="CA20" s="229">
        <v>2.2599999999999999E-2</v>
      </c>
      <c r="CB20" s="230">
        <v>6822750</v>
      </c>
      <c r="CC20" s="230">
        <v>9656900</v>
      </c>
      <c r="CD20" s="230">
        <v>-2834150</v>
      </c>
      <c r="CE20" s="229">
        <v>-0.29349999999999998</v>
      </c>
      <c r="CF20" s="230">
        <v>15637050</v>
      </c>
      <c r="CG20" s="230">
        <v>12305700</v>
      </c>
      <c r="CH20" s="230">
        <v>3331350</v>
      </c>
      <c r="CI20" s="229">
        <v>0.2707</v>
      </c>
      <c r="CJ20" s="230">
        <v>22550</v>
      </c>
      <c r="CK20" s="230">
        <v>23100</v>
      </c>
      <c r="CL20" s="228">
        <v>-550</v>
      </c>
      <c r="CM20" s="229">
        <v>-2.3800000000000002E-2</v>
      </c>
      <c r="CN20" s="230">
        <v>4470400</v>
      </c>
      <c r="CO20" s="230">
        <v>4453350</v>
      </c>
      <c r="CP20" s="230">
        <v>17050</v>
      </c>
      <c r="CQ20" s="229">
        <v>3.8E-3</v>
      </c>
      <c r="CR20" s="230">
        <v>3375350</v>
      </c>
      <c r="CS20" s="230">
        <v>2980450</v>
      </c>
      <c r="CT20" s="230">
        <v>394900</v>
      </c>
      <c r="CU20" s="229">
        <v>0.13250000000000001</v>
      </c>
      <c r="CV20" s="230">
        <v>30328100</v>
      </c>
      <c r="CW20" s="230">
        <v>29419500</v>
      </c>
      <c r="CX20" s="230">
        <v>908600</v>
      </c>
      <c r="CY20" s="229">
        <v>3.09E-2</v>
      </c>
      <c r="CZ20" s="228">
        <v>31.47</v>
      </c>
      <c r="DA20" s="228">
        <v>28.54</v>
      </c>
      <c r="DB20" s="228">
        <v>2.93</v>
      </c>
      <c r="DC20" s="228">
        <v>2.93</v>
      </c>
      <c r="DD20" s="228">
        <v>33.270000000000003</v>
      </c>
      <c r="DE20" s="228">
        <v>33.33</v>
      </c>
      <c r="DF20" s="228">
        <v>-1.8</v>
      </c>
      <c r="DG20" s="228">
        <v>-0.06</v>
      </c>
      <c r="DH20" s="228">
        <v>31.22</v>
      </c>
      <c r="DI20" s="228">
        <v>25.32</v>
      </c>
      <c r="DJ20" s="228">
        <v>5.9</v>
      </c>
      <c r="DK20" s="228">
        <v>5.9</v>
      </c>
      <c r="DL20" s="228">
        <v>31.9</v>
      </c>
      <c r="DM20" s="228">
        <v>34.35</v>
      </c>
      <c r="DN20" s="228">
        <v>-2.4500000000000002</v>
      </c>
      <c r="DO20" s="228">
        <v>-2.4500000000000002</v>
      </c>
      <c r="DP20" s="228">
        <v>0.76</v>
      </c>
      <c r="DQ20" s="228">
        <v>0.67</v>
      </c>
      <c r="DR20" s="228">
        <v>0.09</v>
      </c>
      <c r="DS20" s="229">
        <v>0.1343</v>
      </c>
      <c r="DT20" s="231">
        <v>1500</v>
      </c>
      <c r="DU20" s="231">
        <v>1300</v>
      </c>
      <c r="DV20" s="228">
        <v>0.41</v>
      </c>
      <c r="DW20" s="228">
        <v>0.55000000000000004</v>
      </c>
      <c r="DX20" s="228">
        <v>-0.14000000000000001</v>
      </c>
      <c r="DY20" s="229">
        <v>-0.2545</v>
      </c>
      <c r="DZ20" s="229">
        <v>0.69650000000000001</v>
      </c>
      <c r="EA20" s="230">
        <v>12328800</v>
      </c>
      <c r="EB20" s="229">
        <v>6.1000000000000004E-3</v>
      </c>
      <c r="EC20" s="229">
        <v>0.69650000000000001</v>
      </c>
      <c r="ED20" s="228">
        <v>7.88</v>
      </c>
      <c r="EE20" s="229">
        <v>5.4999999999999997E-3</v>
      </c>
      <c r="EF20" s="230">
        <v>1112779</v>
      </c>
      <c r="EG20" s="230">
        <v>904666</v>
      </c>
      <c r="EH20" s="229">
        <v>0.23</v>
      </c>
      <c r="EI20" s="229">
        <v>0.48520000000000002</v>
      </c>
      <c r="EJ20" s="231">
        <v>159467.5</v>
      </c>
      <c r="EK20" s="231">
        <v>61955.23</v>
      </c>
      <c r="EL20" s="231">
        <v>124082.16</v>
      </c>
      <c r="EM20" s="231">
        <v>11465</v>
      </c>
      <c r="EN20" s="231">
        <v>345504.89</v>
      </c>
      <c r="EO20" s="231">
        <v>193170.26</v>
      </c>
      <c r="EP20" s="231">
        <v>152334.63</v>
      </c>
      <c r="EQ20" s="229">
        <v>0.78859999999999997</v>
      </c>
      <c r="ER20" s="231">
        <v>62747</v>
      </c>
      <c r="ES20" s="231">
        <v>44742</v>
      </c>
      <c r="ET20" s="231">
        <v>324592</v>
      </c>
      <c r="EU20" s="231">
        <v>41977935</v>
      </c>
      <c r="EV20" s="231">
        <v>432081</v>
      </c>
      <c r="EW20" s="231">
        <v>413869</v>
      </c>
      <c r="EX20" s="231">
        <v>18212</v>
      </c>
      <c r="EY20" s="229">
        <v>4.3999999999999997E-2</v>
      </c>
      <c r="EZ20" s="229">
        <v>0.72250000000000003</v>
      </c>
      <c r="FA20" s="227" t="s">
        <v>555</v>
      </c>
      <c r="FB20" s="161">
        <f t="shared" si="0"/>
        <v>15659600</v>
      </c>
    </row>
    <row r="21" spans="1:158" ht="17.25" thickBot="1" x14ac:dyDescent="0.3">
      <c r="A21" s="226">
        <v>46135</v>
      </c>
      <c r="B21" s="227" t="s">
        <v>172</v>
      </c>
      <c r="C21" s="227" t="s">
        <v>173</v>
      </c>
      <c r="D21" s="228">
        <v>625</v>
      </c>
      <c r="E21" s="231">
        <v>1367.3</v>
      </c>
      <c r="F21" s="231">
        <v>1377.7</v>
      </c>
      <c r="G21" s="228">
        <v>-10.4</v>
      </c>
      <c r="H21" s="229">
        <v>-7.4999999999999997E-3</v>
      </c>
      <c r="I21" s="231">
        <v>1369.6</v>
      </c>
      <c r="J21" s="231">
        <v>1379.6</v>
      </c>
      <c r="K21" s="228">
        <v>-10</v>
      </c>
      <c r="L21" s="229">
        <v>-7.1999999999999998E-3</v>
      </c>
      <c r="M21" s="231">
        <v>1367.3</v>
      </c>
      <c r="N21" s="231">
        <v>1377.7</v>
      </c>
      <c r="O21" s="228">
        <v>-10.4</v>
      </c>
      <c r="P21" s="229">
        <v>-7.4999999999999997E-3</v>
      </c>
      <c r="Q21" s="231">
        <v>1375.2</v>
      </c>
      <c r="R21" s="231">
        <v>1385.5</v>
      </c>
      <c r="S21" s="228">
        <v>-10.3</v>
      </c>
      <c r="T21" s="229">
        <v>-7.4000000000000003E-3</v>
      </c>
      <c r="U21" s="231">
        <v>1385.2</v>
      </c>
      <c r="V21" s="231">
        <v>1394</v>
      </c>
      <c r="W21" s="228">
        <v>-8.8000000000000007</v>
      </c>
      <c r="X21" s="229">
        <v>-6.3E-3</v>
      </c>
      <c r="Y21" s="228">
        <v>-2.2999999999999998</v>
      </c>
      <c r="Z21" s="228">
        <v>-1.9</v>
      </c>
      <c r="AA21" s="228">
        <v>-0.4</v>
      </c>
      <c r="AB21" s="229">
        <v>-1.6999999999999999E-3</v>
      </c>
      <c r="AC21" s="228">
        <v>-2.2999999999999998</v>
      </c>
      <c r="AD21" s="228">
        <v>-1.9</v>
      </c>
      <c r="AE21" s="228">
        <v>-0.4</v>
      </c>
      <c r="AF21" s="229">
        <v>-1.6999999999999999E-3</v>
      </c>
      <c r="AG21" s="228">
        <v>5.6</v>
      </c>
      <c r="AH21" s="228">
        <v>5.9</v>
      </c>
      <c r="AI21" s="228">
        <v>-0.3</v>
      </c>
      <c r="AJ21" s="229">
        <v>4.1000000000000003E-3</v>
      </c>
      <c r="AK21" s="228">
        <v>15.6</v>
      </c>
      <c r="AL21" s="228">
        <v>14.4</v>
      </c>
      <c r="AM21" s="228">
        <v>1.2</v>
      </c>
      <c r="AN21" s="229">
        <v>1.14E-2</v>
      </c>
      <c r="AO21" s="231">
        <v>1371.76</v>
      </c>
      <c r="AP21" s="231">
        <v>1379.6</v>
      </c>
      <c r="AQ21" s="228">
        <v>0</v>
      </c>
      <c r="AR21" s="230">
        <v>33384375</v>
      </c>
      <c r="AS21" s="230">
        <v>13665000</v>
      </c>
      <c r="AT21" s="230">
        <v>19719375</v>
      </c>
      <c r="AU21" s="229">
        <v>1.4431</v>
      </c>
      <c r="AV21" s="230">
        <v>16712500</v>
      </c>
      <c r="AW21" s="230">
        <v>8296875</v>
      </c>
      <c r="AX21" s="230">
        <v>8415625</v>
      </c>
      <c r="AY21" s="229">
        <v>1.0143</v>
      </c>
      <c r="AZ21" s="230">
        <v>16036875</v>
      </c>
      <c r="BA21" s="230">
        <v>2736875</v>
      </c>
      <c r="BB21" s="230">
        <v>13300000</v>
      </c>
      <c r="BC21" s="229">
        <v>4.8596000000000004</v>
      </c>
      <c r="BD21" s="230">
        <v>635000</v>
      </c>
      <c r="BE21" s="230">
        <v>2631250</v>
      </c>
      <c r="BF21" s="230">
        <v>-1996250</v>
      </c>
      <c r="BG21" s="229">
        <v>-0.75870000000000004</v>
      </c>
      <c r="BH21" s="230">
        <v>20478125</v>
      </c>
      <c r="BI21" s="230">
        <v>20051875</v>
      </c>
      <c r="BJ21" s="230">
        <v>426250</v>
      </c>
      <c r="BK21" s="229">
        <v>2.1299999999999999E-2</v>
      </c>
      <c r="BL21" s="230">
        <v>16200000</v>
      </c>
      <c r="BM21" s="230">
        <v>13557500</v>
      </c>
      <c r="BN21" s="230">
        <v>2642500</v>
      </c>
      <c r="BO21" s="229">
        <v>0.19489999999999999</v>
      </c>
      <c r="BP21" s="230">
        <v>70062500</v>
      </c>
      <c r="BQ21" s="230">
        <v>47274375</v>
      </c>
      <c r="BR21" s="230">
        <v>22788125</v>
      </c>
      <c r="BS21" s="229">
        <v>0.48199999999999998</v>
      </c>
      <c r="BT21" s="230">
        <v>6541926</v>
      </c>
      <c r="BU21" s="230">
        <v>4215858</v>
      </c>
      <c r="BV21" s="230">
        <v>2326068</v>
      </c>
      <c r="BW21" s="229">
        <v>0.55169999999999997</v>
      </c>
      <c r="BX21" s="230">
        <v>66256250</v>
      </c>
      <c r="BY21" s="230">
        <v>64337500</v>
      </c>
      <c r="BZ21" s="230">
        <v>1918750</v>
      </c>
      <c r="CA21" s="229">
        <v>2.98E-2</v>
      </c>
      <c r="CB21" s="230">
        <v>27733125</v>
      </c>
      <c r="CC21" s="230">
        <v>40877500</v>
      </c>
      <c r="CD21" s="230">
        <v>-13144375</v>
      </c>
      <c r="CE21" s="229">
        <v>-0.3216</v>
      </c>
      <c r="CF21" s="230">
        <v>33605625</v>
      </c>
      <c r="CG21" s="230">
        <v>19095000</v>
      </c>
      <c r="CH21" s="230">
        <v>14510625</v>
      </c>
      <c r="CI21" s="229">
        <v>0.75990000000000002</v>
      </c>
      <c r="CJ21" s="230">
        <v>4917500</v>
      </c>
      <c r="CK21" s="230">
        <v>4365000</v>
      </c>
      <c r="CL21" s="230">
        <v>552500</v>
      </c>
      <c r="CM21" s="229">
        <v>0.12659999999999999</v>
      </c>
      <c r="CN21" s="230">
        <v>18750625</v>
      </c>
      <c r="CO21" s="230">
        <v>17239375</v>
      </c>
      <c r="CP21" s="230">
        <v>1511250</v>
      </c>
      <c r="CQ21" s="229">
        <v>8.77E-2</v>
      </c>
      <c r="CR21" s="230">
        <v>14307500</v>
      </c>
      <c r="CS21" s="230">
        <v>14347500</v>
      </c>
      <c r="CT21" s="230">
        <v>-40000</v>
      </c>
      <c r="CU21" s="229">
        <v>-2.8E-3</v>
      </c>
      <c r="CV21" s="230">
        <v>99314375</v>
      </c>
      <c r="CW21" s="230">
        <v>95924375</v>
      </c>
      <c r="CX21" s="230">
        <v>3390000</v>
      </c>
      <c r="CY21" s="229">
        <v>3.5299999999999998E-2</v>
      </c>
      <c r="CZ21" s="228">
        <v>28.95</v>
      </c>
      <c r="DA21" s="228">
        <v>36.56</v>
      </c>
      <c r="DB21" s="228">
        <v>-7.61</v>
      </c>
      <c r="DC21" s="228">
        <v>-7.61</v>
      </c>
      <c r="DD21" s="228">
        <v>29.87</v>
      </c>
      <c r="DE21" s="228">
        <v>29.92</v>
      </c>
      <c r="DF21" s="228">
        <v>-0.92</v>
      </c>
      <c r="DG21" s="228">
        <v>-0.05</v>
      </c>
      <c r="DH21" s="228">
        <v>28.41</v>
      </c>
      <c r="DI21" s="228">
        <v>35.74</v>
      </c>
      <c r="DJ21" s="228">
        <v>-7.33</v>
      </c>
      <c r="DK21" s="228">
        <v>-7.33</v>
      </c>
      <c r="DL21" s="228">
        <v>29.55</v>
      </c>
      <c r="DM21" s="228">
        <v>37.79</v>
      </c>
      <c r="DN21" s="228">
        <v>-8.24</v>
      </c>
      <c r="DO21" s="228">
        <v>-8.24</v>
      </c>
      <c r="DP21" s="228">
        <v>0.76</v>
      </c>
      <c r="DQ21" s="228">
        <v>0.83</v>
      </c>
      <c r="DR21" s="228">
        <v>-7.0000000000000007E-2</v>
      </c>
      <c r="DS21" s="229">
        <v>-8.43E-2</v>
      </c>
      <c r="DT21" s="231">
        <v>1400</v>
      </c>
      <c r="DU21" s="231">
        <v>1300</v>
      </c>
      <c r="DV21" s="228">
        <v>0.79</v>
      </c>
      <c r="DW21" s="228">
        <v>0.68</v>
      </c>
      <c r="DX21" s="228">
        <v>0.11</v>
      </c>
      <c r="DY21" s="229">
        <v>0.1618</v>
      </c>
      <c r="DZ21" s="229">
        <v>0.58140000000000003</v>
      </c>
      <c r="EA21" s="230">
        <v>23460000</v>
      </c>
      <c r="EB21" s="229">
        <v>5.7999999999999996E-3</v>
      </c>
      <c r="EC21" s="229">
        <v>0.58140000000000003</v>
      </c>
      <c r="ED21" s="228">
        <v>7.84</v>
      </c>
      <c r="EE21" s="229">
        <v>5.7000000000000002E-3</v>
      </c>
      <c r="EF21" s="230">
        <v>3374544</v>
      </c>
      <c r="EG21" s="230">
        <v>2474286</v>
      </c>
      <c r="EH21" s="229">
        <v>0.36380000000000001</v>
      </c>
      <c r="EI21" s="229">
        <v>0.51580000000000004</v>
      </c>
      <c r="EJ21" s="231">
        <v>289587.61</v>
      </c>
      <c r="EK21" s="231">
        <v>215302.7</v>
      </c>
      <c r="EL21" s="231">
        <v>459306.68</v>
      </c>
      <c r="EM21" s="231">
        <v>13697</v>
      </c>
      <c r="EN21" s="231">
        <v>964196.99</v>
      </c>
      <c r="EO21" s="231">
        <v>657507.22</v>
      </c>
      <c r="EP21" s="231">
        <v>306689.77</v>
      </c>
      <c r="EQ21" s="229">
        <v>0.46639999999999998</v>
      </c>
      <c r="ER21" s="231">
        <v>253023</v>
      </c>
      <c r="ES21" s="231">
        <v>180339</v>
      </c>
      <c r="ET21" s="231">
        <v>909457</v>
      </c>
      <c r="EU21" s="231">
        <v>331596880</v>
      </c>
      <c r="EV21" s="231">
        <v>1342818</v>
      </c>
      <c r="EW21" s="231">
        <v>1301254</v>
      </c>
      <c r="EX21" s="231">
        <v>41564</v>
      </c>
      <c r="EY21" s="229">
        <v>3.1899999999999998E-2</v>
      </c>
      <c r="EZ21" s="229">
        <v>0.29949999999999999</v>
      </c>
      <c r="FA21" s="227" t="s">
        <v>566</v>
      </c>
      <c r="FB21" s="161">
        <f t="shared" si="0"/>
        <v>38523125</v>
      </c>
    </row>
    <row r="22" spans="1:158" ht="17.25" thickBot="1" x14ac:dyDescent="0.3">
      <c r="A22" s="226">
        <v>46135</v>
      </c>
      <c r="B22" s="227" t="s">
        <v>162</v>
      </c>
      <c r="C22" s="227" t="s">
        <v>174</v>
      </c>
      <c r="D22" s="228">
        <v>75</v>
      </c>
      <c r="E22" s="231">
        <v>9574</v>
      </c>
      <c r="F22" s="231">
        <v>9635</v>
      </c>
      <c r="G22" s="228">
        <v>-61</v>
      </c>
      <c r="H22" s="229">
        <v>-6.3E-3</v>
      </c>
      <c r="I22" s="231">
        <v>9550.5</v>
      </c>
      <c r="J22" s="231">
        <v>9602</v>
      </c>
      <c r="K22" s="228">
        <v>-51.5</v>
      </c>
      <c r="L22" s="229">
        <v>-5.4000000000000003E-3</v>
      </c>
      <c r="M22" s="231">
        <v>9574</v>
      </c>
      <c r="N22" s="231">
        <v>9635</v>
      </c>
      <c r="O22" s="228">
        <v>-61</v>
      </c>
      <c r="P22" s="229">
        <v>-6.3E-3</v>
      </c>
      <c r="Q22" s="231">
        <v>9564.5</v>
      </c>
      <c r="R22" s="231">
        <v>9635</v>
      </c>
      <c r="S22" s="228">
        <v>-70.5</v>
      </c>
      <c r="T22" s="229">
        <v>-7.3000000000000001E-3</v>
      </c>
      <c r="U22" s="231">
        <v>9573</v>
      </c>
      <c r="V22" s="231">
        <v>9636</v>
      </c>
      <c r="W22" s="228">
        <v>-63</v>
      </c>
      <c r="X22" s="229">
        <v>-6.4999999999999997E-3</v>
      </c>
      <c r="Y22" s="228">
        <v>23.5</v>
      </c>
      <c r="Z22" s="228">
        <v>33</v>
      </c>
      <c r="AA22" s="228">
        <v>-9.5</v>
      </c>
      <c r="AB22" s="229">
        <v>2.5000000000000001E-3</v>
      </c>
      <c r="AC22" s="228">
        <v>23.5</v>
      </c>
      <c r="AD22" s="228">
        <v>33</v>
      </c>
      <c r="AE22" s="228">
        <v>-9.5</v>
      </c>
      <c r="AF22" s="229">
        <v>2.5000000000000001E-3</v>
      </c>
      <c r="AG22" s="228">
        <v>14</v>
      </c>
      <c r="AH22" s="228">
        <v>33</v>
      </c>
      <c r="AI22" s="228">
        <v>-19</v>
      </c>
      <c r="AJ22" s="229">
        <v>1.5E-3</v>
      </c>
      <c r="AK22" s="228">
        <v>22.5</v>
      </c>
      <c r="AL22" s="228">
        <v>34</v>
      </c>
      <c r="AM22" s="228">
        <v>-11.5</v>
      </c>
      <c r="AN22" s="229">
        <v>2.3999999999999998E-3</v>
      </c>
      <c r="AO22" s="231">
        <v>9564.44</v>
      </c>
      <c r="AP22" s="231">
        <v>9547.92</v>
      </c>
      <c r="AQ22" s="228">
        <v>0</v>
      </c>
      <c r="AR22" s="230">
        <v>2171175</v>
      </c>
      <c r="AS22" s="230">
        <v>601500</v>
      </c>
      <c r="AT22" s="230">
        <v>1569675</v>
      </c>
      <c r="AU22" s="229">
        <v>2.6095999999999999</v>
      </c>
      <c r="AV22" s="230">
        <v>1098750</v>
      </c>
      <c r="AW22" s="230">
        <v>402150</v>
      </c>
      <c r="AX22" s="230">
        <v>696600</v>
      </c>
      <c r="AY22" s="229">
        <v>1.7322</v>
      </c>
      <c r="AZ22" s="230">
        <v>1060200</v>
      </c>
      <c r="BA22" s="230">
        <v>192375</v>
      </c>
      <c r="BB22" s="230">
        <v>867825</v>
      </c>
      <c r="BC22" s="229">
        <v>4.5110999999999999</v>
      </c>
      <c r="BD22" s="230">
        <v>12225</v>
      </c>
      <c r="BE22" s="230">
        <v>6975</v>
      </c>
      <c r="BF22" s="230">
        <v>5250</v>
      </c>
      <c r="BG22" s="229">
        <v>0.75270000000000004</v>
      </c>
      <c r="BH22" s="230">
        <v>1947450</v>
      </c>
      <c r="BI22" s="230">
        <v>1731375</v>
      </c>
      <c r="BJ22" s="230">
        <v>216075</v>
      </c>
      <c r="BK22" s="229">
        <v>0.12479999999999999</v>
      </c>
      <c r="BL22" s="230">
        <v>1442400</v>
      </c>
      <c r="BM22" s="230">
        <v>1080075</v>
      </c>
      <c r="BN22" s="230">
        <v>362325</v>
      </c>
      <c r="BO22" s="229">
        <v>0.33550000000000002</v>
      </c>
      <c r="BP22" s="230">
        <v>5561025</v>
      </c>
      <c r="BQ22" s="230">
        <v>3412950</v>
      </c>
      <c r="BR22" s="230">
        <v>2148075</v>
      </c>
      <c r="BS22" s="229">
        <v>0.62939999999999996</v>
      </c>
      <c r="BT22" s="230">
        <v>470269</v>
      </c>
      <c r="BU22" s="230">
        <v>314512</v>
      </c>
      <c r="BV22" s="230">
        <v>155757</v>
      </c>
      <c r="BW22" s="229">
        <v>0.49519999999999997</v>
      </c>
      <c r="BX22" s="230">
        <v>2833800</v>
      </c>
      <c r="BY22" s="230">
        <v>3072600</v>
      </c>
      <c r="BZ22" s="230">
        <v>-238800</v>
      </c>
      <c r="CA22" s="229">
        <v>-7.7700000000000005E-2</v>
      </c>
      <c r="CB22" s="230">
        <v>1747950</v>
      </c>
      <c r="CC22" s="230">
        <v>2610525</v>
      </c>
      <c r="CD22" s="230">
        <v>-862575</v>
      </c>
      <c r="CE22" s="229">
        <v>-0.33040000000000003</v>
      </c>
      <c r="CF22" s="230">
        <v>1053900</v>
      </c>
      <c r="CG22" s="230">
        <v>438225</v>
      </c>
      <c r="CH22" s="230">
        <v>615675</v>
      </c>
      <c r="CI22" s="229">
        <v>1.4049</v>
      </c>
      <c r="CJ22" s="230">
        <v>31950</v>
      </c>
      <c r="CK22" s="230">
        <v>23850</v>
      </c>
      <c r="CL22" s="230">
        <v>8100</v>
      </c>
      <c r="CM22" s="229">
        <v>0.33960000000000001</v>
      </c>
      <c r="CN22" s="230">
        <v>1306200</v>
      </c>
      <c r="CO22" s="230">
        <v>1317000</v>
      </c>
      <c r="CP22" s="230">
        <v>-10800</v>
      </c>
      <c r="CQ22" s="229">
        <v>-8.2000000000000007E-3</v>
      </c>
      <c r="CR22" s="230">
        <v>1212075</v>
      </c>
      <c r="CS22" s="230">
        <v>1134525</v>
      </c>
      <c r="CT22" s="230">
        <v>77550</v>
      </c>
      <c r="CU22" s="229">
        <v>6.8400000000000002E-2</v>
      </c>
      <c r="CV22" s="230">
        <v>5352075</v>
      </c>
      <c r="CW22" s="230">
        <v>5524125</v>
      </c>
      <c r="CX22" s="230">
        <v>-172050</v>
      </c>
      <c r="CY22" s="229">
        <v>-3.1099999999999999E-2</v>
      </c>
      <c r="CZ22" s="228">
        <v>30.01</v>
      </c>
      <c r="DA22" s="228">
        <v>28.38</v>
      </c>
      <c r="DB22" s="228">
        <v>1.63</v>
      </c>
      <c r="DC22" s="228">
        <v>1.63</v>
      </c>
      <c r="DD22" s="228">
        <v>29.52</v>
      </c>
      <c r="DE22" s="228">
        <v>29.58</v>
      </c>
      <c r="DF22" s="228">
        <v>0.49</v>
      </c>
      <c r="DG22" s="228">
        <v>-0.06</v>
      </c>
      <c r="DH22" s="228">
        <v>30.37</v>
      </c>
      <c r="DI22" s="228">
        <v>26.44</v>
      </c>
      <c r="DJ22" s="228">
        <v>3.93</v>
      </c>
      <c r="DK22" s="228">
        <v>3.93</v>
      </c>
      <c r="DL22" s="228">
        <v>29.67</v>
      </c>
      <c r="DM22" s="228">
        <v>31.47</v>
      </c>
      <c r="DN22" s="228">
        <v>-1.8</v>
      </c>
      <c r="DO22" s="228">
        <v>-1.8</v>
      </c>
      <c r="DP22" s="228">
        <v>0.93</v>
      </c>
      <c r="DQ22" s="228">
        <v>0.86</v>
      </c>
      <c r="DR22" s="228">
        <v>7.0000000000000007E-2</v>
      </c>
      <c r="DS22" s="229">
        <v>8.14E-2</v>
      </c>
      <c r="DT22" s="231">
        <v>9800</v>
      </c>
      <c r="DU22" s="231">
        <v>8000</v>
      </c>
      <c r="DV22" s="228">
        <v>0.74</v>
      </c>
      <c r="DW22" s="228">
        <v>0.62</v>
      </c>
      <c r="DX22" s="228">
        <v>0.12</v>
      </c>
      <c r="DY22" s="229">
        <v>0.19350000000000001</v>
      </c>
      <c r="DZ22" s="229">
        <v>0.38319999999999999</v>
      </c>
      <c r="EA22" s="230">
        <v>462075</v>
      </c>
      <c r="EB22" s="229">
        <v>-1E-3</v>
      </c>
      <c r="EC22" s="229">
        <v>0.38319999999999999</v>
      </c>
      <c r="ED22" s="228">
        <v>-16.52</v>
      </c>
      <c r="EE22" s="229">
        <v>-1.6999999999999999E-3</v>
      </c>
      <c r="EF22" s="230">
        <v>289912</v>
      </c>
      <c r="EG22" s="230">
        <v>191744</v>
      </c>
      <c r="EH22" s="229">
        <v>0.51200000000000001</v>
      </c>
      <c r="EI22" s="229">
        <v>0.61650000000000005</v>
      </c>
      <c r="EJ22" s="231">
        <v>192513.03</v>
      </c>
      <c r="EK22" s="231">
        <v>135271.45000000001</v>
      </c>
      <c r="EL22" s="231">
        <v>207483.13</v>
      </c>
      <c r="EM22" s="231">
        <v>5450</v>
      </c>
      <c r="EN22" s="231">
        <v>535267.61</v>
      </c>
      <c r="EO22" s="231">
        <v>334307.07</v>
      </c>
      <c r="EP22" s="231">
        <v>200960.54</v>
      </c>
      <c r="EQ22" s="229">
        <v>0.60109999999999997</v>
      </c>
      <c r="ER22" s="231">
        <v>127953</v>
      </c>
      <c r="ES22" s="231">
        <v>109637</v>
      </c>
      <c r="ET22" s="231">
        <v>271208</v>
      </c>
      <c r="EU22" s="231">
        <v>12553818</v>
      </c>
      <c r="EV22" s="231">
        <v>508797</v>
      </c>
      <c r="EW22" s="231">
        <v>528292</v>
      </c>
      <c r="EX22" s="231">
        <v>-19495</v>
      </c>
      <c r="EY22" s="229">
        <v>-3.6900000000000002E-2</v>
      </c>
      <c r="EZ22" s="229">
        <v>0.42630000000000001</v>
      </c>
      <c r="FA22" s="227" t="s">
        <v>567</v>
      </c>
      <c r="FB22" s="161">
        <f t="shared" si="0"/>
        <v>1085850</v>
      </c>
    </row>
    <row r="23" spans="1:158" ht="17.25" thickBot="1" x14ac:dyDescent="0.3">
      <c r="A23" s="226">
        <v>46135</v>
      </c>
      <c r="B23" s="227" t="s">
        <v>175</v>
      </c>
      <c r="C23" s="227" t="s">
        <v>176</v>
      </c>
      <c r="D23" s="228">
        <v>250</v>
      </c>
      <c r="E23" s="231">
        <v>1789.4</v>
      </c>
      <c r="F23" s="231">
        <v>1845.8</v>
      </c>
      <c r="G23" s="228">
        <v>-56.4</v>
      </c>
      <c r="H23" s="229">
        <v>-3.0599999999999999E-2</v>
      </c>
      <c r="I23" s="231">
        <v>1792.6</v>
      </c>
      <c r="J23" s="231">
        <v>1842.9</v>
      </c>
      <c r="K23" s="228">
        <v>-50.3</v>
      </c>
      <c r="L23" s="229">
        <v>-2.7300000000000001E-2</v>
      </c>
      <c r="M23" s="231">
        <v>1789.4</v>
      </c>
      <c r="N23" s="231">
        <v>1845.8</v>
      </c>
      <c r="O23" s="228">
        <v>-56.4</v>
      </c>
      <c r="P23" s="229">
        <v>-3.0599999999999999E-2</v>
      </c>
      <c r="Q23" s="231">
        <v>1799.8</v>
      </c>
      <c r="R23" s="231">
        <v>1855.2</v>
      </c>
      <c r="S23" s="228">
        <v>-55.4</v>
      </c>
      <c r="T23" s="229">
        <v>-2.9899999999999999E-2</v>
      </c>
      <c r="U23" s="231">
        <v>1809.3</v>
      </c>
      <c r="V23" s="231">
        <v>1868.2</v>
      </c>
      <c r="W23" s="228">
        <v>-58.9</v>
      </c>
      <c r="X23" s="229">
        <v>-3.15E-2</v>
      </c>
      <c r="Y23" s="228">
        <v>-3.2</v>
      </c>
      <c r="Z23" s="228">
        <v>2.9</v>
      </c>
      <c r="AA23" s="228">
        <v>-6.1</v>
      </c>
      <c r="AB23" s="229">
        <v>-1.8E-3</v>
      </c>
      <c r="AC23" s="228">
        <v>-3.2</v>
      </c>
      <c r="AD23" s="228">
        <v>2.9</v>
      </c>
      <c r="AE23" s="228">
        <v>-6.1</v>
      </c>
      <c r="AF23" s="229">
        <v>-1.8E-3</v>
      </c>
      <c r="AG23" s="228">
        <v>7.2</v>
      </c>
      <c r="AH23" s="228">
        <v>12.3</v>
      </c>
      <c r="AI23" s="228">
        <v>-5.0999999999999996</v>
      </c>
      <c r="AJ23" s="229">
        <v>4.0000000000000001E-3</v>
      </c>
      <c r="AK23" s="228">
        <v>16.7</v>
      </c>
      <c r="AL23" s="228">
        <v>25.3</v>
      </c>
      <c r="AM23" s="228">
        <v>-8.6</v>
      </c>
      <c r="AN23" s="229">
        <v>9.2999999999999992E-3</v>
      </c>
      <c r="AO23" s="231">
        <v>1801.67</v>
      </c>
      <c r="AP23" s="231">
        <v>1812.16</v>
      </c>
      <c r="AQ23" s="228">
        <v>0</v>
      </c>
      <c r="AR23" s="230">
        <v>4875500</v>
      </c>
      <c r="AS23" s="230">
        <v>1539500</v>
      </c>
      <c r="AT23" s="230">
        <v>3336000</v>
      </c>
      <c r="AU23" s="229">
        <v>2.1669</v>
      </c>
      <c r="AV23" s="230">
        <v>2565750</v>
      </c>
      <c r="AW23" s="230">
        <v>981500</v>
      </c>
      <c r="AX23" s="230">
        <v>1584250</v>
      </c>
      <c r="AY23" s="229">
        <v>1.6141000000000001</v>
      </c>
      <c r="AZ23" s="230">
        <v>2259500</v>
      </c>
      <c r="BA23" s="230">
        <v>526000</v>
      </c>
      <c r="BB23" s="230">
        <v>1733500</v>
      </c>
      <c r="BC23" s="229">
        <v>3.2955999999999999</v>
      </c>
      <c r="BD23" s="230">
        <v>50250</v>
      </c>
      <c r="BE23" s="230">
        <v>32000</v>
      </c>
      <c r="BF23" s="230">
        <v>18250</v>
      </c>
      <c r="BG23" s="229">
        <v>0.57030000000000003</v>
      </c>
      <c r="BH23" s="230">
        <v>6221000</v>
      </c>
      <c r="BI23" s="230">
        <v>2795000</v>
      </c>
      <c r="BJ23" s="230">
        <v>3426000</v>
      </c>
      <c r="BK23" s="229">
        <v>1.2258</v>
      </c>
      <c r="BL23" s="230">
        <v>4215750</v>
      </c>
      <c r="BM23" s="230">
        <v>2453500</v>
      </c>
      <c r="BN23" s="230">
        <v>1762250</v>
      </c>
      <c r="BO23" s="229">
        <v>0.71830000000000005</v>
      </c>
      <c r="BP23" s="230">
        <v>15312250</v>
      </c>
      <c r="BQ23" s="230">
        <v>6788000</v>
      </c>
      <c r="BR23" s="230">
        <v>8524250</v>
      </c>
      <c r="BS23" s="229">
        <v>1.2558</v>
      </c>
      <c r="BT23" s="230">
        <v>930337</v>
      </c>
      <c r="BU23" s="230">
        <v>756811</v>
      </c>
      <c r="BV23" s="230">
        <v>173526</v>
      </c>
      <c r="BW23" s="229">
        <v>0.2293</v>
      </c>
      <c r="BX23" s="230">
        <v>10881750</v>
      </c>
      <c r="BY23" s="230">
        <v>10897000</v>
      </c>
      <c r="BZ23" s="230">
        <v>-15250</v>
      </c>
      <c r="CA23" s="229">
        <v>-1.4E-3</v>
      </c>
      <c r="CB23" s="230">
        <v>6179750</v>
      </c>
      <c r="CC23" s="230">
        <v>8207000</v>
      </c>
      <c r="CD23" s="230">
        <v>-2027250</v>
      </c>
      <c r="CE23" s="229">
        <v>-0.247</v>
      </c>
      <c r="CF23" s="230">
        <v>4317000</v>
      </c>
      <c r="CG23" s="230">
        <v>2337500</v>
      </c>
      <c r="CH23" s="230">
        <v>1979500</v>
      </c>
      <c r="CI23" s="229">
        <v>0.8468</v>
      </c>
      <c r="CJ23" s="230">
        <v>385000</v>
      </c>
      <c r="CK23" s="230">
        <v>352500</v>
      </c>
      <c r="CL23" s="230">
        <v>32500</v>
      </c>
      <c r="CM23" s="229">
        <v>9.2200000000000004E-2</v>
      </c>
      <c r="CN23" s="230">
        <v>4157750</v>
      </c>
      <c r="CO23" s="230">
        <v>3691750</v>
      </c>
      <c r="CP23" s="230">
        <v>466000</v>
      </c>
      <c r="CQ23" s="229">
        <v>0.12620000000000001</v>
      </c>
      <c r="CR23" s="230">
        <v>3673000</v>
      </c>
      <c r="CS23" s="230">
        <v>3620000</v>
      </c>
      <c r="CT23" s="230">
        <v>53000</v>
      </c>
      <c r="CU23" s="229">
        <v>1.46E-2</v>
      </c>
      <c r="CV23" s="230">
        <v>18712500</v>
      </c>
      <c r="CW23" s="230">
        <v>18208750</v>
      </c>
      <c r="CX23" s="230">
        <v>503750</v>
      </c>
      <c r="CY23" s="229">
        <v>2.7699999999999999E-2</v>
      </c>
      <c r="CZ23" s="228">
        <v>31.42</v>
      </c>
      <c r="DA23" s="228">
        <v>29.84</v>
      </c>
      <c r="DB23" s="228">
        <v>1.58</v>
      </c>
      <c r="DC23" s="228">
        <v>1.58</v>
      </c>
      <c r="DD23" s="228">
        <v>30.66</v>
      </c>
      <c r="DE23" s="228">
        <v>30.45</v>
      </c>
      <c r="DF23" s="228">
        <v>0.76</v>
      </c>
      <c r="DG23" s="228">
        <v>0.21</v>
      </c>
      <c r="DH23" s="228">
        <v>31.33</v>
      </c>
      <c r="DI23" s="228">
        <v>26.88</v>
      </c>
      <c r="DJ23" s="228">
        <v>4.45</v>
      </c>
      <c r="DK23" s="228">
        <v>4.45</v>
      </c>
      <c r="DL23" s="228">
        <v>31.58</v>
      </c>
      <c r="DM23" s="228">
        <v>33.22</v>
      </c>
      <c r="DN23" s="228">
        <v>-1.64</v>
      </c>
      <c r="DO23" s="228">
        <v>-1.64</v>
      </c>
      <c r="DP23" s="228">
        <v>0.88</v>
      </c>
      <c r="DQ23" s="228">
        <v>0.98</v>
      </c>
      <c r="DR23" s="228">
        <v>-0.1</v>
      </c>
      <c r="DS23" s="229">
        <v>-0.10199999999999999</v>
      </c>
      <c r="DT23" s="231">
        <v>1800</v>
      </c>
      <c r="DU23" s="231">
        <v>1760</v>
      </c>
      <c r="DV23" s="228">
        <v>0.68</v>
      </c>
      <c r="DW23" s="228">
        <v>0.88</v>
      </c>
      <c r="DX23" s="228">
        <v>-0.2</v>
      </c>
      <c r="DY23" s="229">
        <v>-0.2273</v>
      </c>
      <c r="DZ23" s="229">
        <v>0.43209999999999998</v>
      </c>
      <c r="EA23" s="230">
        <v>2690000</v>
      </c>
      <c r="EB23" s="229">
        <v>5.7999999999999996E-3</v>
      </c>
      <c r="EC23" s="229">
        <v>0.43209999999999998</v>
      </c>
      <c r="ED23" s="228">
        <v>10.49</v>
      </c>
      <c r="EE23" s="229">
        <v>5.7999999999999996E-3</v>
      </c>
      <c r="EF23" s="230">
        <v>450377</v>
      </c>
      <c r="EG23" s="230">
        <v>385731</v>
      </c>
      <c r="EH23" s="229">
        <v>0.1676</v>
      </c>
      <c r="EI23" s="229">
        <v>0.48409999999999997</v>
      </c>
      <c r="EJ23" s="231">
        <v>116066.63</v>
      </c>
      <c r="EK23" s="231">
        <v>74287.02</v>
      </c>
      <c r="EL23" s="231">
        <v>88089.02</v>
      </c>
      <c r="EM23" s="231">
        <v>4459</v>
      </c>
      <c r="EN23" s="231">
        <v>278442.67</v>
      </c>
      <c r="EO23" s="231">
        <v>125343.5</v>
      </c>
      <c r="EP23" s="231">
        <v>153099.17000000001</v>
      </c>
      <c r="EQ23" s="229">
        <v>1.2214</v>
      </c>
      <c r="ER23" s="231">
        <v>75826</v>
      </c>
      <c r="ES23" s="231">
        <v>63118</v>
      </c>
      <c r="ET23" s="231">
        <v>195244</v>
      </c>
      <c r="EU23" s="231">
        <v>65784745</v>
      </c>
      <c r="EV23" s="231">
        <v>334188</v>
      </c>
      <c r="EW23" s="231">
        <v>330911</v>
      </c>
      <c r="EX23" s="231">
        <v>3277</v>
      </c>
      <c r="EY23" s="229">
        <v>9.9000000000000008E-3</v>
      </c>
      <c r="EZ23" s="229">
        <v>0.28449999999999998</v>
      </c>
      <c r="FA23" s="227" t="s">
        <v>567</v>
      </c>
      <c r="FB23" s="161">
        <f t="shared" si="0"/>
        <v>4702000</v>
      </c>
    </row>
    <row r="24" spans="1:158" ht="17.25" thickBot="1" x14ac:dyDescent="0.3">
      <c r="A24" s="226">
        <v>46135</v>
      </c>
      <c r="B24" s="227" t="s">
        <v>175</v>
      </c>
      <c r="C24" s="227" t="s">
        <v>689</v>
      </c>
      <c r="D24" s="228">
        <v>50</v>
      </c>
      <c r="E24" s="231">
        <v>10375.5</v>
      </c>
      <c r="F24" s="231">
        <v>10401.5</v>
      </c>
      <c r="G24" s="228">
        <v>-26</v>
      </c>
      <c r="H24" s="229">
        <v>-2.5000000000000001E-3</v>
      </c>
      <c r="I24" s="231">
        <v>10376.5</v>
      </c>
      <c r="J24" s="231">
        <v>10376</v>
      </c>
      <c r="K24" s="228">
        <v>0.5</v>
      </c>
      <c r="L24" s="229">
        <v>0</v>
      </c>
      <c r="M24" s="231">
        <v>10375.5</v>
      </c>
      <c r="N24" s="231">
        <v>10401.5</v>
      </c>
      <c r="O24" s="228">
        <v>-26</v>
      </c>
      <c r="P24" s="229">
        <v>-2.5000000000000001E-3</v>
      </c>
      <c r="Q24" s="231">
        <v>10416.5</v>
      </c>
      <c r="R24" s="231">
        <v>10446.5</v>
      </c>
      <c r="S24" s="228">
        <v>-30</v>
      </c>
      <c r="T24" s="229">
        <v>-2.8999999999999998E-3</v>
      </c>
      <c r="U24" s="231">
        <v>10427.5</v>
      </c>
      <c r="V24" s="231">
        <v>10500.5</v>
      </c>
      <c r="W24" s="228">
        <v>-73</v>
      </c>
      <c r="X24" s="229">
        <v>-7.0000000000000001E-3</v>
      </c>
      <c r="Y24" s="228">
        <v>-1</v>
      </c>
      <c r="Z24" s="228">
        <v>25.5</v>
      </c>
      <c r="AA24" s="228">
        <v>-26.5</v>
      </c>
      <c r="AB24" s="229">
        <v>-1E-4</v>
      </c>
      <c r="AC24" s="228">
        <v>-1</v>
      </c>
      <c r="AD24" s="228">
        <v>25.5</v>
      </c>
      <c r="AE24" s="228">
        <v>-26.5</v>
      </c>
      <c r="AF24" s="229">
        <v>-1E-4</v>
      </c>
      <c r="AG24" s="228">
        <v>40</v>
      </c>
      <c r="AH24" s="228">
        <v>70.5</v>
      </c>
      <c r="AI24" s="228">
        <v>-30.5</v>
      </c>
      <c r="AJ24" s="229">
        <v>3.8999999999999998E-3</v>
      </c>
      <c r="AK24" s="228">
        <v>51</v>
      </c>
      <c r="AL24" s="228">
        <v>124.5</v>
      </c>
      <c r="AM24" s="228">
        <v>-73.5</v>
      </c>
      <c r="AN24" s="229">
        <v>4.8999999999999998E-3</v>
      </c>
      <c r="AO24" s="231">
        <v>10407.02</v>
      </c>
      <c r="AP24" s="231">
        <v>10456.9</v>
      </c>
      <c r="AQ24" s="228">
        <v>0</v>
      </c>
      <c r="AR24" s="230">
        <v>185100</v>
      </c>
      <c r="AS24" s="230">
        <v>36150</v>
      </c>
      <c r="AT24" s="230">
        <v>148950</v>
      </c>
      <c r="AU24" s="229">
        <v>4.1203000000000003</v>
      </c>
      <c r="AV24" s="230">
        <v>100600</v>
      </c>
      <c r="AW24" s="230">
        <v>28600</v>
      </c>
      <c r="AX24" s="230">
        <v>72000</v>
      </c>
      <c r="AY24" s="229">
        <v>2.5175000000000001</v>
      </c>
      <c r="AZ24" s="230">
        <v>83950</v>
      </c>
      <c r="BA24" s="230">
        <v>7400</v>
      </c>
      <c r="BB24" s="230">
        <v>76550</v>
      </c>
      <c r="BC24" s="229">
        <v>10.3446</v>
      </c>
      <c r="BD24" s="228">
        <v>550</v>
      </c>
      <c r="BE24" s="228">
        <v>150</v>
      </c>
      <c r="BF24" s="228">
        <v>400</v>
      </c>
      <c r="BG24" s="229">
        <v>2.6667000000000001</v>
      </c>
      <c r="BH24" s="230">
        <v>123450</v>
      </c>
      <c r="BI24" s="230">
        <v>109800</v>
      </c>
      <c r="BJ24" s="230">
        <v>13650</v>
      </c>
      <c r="BK24" s="229">
        <v>0.12429999999999999</v>
      </c>
      <c r="BL24" s="230">
        <v>140650</v>
      </c>
      <c r="BM24" s="230">
        <v>197150</v>
      </c>
      <c r="BN24" s="230">
        <v>-56500</v>
      </c>
      <c r="BO24" s="229">
        <v>-0.28660000000000002</v>
      </c>
      <c r="BP24" s="230">
        <v>449200</v>
      </c>
      <c r="BQ24" s="230">
        <v>343100</v>
      </c>
      <c r="BR24" s="230">
        <v>106100</v>
      </c>
      <c r="BS24" s="229">
        <v>0.30919999999999997</v>
      </c>
      <c r="BT24" s="230">
        <v>51487</v>
      </c>
      <c r="BU24" s="230">
        <v>27329</v>
      </c>
      <c r="BV24" s="230">
        <v>24158</v>
      </c>
      <c r="BW24" s="229">
        <v>0.88400000000000001</v>
      </c>
      <c r="BX24" s="230">
        <v>279800</v>
      </c>
      <c r="BY24" s="230">
        <v>287000</v>
      </c>
      <c r="BZ24" s="230">
        <v>-7200</v>
      </c>
      <c r="CA24" s="229">
        <v>-2.5100000000000001E-2</v>
      </c>
      <c r="CB24" s="230">
        <v>178400</v>
      </c>
      <c r="CC24" s="230">
        <v>245650</v>
      </c>
      <c r="CD24" s="230">
        <v>-67250</v>
      </c>
      <c r="CE24" s="229">
        <v>-0.27379999999999999</v>
      </c>
      <c r="CF24" s="230">
        <v>99800</v>
      </c>
      <c r="CG24" s="230">
        <v>39900</v>
      </c>
      <c r="CH24" s="230">
        <v>59900</v>
      </c>
      <c r="CI24" s="229">
        <v>1.5013000000000001</v>
      </c>
      <c r="CJ24" s="230">
        <v>1600</v>
      </c>
      <c r="CK24" s="230">
        <v>1450</v>
      </c>
      <c r="CL24" s="228">
        <v>150</v>
      </c>
      <c r="CM24" s="229">
        <v>0.10340000000000001</v>
      </c>
      <c r="CN24" s="230">
        <v>72450</v>
      </c>
      <c r="CO24" s="230">
        <v>73900</v>
      </c>
      <c r="CP24" s="230">
        <v>-1450</v>
      </c>
      <c r="CQ24" s="229">
        <v>-1.9599999999999999E-2</v>
      </c>
      <c r="CR24" s="230">
        <v>50000</v>
      </c>
      <c r="CS24" s="230">
        <v>55350</v>
      </c>
      <c r="CT24" s="230">
        <v>-5350</v>
      </c>
      <c r="CU24" s="229">
        <v>-9.6699999999999994E-2</v>
      </c>
      <c r="CV24" s="230">
        <v>402250</v>
      </c>
      <c r="CW24" s="230">
        <v>416250</v>
      </c>
      <c r="CX24" s="230">
        <v>-14000</v>
      </c>
      <c r="CY24" s="229">
        <v>-3.3599999999999998E-2</v>
      </c>
      <c r="CZ24" s="228">
        <v>32.020000000000003</v>
      </c>
      <c r="DA24" s="228">
        <v>47.52</v>
      </c>
      <c r="DB24" s="228">
        <v>-15.5</v>
      </c>
      <c r="DC24" s="228">
        <v>-15.5</v>
      </c>
      <c r="DD24" s="228">
        <v>38.64</v>
      </c>
      <c r="DE24" s="228">
        <v>38.74</v>
      </c>
      <c r="DF24" s="228">
        <v>-6.62</v>
      </c>
      <c r="DG24" s="228">
        <v>-0.1</v>
      </c>
      <c r="DH24" s="228">
        <v>32.21</v>
      </c>
      <c r="DI24" s="228">
        <v>41.93</v>
      </c>
      <c r="DJ24" s="228">
        <v>-9.7200000000000006</v>
      </c>
      <c r="DK24" s="228">
        <v>-9.7200000000000006</v>
      </c>
      <c r="DL24" s="228">
        <v>31.24</v>
      </c>
      <c r="DM24" s="228">
        <v>50.63</v>
      </c>
      <c r="DN24" s="228">
        <v>-19.39</v>
      </c>
      <c r="DO24" s="228">
        <v>-19.39</v>
      </c>
      <c r="DP24" s="228">
        <v>0.69</v>
      </c>
      <c r="DQ24" s="228">
        <v>0.75</v>
      </c>
      <c r="DR24" s="228">
        <v>-0.06</v>
      </c>
      <c r="DS24" s="229">
        <v>-0.08</v>
      </c>
      <c r="DT24" s="231">
        <v>11000</v>
      </c>
      <c r="DU24" s="231">
        <v>9500</v>
      </c>
      <c r="DV24" s="228">
        <v>1.1399999999999999</v>
      </c>
      <c r="DW24" s="228">
        <v>1.8</v>
      </c>
      <c r="DX24" s="228">
        <v>-0.66</v>
      </c>
      <c r="DY24" s="229">
        <v>-0.36670000000000003</v>
      </c>
      <c r="DZ24" s="229">
        <v>0.3624</v>
      </c>
      <c r="EA24" s="230">
        <v>41350</v>
      </c>
      <c r="EB24" s="229">
        <v>4.0000000000000001E-3</v>
      </c>
      <c r="EC24" s="229">
        <v>0.3624</v>
      </c>
      <c r="ED24" s="228">
        <v>49.88</v>
      </c>
      <c r="EE24" s="229">
        <v>4.7999999999999996E-3</v>
      </c>
      <c r="EF24" s="230">
        <v>21939</v>
      </c>
      <c r="EG24" s="230">
        <v>15733</v>
      </c>
      <c r="EH24" s="229">
        <v>0.39450000000000002</v>
      </c>
      <c r="EI24" s="229">
        <v>0.42609999999999998</v>
      </c>
      <c r="EJ24" s="231">
        <v>13764.31</v>
      </c>
      <c r="EK24" s="231">
        <v>12316.82</v>
      </c>
      <c r="EL24" s="231">
        <v>19305.8</v>
      </c>
      <c r="EM24" s="228">
        <v>727</v>
      </c>
      <c r="EN24" s="231">
        <v>45386.93</v>
      </c>
      <c r="EO24" s="231">
        <v>34809.01</v>
      </c>
      <c r="EP24" s="231">
        <v>10577.92</v>
      </c>
      <c r="EQ24" s="229">
        <v>0.3039</v>
      </c>
      <c r="ER24" s="231">
        <v>7451</v>
      </c>
      <c r="ES24" s="231">
        <v>4682</v>
      </c>
      <c r="ET24" s="231">
        <v>29072</v>
      </c>
      <c r="EU24" s="231">
        <v>5401993</v>
      </c>
      <c r="EV24" s="231">
        <v>41205</v>
      </c>
      <c r="EW24" s="231">
        <v>42584</v>
      </c>
      <c r="EX24" s="231">
        <v>-1379</v>
      </c>
      <c r="EY24" s="229">
        <v>-3.2399999999999998E-2</v>
      </c>
      <c r="EZ24" s="229">
        <v>7.4499999999999997E-2</v>
      </c>
      <c r="FA24" s="227" t="s">
        <v>567</v>
      </c>
      <c r="FB24" s="161">
        <f t="shared" si="0"/>
        <v>101400</v>
      </c>
    </row>
    <row r="25" spans="1:158" ht="17.25" thickBot="1" x14ac:dyDescent="0.3">
      <c r="A25" s="226">
        <v>46135</v>
      </c>
      <c r="B25" s="227" t="s">
        <v>175</v>
      </c>
      <c r="C25" s="227" t="s">
        <v>177</v>
      </c>
      <c r="D25" s="228">
        <v>750</v>
      </c>
      <c r="E25" s="228">
        <v>916.75</v>
      </c>
      <c r="F25" s="228">
        <v>933.8</v>
      </c>
      <c r="G25" s="228">
        <v>-17.05</v>
      </c>
      <c r="H25" s="229">
        <v>-1.83E-2</v>
      </c>
      <c r="I25" s="228">
        <v>918.35</v>
      </c>
      <c r="J25" s="228">
        <v>934.75</v>
      </c>
      <c r="K25" s="228">
        <v>-16.399999999999999</v>
      </c>
      <c r="L25" s="229">
        <v>-1.7500000000000002E-2</v>
      </c>
      <c r="M25" s="228">
        <v>916.75</v>
      </c>
      <c r="N25" s="228">
        <v>933.8</v>
      </c>
      <c r="O25" s="228">
        <v>-17.05</v>
      </c>
      <c r="P25" s="229">
        <v>-1.83E-2</v>
      </c>
      <c r="Q25" s="228">
        <v>920.3</v>
      </c>
      <c r="R25" s="228">
        <v>938.35</v>
      </c>
      <c r="S25" s="228">
        <v>-18.05</v>
      </c>
      <c r="T25" s="229">
        <v>-1.9199999999999998E-2</v>
      </c>
      <c r="U25" s="228">
        <v>922.3</v>
      </c>
      <c r="V25" s="228">
        <v>940.65</v>
      </c>
      <c r="W25" s="228">
        <v>-18.350000000000001</v>
      </c>
      <c r="X25" s="229">
        <v>-1.95E-2</v>
      </c>
      <c r="Y25" s="228">
        <v>-1.6</v>
      </c>
      <c r="Z25" s="228">
        <v>-0.95</v>
      </c>
      <c r="AA25" s="228">
        <v>-0.65</v>
      </c>
      <c r="AB25" s="229">
        <v>-1.6999999999999999E-3</v>
      </c>
      <c r="AC25" s="228">
        <v>-1.6</v>
      </c>
      <c r="AD25" s="228">
        <v>-0.95</v>
      </c>
      <c r="AE25" s="228">
        <v>-0.65</v>
      </c>
      <c r="AF25" s="229">
        <v>-1.6999999999999999E-3</v>
      </c>
      <c r="AG25" s="228">
        <v>1.95</v>
      </c>
      <c r="AH25" s="228">
        <v>3.6</v>
      </c>
      <c r="AI25" s="228">
        <v>-1.65</v>
      </c>
      <c r="AJ25" s="229">
        <v>2.0999999999999999E-3</v>
      </c>
      <c r="AK25" s="228">
        <v>3.95</v>
      </c>
      <c r="AL25" s="228">
        <v>5.9</v>
      </c>
      <c r="AM25" s="228">
        <v>-1.95</v>
      </c>
      <c r="AN25" s="229">
        <v>4.3E-3</v>
      </c>
      <c r="AO25" s="228">
        <v>917.08</v>
      </c>
      <c r="AP25" s="228">
        <v>920.81</v>
      </c>
      <c r="AQ25" s="228">
        <v>0</v>
      </c>
      <c r="AR25" s="230">
        <v>46810500</v>
      </c>
      <c r="AS25" s="230">
        <v>16174500</v>
      </c>
      <c r="AT25" s="230">
        <v>30636000</v>
      </c>
      <c r="AU25" s="229">
        <v>1.8940999999999999</v>
      </c>
      <c r="AV25" s="230">
        <v>24639750</v>
      </c>
      <c r="AW25" s="230">
        <v>9747000</v>
      </c>
      <c r="AX25" s="230">
        <v>14892750</v>
      </c>
      <c r="AY25" s="229">
        <v>1.5279</v>
      </c>
      <c r="AZ25" s="230">
        <v>21786750</v>
      </c>
      <c r="BA25" s="230">
        <v>3490500</v>
      </c>
      <c r="BB25" s="230">
        <v>18296250</v>
      </c>
      <c r="BC25" s="229">
        <v>5.2416999999999998</v>
      </c>
      <c r="BD25" s="230">
        <v>384000</v>
      </c>
      <c r="BE25" s="230">
        <v>2937000</v>
      </c>
      <c r="BF25" s="230">
        <v>-2553000</v>
      </c>
      <c r="BG25" s="229">
        <v>-0.86929999999999996</v>
      </c>
      <c r="BH25" s="230">
        <v>30693000</v>
      </c>
      <c r="BI25" s="230">
        <v>33696000</v>
      </c>
      <c r="BJ25" s="230">
        <v>-3003000</v>
      </c>
      <c r="BK25" s="229">
        <v>-8.9099999999999999E-2</v>
      </c>
      <c r="BL25" s="230">
        <v>22835250</v>
      </c>
      <c r="BM25" s="230">
        <v>21846000</v>
      </c>
      <c r="BN25" s="230">
        <v>989250</v>
      </c>
      <c r="BO25" s="229">
        <v>4.53E-2</v>
      </c>
      <c r="BP25" s="230">
        <v>100338750</v>
      </c>
      <c r="BQ25" s="230">
        <v>71716500</v>
      </c>
      <c r="BR25" s="230">
        <v>28622250</v>
      </c>
      <c r="BS25" s="229">
        <v>0.39910000000000001</v>
      </c>
      <c r="BT25" s="230">
        <v>9912166</v>
      </c>
      <c r="BU25" s="230">
        <v>6268490</v>
      </c>
      <c r="BV25" s="230">
        <v>3643676</v>
      </c>
      <c r="BW25" s="229">
        <v>0.58130000000000004</v>
      </c>
      <c r="BX25" s="230">
        <v>72369750</v>
      </c>
      <c r="BY25" s="230">
        <v>70590750</v>
      </c>
      <c r="BZ25" s="230">
        <v>1779000</v>
      </c>
      <c r="CA25" s="229">
        <v>2.52E-2</v>
      </c>
      <c r="CB25" s="230">
        <v>41298750</v>
      </c>
      <c r="CC25" s="230">
        <v>58491750</v>
      </c>
      <c r="CD25" s="230">
        <v>-17193000</v>
      </c>
      <c r="CE25" s="229">
        <v>-0.29389999999999999</v>
      </c>
      <c r="CF25" s="230">
        <v>27442500</v>
      </c>
      <c r="CG25" s="230">
        <v>8719500</v>
      </c>
      <c r="CH25" s="230">
        <v>18723000</v>
      </c>
      <c r="CI25" s="229">
        <v>2.1473</v>
      </c>
      <c r="CJ25" s="230">
        <v>3628500</v>
      </c>
      <c r="CK25" s="230">
        <v>3379500</v>
      </c>
      <c r="CL25" s="230">
        <v>249000</v>
      </c>
      <c r="CM25" s="229">
        <v>7.3700000000000002E-2</v>
      </c>
      <c r="CN25" s="230">
        <v>22275750</v>
      </c>
      <c r="CO25" s="230">
        <v>22965750</v>
      </c>
      <c r="CP25" s="230">
        <v>-690000</v>
      </c>
      <c r="CQ25" s="229">
        <v>-0.03</v>
      </c>
      <c r="CR25" s="230">
        <v>17733000</v>
      </c>
      <c r="CS25" s="230">
        <v>17719500</v>
      </c>
      <c r="CT25" s="230">
        <v>13500</v>
      </c>
      <c r="CU25" s="229">
        <v>8.0000000000000004E-4</v>
      </c>
      <c r="CV25" s="230">
        <v>112378500</v>
      </c>
      <c r="CW25" s="230">
        <v>111276000</v>
      </c>
      <c r="CX25" s="230">
        <v>1102500</v>
      </c>
      <c r="CY25" s="229">
        <v>9.9000000000000008E-3</v>
      </c>
      <c r="CZ25" s="228">
        <v>35.64</v>
      </c>
      <c r="DA25" s="228">
        <v>33.83</v>
      </c>
      <c r="DB25" s="228">
        <v>1.81</v>
      </c>
      <c r="DC25" s="228">
        <v>1.81</v>
      </c>
      <c r="DD25" s="228">
        <v>35.880000000000003</v>
      </c>
      <c r="DE25" s="228">
        <v>35.89</v>
      </c>
      <c r="DF25" s="228">
        <v>-0.24</v>
      </c>
      <c r="DG25" s="228">
        <v>-0.01</v>
      </c>
      <c r="DH25" s="228">
        <v>35.130000000000003</v>
      </c>
      <c r="DI25" s="228">
        <v>32.28</v>
      </c>
      <c r="DJ25" s="228">
        <v>2.85</v>
      </c>
      <c r="DK25" s="228">
        <v>2.85</v>
      </c>
      <c r="DL25" s="228">
        <v>36.31</v>
      </c>
      <c r="DM25" s="228">
        <v>36.24</v>
      </c>
      <c r="DN25" s="228">
        <v>7.0000000000000007E-2</v>
      </c>
      <c r="DO25" s="228">
        <v>7.0000000000000007E-2</v>
      </c>
      <c r="DP25" s="228">
        <v>0.8</v>
      </c>
      <c r="DQ25" s="228">
        <v>0.77</v>
      </c>
      <c r="DR25" s="228">
        <v>0.03</v>
      </c>
      <c r="DS25" s="229">
        <v>3.9E-2</v>
      </c>
      <c r="DT25" s="228">
        <v>950</v>
      </c>
      <c r="DU25" s="228">
        <v>900</v>
      </c>
      <c r="DV25" s="228">
        <v>0.74</v>
      </c>
      <c r="DW25" s="228">
        <v>0.65</v>
      </c>
      <c r="DX25" s="228">
        <v>0.09</v>
      </c>
      <c r="DY25" s="229">
        <v>0.13850000000000001</v>
      </c>
      <c r="DZ25" s="229">
        <v>0.42930000000000001</v>
      </c>
      <c r="EA25" s="230">
        <v>12099000</v>
      </c>
      <c r="EB25" s="229">
        <v>3.8999999999999998E-3</v>
      </c>
      <c r="EC25" s="229">
        <v>0.42930000000000001</v>
      </c>
      <c r="ED25" s="228">
        <v>3.73</v>
      </c>
      <c r="EE25" s="229">
        <v>4.1000000000000003E-3</v>
      </c>
      <c r="EF25" s="230">
        <v>4867913</v>
      </c>
      <c r="EG25" s="230">
        <v>3398033</v>
      </c>
      <c r="EH25" s="229">
        <v>0.43259999999999998</v>
      </c>
      <c r="EI25" s="229">
        <v>0.49109999999999998</v>
      </c>
      <c r="EJ25" s="231">
        <v>292948.67</v>
      </c>
      <c r="EK25" s="231">
        <v>207032.27</v>
      </c>
      <c r="EL25" s="231">
        <v>430119.7</v>
      </c>
      <c r="EM25" s="231">
        <v>12532</v>
      </c>
      <c r="EN25" s="231">
        <v>930100.64</v>
      </c>
      <c r="EO25" s="231">
        <v>676288.11</v>
      </c>
      <c r="EP25" s="231">
        <v>253812.53</v>
      </c>
      <c r="EQ25" s="229">
        <v>0.37530000000000002</v>
      </c>
      <c r="ER25" s="231">
        <v>206103</v>
      </c>
      <c r="ES25" s="231">
        <v>155109</v>
      </c>
      <c r="ET25" s="231">
        <v>664625</v>
      </c>
      <c r="EU25" s="231">
        <v>387962395</v>
      </c>
      <c r="EV25" s="231">
        <v>1025837</v>
      </c>
      <c r="EW25" s="231">
        <v>1027203</v>
      </c>
      <c r="EX25" s="231">
        <v>-1366</v>
      </c>
      <c r="EY25" s="229">
        <v>-1.2999999999999999E-3</v>
      </c>
      <c r="EZ25" s="229">
        <v>0.28970000000000001</v>
      </c>
      <c r="FA25" s="227" t="s">
        <v>566</v>
      </c>
      <c r="FB25" s="161">
        <f t="shared" si="0"/>
        <v>31071000</v>
      </c>
    </row>
    <row r="26" spans="1:158" ht="17.25" thickBot="1" x14ac:dyDescent="0.3">
      <c r="A26" s="226">
        <v>46135</v>
      </c>
      <c r="B26" s="227" t="s">
        <v>172</v>
      </c>
      <c r="C26" s="227" t="s">
        <v>179</v>
      </c>
      <c r="D26" s="228">
        <v>3600</v>
      </c>
      <c r="E26" s="228">
        <v>173.67</v>
      </c>
      <c r="F26" s="228">
        <v>176.15</v>
      </c>
      <c r="G26" s="228">
        <v>-2.48</v>
      </c>
      <c r="H26" s="229">
        <v>-1.41E-2</v>
      </c>
      <c r="I26" s="228">
        <v>173.9</v>
      </c>
      <c r="J26" s="228">
        <v>176.52</v>
      </c>
      <c r="K26" s="228">
        <v>-2.62</v>
      </c>
      <c r="L26" s="229">
        <v>-1.4800000000000001E-2</v>
      </c>
      <c r="M26" s="228">
        <v>173.67</v>
      </c>
      <c r="N26" s="228">
        <v>176.15</v>
      </c>
      <c r="O26" s="228">
        <v>-2.48</v>
      </c>
      <c r="P26" s="229">
        <v>-1.41E-2</v>
      </c>
      <c r="Q26" s="228">
        <v>174.67</v>
      </c>
      <c r="R26" s="228">
        <v>177.01</v>
      </c>
      <c r="S26" s="228">
        <v>-2.34</v>
      </c>
      <c r="T26" s="229">
        <v>-1.32E-2</v>
      </c>
      <c r="U26" s="228">
        <v>175.83</v>
      </c>
      <c r="V26" s="228">
        <v>178.23</v>
      </c>
      <c r="W26" s="228">
        <v>-2.4</v>
      </c>
      <c r="X26" s="229">
        <v>-1.35E-2</v>
      </c>
      <c r="Y26" s="228">
        <v>-0.23</v>
      </c>
      <c r="Z26" s="228">
        <v>-0.37</v>
      </c>
      <c r="AA26" s="228">
        <v>0.14000000000000001</v>
      </c>
      <c r="AB26" s="229">
        <v>-1.2999999999999999E-3</v>
      </c>
      <c r="AC26" s="228">
        <v>-0.23</v>
      </c>
      <c r="AD26" s="228">
        <v>-0.37</v>
      </c>
      <c r="AE26" s="228">
        <v>0.14000000000000001</v>
      </c>
      <c r="AF26" s="229">
        <v>-1.2999999999999999E-3</v>
      </c>
      <c r="AG26" s="228">
        <v>0.77</v>
      </c>
      <c r="AH26" s="228">
        <v>0.49</v>
      </c>
      <c r="AI26" s="228">
        <v>0.28000000000000003</v>
      </c>
      <c r="AJ26" s="229">
        <v>4.4000000000000003E-3</v>
      </c>
      <c r="AK26" s="228">
        <v>1.93</v>
      </c>
      <c r="AL26" s="228">
        <v>1.71</v>
      </c>
      <c r="AM26" s="228">
        <v>0.22</v>
      </c>
      <c r="AN26" s="229">
        <v>1.11E-2</v>
      </c>
      <c r="AO26" s="228">
        <v>172.79</v>
      </c>
      <c r="AP26" s="228">
        <v>173.74</v>
      </c>
      <c r="AQ26" s="228">
        <v>0</v>
      </c>
      <c r="AR26" s="230">
        <v>37598400</v>
      </c>
      <c r="AS26" s="230">
        <v>20354400</v>
      </c>
      <c r="AT26" s="230">
        <v>17244000</v>
      </c>
      <c r="AU26" s="229">
        <v>0.84719999999999995</v>
      </c>
      <c r="AV26" s="230">
        <v>20343600</v>
      </c>
      <c r="AW26" s="230">
        <v>12787200</v>
      </c>
      <c r="AX26" s="230">
        <v>7556400</v>
      </c>
      <c r="AY26" s="229">
        <v>0.59089999999999998</v>
      </c>
      <c r="AZ26" s="230">
        <v>16905600</v>
      </c>
      <c r="BA26" s="230">
        <v>7426800</v>
      </c>
      <c r="BB26" s="230">
        <v>9478800</v>
      </c>
      <c r="BC26" s="229">
        <v>1.2763</v>
      </c>
      <c r="BD26" s="230">
        <v>349200</v>
      </c>
      <c r="BE26" s="230">
        <v>140400</v>
      </c>
      <c r="BF26" s="230">
        <v>208800</v>
      </c>
      <c r="BG26" s="229">
        <v>1.4872000000000001</v>
      </c>
      <c r="BH26" s="230">
        <v>19818000</v>
      </c>
      <c r="BI26" s="230">
        <v>20736000</v>
      </c>
      <c r="BJ26" s="230">
        <v>-918000</v>
      </c>
      <c r="BK26" s="229">
        <v>-4.4299999999999999E-2</v>
      </c>
      <c r="BL26" s="230">
        <v>16444800</v>
      </c>
      <c r="BM26" s="230">
        <v>15206400</v>
      </c>
      <c r="BN26" s="230">
        <v>1238400</v>
      </c>
      <c r="BO26" s="229">
        <v>8.14E-2</v>
      </c>
      <c r="BP26" s="230">
        <v>73861200</v>
      </c>
      <c r="BQ26" s="230">
        <v>56296800</v>
      </c>
      <c r="BR26" s="230">
        <v>17564400</v>
      </c>
      <c r="BS26" s="229">
        <v>0.312</v>
      </c>
      <c r="BT26" s="230">
        <v>10485276</v>
      </c>
      <c r="BU26" s="230">
        <v>9216524</v>
      </c>
      <c r="BV26" s="230">
        <v>1268752</v>
      </c>
      <c r="BW26" s="229">
        <v>0.13769999999999999</v>
      </c>
      <c r="BX26" s="230">
        <v>87976800</v>
      </c>
      <c r="BY26" s="230">
        <v>88261200</v>
      </c>
      <c r="BZ26" s="230">
        <v>-284400</v>
      </c>
      <c r="CA26" s="229">
        <v>-3.2000000000000002E-3</v>
      </c>
      <c r="CB26" s="230">
        <v>51760800</v>
      </c>
      <c r="CC26" s="230">
        <v>63885600</v>
      </c>
      <c r="CD26" s="230">
        <v>-12124800</v>
      </c>
      <c r="CE26" s="229">
        <v>-0.1898</v>
      </c>
      <c r="CF26" s="230">
        <v>35560800</v>
      </c>
      <c r="CG26" s="230">
        <v>23958000</v>
      </c>
      <c r="CH26" s="230">
        <v>11602800</v>
      </c>
      <c r="CI26" s="229">
        <v>0.48430000000000001</v>
      </c>
      <c r="CJ26" s="230">
        <v>655200</v>
      </c>
      <c r="CK26" s="230">
        <v>417600</v>
      </c>
      <c r="CL26" s="230">
        <v>237600</v>
      </c>
      <c r="CM26" s="229">
        <v>0.56899999999999995</v>
      </c>
      <c r="CN26" s="230">
        <v>29606400</v>
      </c>
      <c r="CO26" s="230">
        <v>29246400</v>
      </c>
      <c r="CP26" s="230">
        <v>360000</v>
      </c>
      <c r="CQ26" s="229">
        <v>1.23E-2</v>
      </c>
      <c r="CR26" s="230">
        <v>20642400</v>
      </c>
      <c r="CS26" s="230">
        <v>20336400</v>
      </c>
      <c r="CT26" s="230">
        <v>306000</v>
      </c>
      <c r="CU26" s="229">
        <v>1.4999999999999999E-2</v>
      </c>
      <c r="CV26" s="230">
        <v>138225600</v>
      </c>
      <c r="CW26" s="230">
        <v>137844000</v>
      </c>
      <c r="CX26" s="230">
        <v>381600</v>
      </c>
      <c r="CY26" s="229">
        <v>2.8E-3</v>
      </c>
      <c r="CZ26" s="228">
        <v>51.52</v>
      </c>
      <c r="DA26" s="228">
        <v>44.7</v>
      </c>
      <c r="DB26" s="228">
        <v>6.82</v>
      </c>
      <c r="DC26" s="228">
        <v>6.82</v>
      </c>
      <c r="DD26" s="228">
        <v>45.61</v>
      </c>
      <c r="DE26" s="228">
        <v>45.69</v>
      </c>
      <c r="DF26" s="228">
        <v>5.91</v>
      </c>
      <c r="DG26" s="228">
        <v>-0.08</v>
      </c>
      <c r="DH26" s="228">
        <v>51.37</v>
      </c>
      <c r="DI26" s="228">
        <v>43.38</v>
      </c>
      <c r="DJ26" s="228">
        <v>7.99</v>
      </c>
      <c r="DK26" s="228">
        <v>7.99</v>
      </c>
      <c r="DL26" s="228">
        <v>51.69</v>
      </c>
      <c r="DM26" s="228">
        <v>46.5</v>
      </c>
      <c r="DN26" s="228">
        <v>5.19</v>
      </c>
      <c r="DO26" s="228">
        <v>5.19</v>
      </c>
      <c r="DP26" s="228">
        <v>0.7</v>
      </c>
      <c r="DQ26" s="228">
        <v>0.7</v>
      </c>
      <c r="DR26" s="228">
        <v>0</v>
      </c>
      <c r="DS26" s="229">
        <v>0</v>
      </c>
      <c r="DT26" s="228">
        <v>150</v>
      </c>
      <c r="DU26" s="228">
        <v>170</v>
      </c>
      <c r="DV26" s="228">
        <v>0.83</v>
      </c>
      <c r="DW26" s="228">
        <v>0.73</v>
      </c>
      <c r="DX26" s="228">
        <v>0.1</v>
      </c>
      <c r="DY26" s="229">
        <v>0.13700000000000001</v>
      </c>
      <c r="DZ26" s="229">
        <v>0.41170000000000001</v>
      </c>
      <c r="EA26" s="230">
        <v>24375600</v>
      </c>
      <c r="EB26" s="229">
        <v>5.7999999999999996E-3</v>
      </c>
      <c r="EC26" s="229">
        <v>0.41170000000000001</v>
      </c>
      <c r="ED26" s="228">
        <v>0.95</v>
      </c>
      <c r="EE26" s="229">
        <v>5.4999999999999997E-3</v>
      </c>
      <c r="EF26" s="230">
        <v>4996251</v>
      </c>
      <c r="EG26" s="230">
        <v>3595212</v>
      </c>
      <c r="EH26" s="229">
        <v>0.38969999999999999</v>
      </c>
      <c r="EI26" s="229">
        <v>0.47649999999999998</v>
      </c>
      <c r="EJ26" s="231">
        <v>36082.01</v>
      </c>
      <c r="EK26" s="231">
        <v>27400.29</v>
      </c>
      <c r="EL26" s="231">
        <v>65134.07</v>
      </c>
      <c r="EM26" s="231">
        <v>4984</v>
      </c>
      <c r="EN26" s="231">
        <v>128616.37</v>
      </c>
      <c r="EO26" s="231">
        <v>99447.99</v>
      </c>
      <c r="EP26" s="231">
        <v>29168.38</v>
      </c>
      <c r="EQ26" s="229">
        <v>0.29330000000000001</v>
      </c>
      <c r="ER26" s="231">
        <v>51292</v>
      </c>
      <c r="ES26" s="231">
        <v>33357</v>
      </c>
      <c r="ET26" s="231">
        <v>153159</v>
      </c>
      <c r="EU26" s="231">
        <v>145616308</v>
      </c>
      <c r="EV26" s="231">
        <v>237807</v>
      </c>
      <c r="EW26" s="231">
        <v>238991</v>
      </c>
      <c r="EX26" s="231">
        <v>-1184</v>
      </c>
      <c r="EY26" s="229">
        <v>-5.0000000000000001E-3</v>
      </c>
      <c r="EZ26" s="229">
        <v>0.94920000000000004</v>
      </c>
      <c r="FA26" s="227" t="s">
        <v>567</v>
      </c>
      <c r="FB26" s="161">
        <f t="shared" si="0"/>
        <v>36216000</v>
      </c>
    </row>
    <row r="27" spans="1:158" ht="17.25" thickBot="1" x14ac:dyDescent="0.3">
      <c r="A27" s="226">
        <v>46135</v>
      </c>
      <c r="B27" s="227" t="s">
        <v>172</v>
      </c>
      <c r="C27" s="227" t="s">
        <v>180</v>
      </c>
      <c r="D27" s="228">
        <v>2925</v>
      </c>
      <c r="E27" s="228">
        <v>276.51</v>
      </c>
      <c r="F27" s="228">
        <v>282.41000000000003</v>
      </c>
      <c r="G27" s="228">
        <v>-5.9</v>
      </c>
      <c r="H27" s="229">
        <v>-2.0899999999999998E-2</v>
      </c>
      <c r="I27" s="228">
        <v>276.33999999999997</v>
      </c>
      <c r="J27" s="228">
        <v>282.77</v>
      </c>
      <c r="K27" s="228">
        <v>-6.43</v>
      </c>
      <c r="L27" s="229">
        <v>-2.2700000000000001E-2</v>
      </c>
      <c r="M27" s="228">
        <v>276.51</v>
      </c>
      <c r="N27" s="228">
        <v>282.41000000000003</v>
      </c>
      <c r="O27" s="228">
        <v>-5.9</v>
      </c>
      <c r="P27" s="229">
        <v>-2.0899999999999998E-2</v>
      </c>
      <c r="Q27" s="228">
        <v>277.93</v>
      </c>
      <c r="R27" s="228">
        <v>284.02</v>
      </c>
      <c r="S27" s="228">
        <v>-6.09</v>
      </c>
      <c r="T27" s="229">
        <v>-2.1399999999999999E-2</v>
      </c>
      <c r="U27" s="228">
        <v>279.95</v>
      </c>
      <c r="V27" s="228">
        <v>285.74</v>
      </c>
      <c r="W27" s="228">
        <v>-5.79</v>
      </c>
      <c r="X27" s="229">
        <v>-2.0299999999999999E-2</v>
      </c>
      <c r="Y27" s="228">
        <v>0.17</v>
      </c>
      <c r="Z27" s="228">
        <v>-0.36</v>
      </c>
      <c r="AA27" s="228">
        <v>0.53</v>
      </c>
      <c r="AB27" s="229">
        <v>5.9999999999999995E-4</v>
      </c>
      <c r="AC27" s="228">
        <v>0.17</v>
      </c>
      <c r="AD27" s="228">
        <v>-0.36</v>
      </c>
      <c r="AE27" s="228">
        <v>0.53</v>
      </c>
      <c r="AF27" s="229">
        <v>5.9999999999999995E-4</v>
      </c>
      <c r="AG27" s="228">
        <v>1.59</v>
      </c>
      <c r="AH27" s="228">
        <v>1.25</v>
      </c>
      <c r="AI27" s="228">
        <v>0.34</v>
      </c>
      <c r="AJ27" s="229">
        <v>5.7999999999999996E-3</v>
      </c>
      <c r="AK27" s="228">
        <v>3.61</v>
      </c>
      <c r="AL27" s="228">
        <v>2.97</v>
      </c>
      <c r="AM27" s="228">
        <v>0.64</v>
      </c>
      <c r="AN27" s="229">
        <v>1.3100000000000001E-2</v>
      </c>
      <c r="AO27" s="228">
        <v>277.91000000000003</v>
      </c>
      <c r="AP27" s="228">
        <v>279.49</v>
      </c>
      <c r="AQ27" s="228">
        <v>0</v>
      </c>
      <c r="AR27" s="230">
        <v>53568450</v>
      </c>
      <c r="AS27" s="230">
        <v>22671675</v>
      </c>
      <c r="AT27" s="230">
        <v>30896775</v>
      </c>
      <c r="AU27" s="229">
        <v>1.3628</v>
      </c>
      <c r="AV27" s="230">
        <v>29051100</v>
      </c>
      <c r="AW27" s="230">
        <v>14051700</v>
      </c>
      <c r="AX27" s="230">
        <v>14999400</v>
      </c>
      <c r="AY27" s="229">
        <v>1.0673999999999999</v>
      </c>
      <c r="AZ27" s="230">
        <v>24020100</v>
      </c>
      <c r="BA27" s="230">
        <v>8245575</v>
      </c>
      <c r="BB27" s="230">
        <v>15774525</v>
      </c>
      <c r="BC27" s="229">
        <v>1.9131</v>
      </c>
      <c r="BD27" s="230">
        <v>497250</v>
      </c>
      <c r="BE27" s="230">
        <v>374400</v>
      </c>
      <c r="BF27" s="230">
        <v>122850</v>
      </c>
      <c r="BG27" s="229">
        <v>0.3281</v>
      </c>
      <c r="BH27" s="230">
        <v>73338525</v>
      </c>
      <c r="BI27" s="230">
        <v>32397300</v>
      </c>
      <c r="BJ27" s="230">
        <v>40941225</v>
      </c>
      <c r="BK27" s="229">
        <v>1.2637</v>
      </c>
      <c r="BL27" s="230">
        <v>47402550</v>
      </c>
      <c r="BM27" s="230">
        <v>23338575</v>
      </c>
      <c r="BN27" s="230">
        <v>24063975</v>
      </c>
      <c r="BO27" s="229">
        <v>1.0310999999999999</v>
      </c>
      <c r="BP27" s="230">
        <v>174309525</v>
      </c>
      <c r="BQ27" s="230">
        <v>78407550</v>
      </c>
      <c r="BR27" s="230">
        <v>95901975</v>
      </c>
      <c r="BS27" s="229">
        <v>1.2231000000000001</v>
      </c>
      <c r="BT27" s="230">
        <v>8734169</v>
      </c>
      <c r="BU27" s="230">
        <v>7789845</v>
      </c>
      <c r="BV27" s="230">
        <v>944324</v>
      </c>
      <c r="BW27" s="229">
        <v>0.1212</v>
      </c>
      <c r="BX27" s="230">
        <v>103685400</v>
      </c>
      <c r="BY27" s="230">
        <v>99982350</v>
      </c>
      <c r="BZ27" s="230">
        <v>3703050</v>
      </c>
      <c r="CA27" s="229">
        <v>3.6999999999999998E-2</v>
      </c>
      <c r="CB27" s="230">
        <v>58801275</v>
      </c>
      <c r="CC27" s="230">
        <v>72665775</v>
      </c>
      <c r="CD27" s="230">
        <v>-13864500</v>
      </c>
      <c r="CE27" s="229">
        <v>-0.1908</v>
      </c>
      <c r="CF27" s="230">
        <v>38168325</v>
      </c>
      <c r="CG27" s="230">
        <v>20823075</v>
      </c>
      <c r="CH27" s="230">
        <v>17345250</v>
      </c>
      <c r="CI27" s="229">
        <v>0.83299999999999996</v>
      </c>
      <c r="CJ27" s="230">
        <v>6715800</v>
      </c>
      <c r="CK27" s="230">
        <v>6493500</v>
      </c>
      <c r="CL27" s="230">
        <v>222300</v>
      </c>
      <c r="CM27" s="229">
        <v>3.4200000000000001E-2</v>
      </c>
      <c r="CN27" s="230">
        <v>55539900</v>
      </c>
      <c r="CO27" s="230">
        <v>48750975</v>
      </c>
      <c r="CP27" s="230">
        <v>6788925</v>
      </c>
      <c r="CQ27" s="229">
        <v>0.13930000000000001</v>
      </c>
      <c r="CR27" s="230">
        <v>45290700</v>
      </c>
      <c r="CS27" s="230">
        <v>43632225</v>
      </c>
      <c r="CT27" s="230">
        <v>1658475</v>
      </c>
      <c r="CU27" s="229">
        <v>3.7999999999999999E-2</v>
      </c>
      <c r="CV27" s="230">
        <v>204516000</v>
      </c>
      <c r="CW27" s="230">
        <v>192365550</v>
      </c>
      <c r="CX27" s="230">
        <v>12150450</v>
      </c>
      <c r="CY27" s="229">
        <v>6.3200000000000006E-2</v>
      </c>
      <c r="CZ27" s="228">
        <v>32.64</v>
      </c>
      <c r="DA27" s="228">
        <v>32.979999999999997</v>
      </c>
      <c r="DB27" s="228">
        <v>-0.34</v>
      </c>
      <c r="DC27" s="228">
        <v>-0.34</v>
      </c>
      <c r="DD27" s="228">
        <v>36.79</v>
      </c>
      <c r="DE27" s="228">
        <v>36.770000000000003</v>
      </c>
      <c r="DF27" s="228">
        <v>-4.1500000000000004</v>
      </c>
      <c r="DG27" s="228">
        <v>0.02</v>
      </c>
      <c r="DH27" s="228">
        <v>32.93</v>
      </c>
      <c r="DI27" s="228">
        <v>29.93</v>
      </c>
      <c r="DJ27" s="228">
        <v>3</v>
      </c>
      <c r="DK27" s="228">
        <v>3</v>
      </c>
      <c r="DL27" s="228">
        <v>32.29</v>
      </c>
      <c r="DM27" s="228">
        <v>37.22</v>
      </c>
      <c r="DN27" s="228">
        <v>-4.93</v>
      </c>
      <c r="DO27" s="228">
        <v>-4.93</v>
      </c>
      <c r="DP27" s="228">
        <v>0.82</v>
      </c>
      <c r="DQ27" s="228">
        <v>0.9</v>
      </c>
      <c r="DR27" s="228">
        <v>-0.08</v>
      </c>
      <c r="DS27" s="229">
        <v>-8.8900000000000007E-2</v>
      </c>
      <c r="DT27" s="228">
        <v>290</v>
      </c>
      <c r="DU27" s="228">
        <v>250</v>
      </c>
      <c r="DV27" s="228">
        <v>0.65</v>
      </c>
      <c r="DW27" s="228">
        <v>0.72</v>
      </c>
      <c r="DX27" s="228">
        <v>-7.0000000000000007E-2</v>
      </c>
      <c r="DY27" s="229">
        <v>-9.7199999999999995E-2</v>
      </c>
      <c r="DZ27" s="229">
        <v>0.43290000000000001</v>
      </c>
      <c r="EA27" s="230">
        <v>27316575</v>
      </c>
      <c r="EB27" s="229">
        <v>5.1000000000000004E-3</v>
      </c>
      <c r="EC27" s="229">
        <v>0.43290000000000001</v>
      </c>
      <c r="ED27" s="228">
        <v>1.58</v>
      </c>
      <c r="EE27" s="229">
        <v>5.7000000000000002E-3</v>
      </c>
      <c r="EF27" s="230">
        <v>3666342</v>
      </c>
      <c r="EG27" s="230">
        <v>3980092</v>
      </c>
      <c r="EH27" s="229">
        <v>-7.8799999999999995E-2</v>
      </c>
      <c r="EI27" s="229">
        <v>0.41980000000000001</v>
      </c>
      <c r="EJ27" s="231">
        <v>213164.79999999999</v>
      </c>
      <c r="EK27" s="231">
        <v>129393.32</v>
      </c>
      <c r="EL27" s="231">
        <v>149266.25</v>
      </c>
      <c r="EM27" s="231">
        <v>7653</v>
      </c>
      <c r="EN27" s="231">
        <v>491824.37</v>
      </c>
      <c r="EO27" s="231">
        <v>224355.49</v>
      </c>
      <c r="EP27" s="231">
        <v>267468.88</v>
      </c>
      <c r="EQ27" s="229">
        <v>1.1921999999999999</v>
      </c>
      <c r="ER27" s="231">
        <v>158627</v>
      </c>
      <c r="ES27" s="231">
        <v>123114</v>
      </c>
      <c r="ET27" s="231">
        <v>287474</v>
      </c>
      <c r="EU27" s="231">
        <v>279476623</v>
      </c>
      <c r="EV27" s="231">
        <v>569215</v>
      </c>
      <c r="EW27" s="231">
        <v>540555</v>
      </c>
      <c r="EX27" s="231">
        <v>28660</v>
      </c>
      <c r="EY27" s="229">
        <v>5.2999999999999999E-2</v>
      </c>
      <c r="EZ27" s="229">
        <v>0.73180000000000001</v>
      </c>
      <c r="FA27" s="227" t="s">
        <v>566</v>
      </c>
      <c r="FB27" s="161">
        <f t="shared" si="0"/>
        <v>44884125</v>
      </c>
    </row>
    <row r="28" spans="1:158" ht="17.25" thickBot="1" x14ac:dyDescent="0.3">
      <c r="A28" s="226">
        <v>46135</v>
      </c>
      <c r="B28" s="227" t="s">
        <v>172</v>
      </c>
      <c r="C28" s="227" t="s">
        <v>601</v>
      </c>
      <c r="D28" s="228">
        <v>5200</v>
      </c>
      <c r="E28" s="228">
        <v>150.6</v>
      </c>
      <c r="F28" s="228">
        <v>152.62</v>
      </c>
      <c r="G28" s="228">
        <v>-2.02</v>
      </c>
      <c r="H28" s="229">
        <v>-1.32E-2</v>
      </c>
      <c r="I28" s="228">
        <v>150.86000000000001</v>
      </c>
      <c r="J28" s="228">
        <v>152.91999999999999</v>
      </c>
      <c r="K28" s="228">
        <v>-2.06</v>
      </c>
      <c r="L28" s="229">
        <v>-1.35E-2</v>
      </c>
      <c r="M28" s="228">
        <v>150.6</v>
      </c>
      <c r="N28" s="228">
        <v>152.62</v>
      </c>
      <c r="O28" s="228">
        <v>-2.02</v>
      </c>
      <c r="P28" s="229">
        <v>-1.32E-2</v>
      </c>
      <c r="Q28" s="228">
        <v>151.19999999999999</v>
      </c>
      <c r="R28" s="228">
        <v>153.46</v>
      </c>
      <c r="S28" s="228">
        <v>-2.2599999999999998</v>
      </c>
      <c r="T28" s="229">
        <v>-1.47E-2</v>
      </c>
      <c r="U28" s="228">
        <v>151.76</v>
      </c>
      <c r="V28" s="228">
        <v>154.31</v>
      </c>
      <c r="W28" s="228">
        <v>-2.5499999999999998</v>
      </c>
      <c r="X28" s="229">
        <v>-1.6500000000000001E-2</v>
      </c>
      <c r="Y28" s="228">
        <v>-0.26</v>
      </c>
      <c r="Z28" s="228">
        <v>-0.3</v>
      </c>
      <c r="AA28" s="228">
        <v>0.04</v>
      </c>
      <c r="AB28" s="229">
        <v>-1.6999999999999999E-3</v>
      </c>
      <c r="AC28" s="228">
        <v>-0.26</v>
      </c>
      <c r="AD28" s="228">
        <v>-0.3</v>
      </c>
      <c r="AE28" s="228">
        <v>0.04</v>
      </c>
      <c r="AF28" s="229">
        <v>-1.6999999999999999E-3</v>
      </c>
      <c r="AG28" s="228">
        <v>0.34</v>
      </c>
      <c r="AH28" s="228">
        <v>0.54</v>
      </c>
      <c r="AI28" s="228">
        <v>-0.2</v>
      </c>
      <c r="AJ28" s="229">
        <v>2.3E-3</v>
      </c>
      <c r="AK28" s="228">
        <v>0.9</v>
      </c>
      <c r="AL28" s="228">
        <v>1.39</v>
      </c>
      <c r="AM28" s="228">
        <v>-0.49</v>
      </c>
      <c r="AN28" s="229">
        <v>6.0000000000000001E-3</v>
      </c>
      <c r="AO28" s="228">
        <v>151.04</v>
      </c>
      <c r="AP28" s="228">
        <v>151.79</v>
      </c>
      <c r="AQ28" s="228">
        <v>0</v>
      </c>
      <c r="AR28" s="230">
        <v>51308400</v>
      </c>
      <c r="AS28" s="230">
        <v>26338000</v>
      </c>
      <c r="AT28" s="230">
        <v>24970400</v>
      </c>
      <c r="AU28" s="229">
        <v>0.94810000000000005</v>
      </c>
      <c r="AV28" s="230">
        <v>28433600</v>
      </c>
      <c r="AW28" s="230">
        <v>16208400</v>
      </c>
      <c r="AX28" s="230">
        <v>12225200</v>
      </c>
      <c r="AY28" s="229">
        <v>0.75429999999999997</v>
      </c>
      <c r="AZ28" s="230">
        <v>22531600</v>
      </c>
      <c r="BA28" s="230">
        <v>9854000</v>
      </c>
      <c r="BB28" s="230">
        <v>12677600</v>
      </c>
      <c r="BC28" s="229">
        <v>1.2865</v>
      </c>
      <c r="BD28" s="230">
        <v>343200</v>
      </c>
      <c r="BE28" s="230">
        <v>275600</v>
      </c>
      <c r="BF28" s="230">
        <v>67600</v>
      </c>
      <c r="BG28" s="229">
        <v>0.24529999999999999</v>
      </c>
      <c r="BH28" s="230">
        <v>40419600</v>
      </c>
      <c r="BI28" s="230">
        <v>52067600</v>
      </c>
      <c r="BJ28" s="230">
        <v>-11648000</v>
      </c>
      <c r="BK28" s="229">
        <v>-0.22370000000000001</v>
      </c>
      <c r="BL28" s="230">
        <v>22547200</v>
      </c>
      <c r="BM28" s="230">
        <v>21814000</v>
      </c>
      <c r="BN28" s="230">
        <v>733200</v>
      </c>
      <c r="BO28" s="229">
        <v>3.3599999999999998E-2</v>
      </c>
      <c r="BP28" s="230">
        <v>114275200</v>
      </c>
      <c r="BQ28" s="230">
        <v>100219600</v>
      </c>
      <c r="BR28" s="230">
        <v>14055600</v>
      </c>
      <c r="BS28" s="229">
        <v>0.14019999999999999</v>
      </c>
      <c r="BT28" s="230">
        <v>14580571</v>
      </c>
      <c r="BU28" s="230">
        <v>15518071</v>
      </c>
      <c r="BV28" s="230">
        <v>-937500</v>
      </c>
      <c r="BW28" s="229">
        <v>-6.0400000000000002E-2</v>
      </c>
      <c r="BX28" s="230">
        <v>52712400</v>
      </c>
      <c r="BY28" s="230">
        <v>56336800</v>
      </c>
      <c r="BZ28" s="230">
        <v>-3624400</v>
      </c>
      <c r="CA28" s="229">
        <v>-6.4299999999999996E-2</v>
      </c>
      <c r="CB28" s="230">
        <v>27840800</v>
      </c>
      <c r="CC28" s="230">
        <v>44954000</v>
      </c>
      <c r="CD28" s="230">
        <v>-17113200</v>
      </c>
      <c r="CE28" s="229">
        <v>-0.38069999999999998</v>
      </c>
      <c r="CF28" s="230">
        <v>24148800</v>
      </c>
      <c r="CG28" s="230">
        <v>10784800</v>
      </c>
      <c r="CH28" s="230">
        <v>13364000</v>
      </c>
      <c r="CI28" s="229">
        <v>1.2392000000000001</v>
      </c>
      <c r="CJ28" s="230">
        <v>722800</v>
      </c>
      <c r="CK28" s="230">
        <v>598000</v>
      </c>
      <c r="CL28" s="230">
        <v>124800</v>
      </c>
      <c r="CM28" s="229">
        <v>0.2087</v>
      </c>
      <c r="CN28" s="230">
        <v>27892800</v>
      </c>
      <c r="CO28" s="230">
        <v>28189200</v>
      </c>
      <c r="CP28" s="230">
        <v>-296400</v>
      </c>
      <c r="CQ28" s="229">
        <v>-1.0500000000000001E-2</v>
      </c>
      <c r="CR28" s="230">
        <v>25235600</v>
      </c>
      <c r="CS28" s="230">
        <v>25235600</v>
      </c>
      <c r="CT28" s="228">
        <v>0</v>
      </c>
      <c r="CU28" s="229">
        <v>0</v>
      </c>
      <c r="CV28" s="230">
        <v>105840800</v>
      </c>
      <c r="CW28" s="230">
        <v>109761600</v>
      </c>
      <c r="CX28" s="230">
        <v>-3920800</v>
      </c>
      <c r="CY28" s="229">
        <v>-3.5700000000000003E-2</v>
      </c>
      <c r="CZ28" s="228">
        <v>39.4</v>
      </c>
      <c r="DA28" s="228">
        <v>37.96</v>
      </c>
      <c r="DB28" s="228">
        <v>1.44</v>
      </c>
      <c r="DC28" s="228">
        <v>1.44</v>
      </c>
      <c r="DD28" s="228">
        <v>42.75</v>
      </c>
      <c r="DE28" s="228">
        <v>42.82</v>
      </c>
      <c r="DF28" s="228">
        <v>-3.35</v>
      </c>
      <c r="DG28" s="228">
        <v>-7.0000000000000007E-2</v>
      </c>
      <c r="DH28" s="228">
        <v>39.61</v>
      </c>
      <c r="DI28" s="228">
        <v>36.86</v>
      </c>
      <c r="DJ28" s="228">
        <v>2.75</v>
      </c>
      <c r="DK28" s="228">
        <v>2.75</v>
      </c>
      <c r="DL28" s="228">
        <v>39.1</v>
      </c>
      <c r="DM28" s="228">
        <v>40.58</v>
      </c>
      <c r="DN28" s="228">
        <v>-1.48</v>
      </c>
      <c r="DO28" s="228">
        <v>-1.48</v>
      </c>
      <c r="DP28" s="228">
        <v>0.9</v>
      </c>
      <c r="DQ28" s="228">
        <v>0.9</v>
      </c>
      <c r="DR28" s="228">
        <v>0</v>
      </c>
      <c r="DS28" s="229">
        <v>0</v>
      </c>
      <c r="DT28" s="228">
        <v>160</v>
      </c>
      <c r="DU28" s="228">
        <v>140</v>
      </c>
      <c r="DV28" s="228">
        <v>0.56000000000000005</v>
      </c>
      <c r="DW28" s="228">
        <v>0.42</v>
      </c>
      <c r="DX28" s="228">
        <v>0.14000000000000001</v>
      </c>
      <c r="DY28" s="229">
        <v>0.33329999999999999</v>
      </c>
      <c r="DZ28" s="229">
        <v>0.4718</v>
      </c>
      <c r="EA28" s="230">
        <v>11382800</v>
      </c>
      <c r="EB28" s="229">
        <v>4.0000000000000001E-3</v>
      </c>
      <c r="EC28" s="229">
        <v>0.4718</v>
      </c>
      <c r="ED28" s="228">
        <v>0.75</v>
      </c>
      <c r="EE28" s="229">
        <v>5.0000000000000001E-3</v>
      </c>
      <c r="EF28" s="230">
        <v>6083944</v>
      </c>
      <c r="EG28" s="230">
        <v>6293066</v>
      </c>
      <c r="EH28" s="229">
        <v>-3.32E-2</v>
      </c>
      <c r="EI28" s="229">
        <v>0.4173</v>
      </c>
      <c r="EJ28" s="231">
        <v>63170.46</v>
      </c>
      <c r="EK28" s="231">
        <v>33469.15</v>
      </c>
      <c r="EL28" s="231">
        <v>77668.94</v>
      </c>
      <c r="EM28" s="231">
        <v>3099</v>
      </c>
      <c r="EN28" s="231">
        <v>174308.55</v>
      </c>
      <c r="EO28" s="231">
        <v>155052.91</v>
      </c>
      <c r="EP28" s="231">
        <v>19255.64</v>
      </c>
      <c r="EQ28" s="229">
        <v>0.1242</v>
      </c>
      <c r="ER28" s="231">
        <v>43000</v>
      </c>
      <c r="ES28" s="231">
        <v>36378</v>
      </c>
      <c r="ET28" s="231">
        <v>79538</v>
      </c>
      <c r="EU28" s="231">
        <v>181770921</v>
      </c>
      <c r="EV28" s="231">
        <v>158916</v>
      </c>
      <c r="EW28" s="231">
        <v>165855</v>
      </c>
      <c r="EX28" s="231">
        <v>-6939</v>
      </c>
      <c r="EY28" s="229">
        <v>-4.1799999999999997E-2</v>
      </c>
      <c r="EZ28" s="229">
        <v>0.58230000000000004</v>
      </c>
      <c r="FA28" s="227" t="s">
        <v>567</v>
      </c>
      <c r="FB28" s="161">
        <f t="shared" si="0"/>
        <v>24871600</v>
      </c>
    </row>
    <row r="29" spans="1:158" ht="17.25" thickBot="1" x14ac:dyDescent="0.3">
      <c r="A29" s="226">
        <v>46135</v>
      </c>
      <c r="B29" s="227" t="s">
        <v>181</v>
      </c>
      <c r="C29" s="227" t="s">
        <v>182</v>
      </c>
      <c r="D29" s="228">
        <v>30</v>
      </c>
      <c r="E29" s="231">
        <v>56344.2</v>
      </c>
      <c r="F29" s="231">
        <v>57147</v>
      </c>
      <c r="G29" s="228">
        <v>-802.8</v>
      </c>
      <c r="H29" s="229">
        <v>-1.4E-2</v>
      </c>
      <c r="I29" s="231">
        <v>56305</v>
      </c>
      <c r="J29" s="231">
        <v>57124.45</v>
      </c>
      <c r="K29" s="228">
        <v>-819.45</v>
      </c>
      <c r="L29" s="229">
        <v>-1.43E-2</v>
      </c>
      <c r="M29" s="231">
        <v>56344.2</v>
      </c>
      <c r="N29" s="231">
        <v>57147</v>
      </c>
      <c r="O29" s="228">
        <v>-802.8</v>
      </c>
      <c r="P29" s="229">
        <v>-1.4E-2</v>
      </c>
      <c r="Q29" s="231">
        <v>56618.400000000001</v>
      </c>
      <c r="R29" s="231">
        <v>57468.6</v>
      </c>
      <c r="S29" s="228">
        <v>-850.2</v>
      </c>
      <c r="T29" s="229">
        <v>-1.4800000000000001E-2</v>
      </c>
      <c r="U29" s="231">
        <v>56810.2</v>
      </c>
      <c r="V29" s="231">
        <v>57690.400000000001</v>
      </c>
      <c r="W29" s="228">
        <v>-880.2</v>
      </c>
      <c r="X29" s="229">
        <v>-1.5299999999999999E-2</v>
      </c>
      <c r="Y29" s="228">
        <v>39.200000000000003</v>
      </c>
      <c r="Z29" s="228">
        <v>22.55</v>
      </c>
      <c r="AA29" s="228">
        <v>16.649999999999999</v>
      </c>
      <c r="AB29" s="229">
        <v>6.9999999999999999E-4</v>
      </c>
      <c r="AC29" s="228">
        <v>39.200000000000003</v>
      </c>
      <c r="AD29" s="228">
        <v>22.55</v>
      </c>
      <c r="AE29" s="228">
        <v>16.649999999999999</v>
      </c>
      <c r="AF29" s="229">
        <v>6.9999999999999999E-4</v>
      </c>
      <c r="AG29" s="228">
        <v>313.39999999999998</v>
      </c>
      <c r="AH29" s="228">
        <v>344.15</v>
      </c>
      <c r="AI29" s="228">
        <v>-30.75</v>
      </c>
      <c r="AJ29" s="229">
        <v>5.5999999999999999E-3</v>
      </c>
      <c r="AK29" s="228">
        <v>505.2</v>
      </c>
      <c r="AL29" s="228">
        <v>565.95000000000005</v>
      </c>
      <c r="AM29" s="228">
        <v>-60.75</v>
      </c>
      <c r="AN29" s="229">
        <v>8.9999999999999993E-3</v>
      </c>
      <c r="AO29" s="231">
        <v>56520.67</v>
      </c>
      <c r="AP29" s="231">
        <v>56807.7</v>
      </c>
      <c r="AQ29" s="228">
        <v>0</v>
      </c>
      <c r="AR29" s="230">
        <v>1254420</v>
      </c>
      <c r="AS29" s="230">
        <v>897330</v>
      </c>
      <c r="AT29" s="230">
        <v>357090</v>
      </c>
      <c r="AU29" s="229">
        <v>0.39789999999999998</v>
      </c>
      <c r="AV29" s="230">
        <v>863910</v>
      </c>
      <c r="AW29" s="230">
        <v>674310</v>
      </c>
      <c r="AX29" s="230">
        <v>189600</v>
      </c>
      <c r="AY29" s="229">
        <v>0.28120000000000001</v>
      </c>
      <c r="AZ29" s="230">
        <v>333030</v>
      </c>
      <c r="BA29" s="230">
        <v>181140</v>
      </c>
      <c r="BB29" s="230">
        <v>151890</v>
      </c>
      <c r="BC29" s="229">
        <v>0.83850000000000002</v>
      </c>
      <c r="BD29" s="230">
        <v>57480</v>
      </c>
      <c r="BE29" s="230">
        <v>41880</v>
      </c>
      <c r="BF29" s="230">
        <v>15600</v>
      </c>
      <c r="BG29" s="229">
        <v>0.3725</v>
      </c>
      <c r="BH29" s="230">
        <v>66945990</v>
      </c>
      <c r="BI29" s="230">
        <v>56721720</v>
      </c>
      <c r="BJ29" s="230">
        <v>10224270</v>
      </c>
      <c r="BK29" s="229">
        <v>0.18029999999999999</v>
      </c>
      <c r="BL29" s="230">
        <v>59768040</v>
      </c>
      <c r="BM29" s="230">
        <v>58857420</v>
      </c>
      <c r="BN29" s="230">
        <v>910620</v>
      </c>
      <c r="BO29" s="229">
        <v>1.55E-2</v>
      </c>
      <c r="BP29" s="230">
        <v>127968450</v>
      </c>
      <c r="BQ29" s="230">
        <v>116476470</v>
      </c>
      <c r="BR29" s="230">
        <v>11491980</v>
      </c>
      <c r="BS29" s="229">
        <v>9.8699999999999996E-2</v>
      </c>
      <c r="BT29" s="228">
        <v>0</v>
      </c>
      <c r="BU29" s="228">
        <v>0</v>
      </c>
      <c r="BV29" s="228">
        <v>0</v>
      </c>
      <c r="BW29" s="229">
        <v>0</v>
      </c>
      <c r="BX29" s="230">
        <v>2446620</v>
      </c>
      <c r="BY29" s="230">
        <v>2374770</v>
      </c>
      <c r="BZ29" s="230">
        <v>71850</v>
      </c>
      <c r="CA29" s="229">
        <v>3.0300000000000001E-2</v>
      </c>
      <c r="CB29" s="230">
        <v>1548360</v>
      </c>
      <c r="CC29" s="230">
        <v>1689870</v>
      </c>
      <c r="CD29" s="230">
        <v>-141510</v>
      </c>
      <c r="CE29" s="229">
        <v>-8.3699999999999997E-2</v>
      </c>
      <c r="CF29" s="230">
        <v>773310</v>
      </c>
      <c r="CG29" s="230">
        <v>580200</v>
      </c>
      <c r="CH29" s="230">
        <v>193110</v>
      </c>
      <c r="CI29" s="229">
        <v>0.33279999999999998</v>
      </c>
      <c r="CJ29" s="230">
        <v>124950</v>
      </c>
      <c r="CK29" s="230">
        <v>104700</v>
      </c>
      <c r="CL29" s="230">
        <v>20250</v>
      </c>
      <c r="CM29" s="229">
        <v>0.19339999999999999</v>
      </c>
      <c r="CN29" s="230">
        <v>22326720</v>
      </c>
      <c r="CO29" s="230">
        <v>20869560</v>
      </c>
      <c r="CP29" s="230">
        <v>1457160</v>
      </c>
      <c r="CQ29" s="229">
        <v>6.9800000000000001E-2</v>
      </c>
      <c r="CR29" s="230">
        <v>20371680</v>
      </c>
      <c r="CS29" s="230">
        <v>20758800</v>
      </c>
      <c r="CT29" s="230">
        <v>-387120</v>
      </c>
      <c r="CU29" s="229">
        <v>-1.8599999999999998E-2</v>
      </c>
      <c r="CV29" s="230">
        <v>45145020</v>
      </c>
      <c r="CW29" s="230">
        <v>44003130</v>
      </c>
      <c r="CX29" s="230">
        <v>1141890</v>
      </c>
      <c r="CY29" s="229">
        <v>2.5999999999999999E-2</v>
      </c>
      <c r="CZ29" s="228">
        <v>19.52</v>
      </c>
      <c r="DA29" s="228">
        <v>22.33</v>
      </c>
      <c r="DB29" s="228">
        <v>-2.81</v>
      </c>
      <c r="DC29" s="228">
        <v>-2.81</v>
      </c>
      <c r="DD29" s="228">
        <v>21.34</v>
      </c>
      <c r="DE29" s="228">
        <v>21.3</v>
      </c>
      <c r="DF29" s="228">
        <v>-1.82</v>
      </c>
      <c r="DG29" s="228">
        <v>0.04</v>
      </c>
      <c r="DH29" s="228">
        <v>18.010000000000002</v>
      </c>
      <c r="DI29" s="228">
        <v>20.6</v>
      </c>
      <c r="DJ29" s="228">
        <v>-2.59</v>
      </c>
      <c r="DK29" s="228">
        <v>-2.59</v>
      </c>
      <c r="DL29" s="228">
        <v>21.73</v>
      </c>
      <c r="DM29" s="228">
        <v>23.99</v>
      </c>
      <c r="DN29" s="228">
        <v>-2.2599999999999998</v>
      </c>
      <c r="DO29" s="228">
        <v>-2.2599999999999998</v>
      </c>
      <c r="DP29" s="228">
        <v>0.91</v>
      </c>
      <c r="DQ29" s="228">
        <v>0.99</v>
      </c>
      <c r="DR29" s="228">
        <v>-0.08</v>
      </c>
      <c r="DS29" s="229">
        <v>-8.0799999999999997E-2</v>
      </c>
      <c r="DT29" s="231">
        <v>60000</v>
      </c>
      <c r="DU29" s="231">
        <v>60000</v>
      </c>
      <c r="DV29" s="228">
        <v>0.89</v>
      </c>
      <c r="DW29" s="228">
        <v>1.04</v>
      </c>
      <c r="DX29" s="228">
        <v>-0.15</v>
      </c>
      <c r="DY29" s="229">
        <v>-0.14419999999999999</v>
      </c>
      <c r="DZ29" s="229">
        <v>0.36709999999999998</v>
      </c>
      <c r="EA29" s="230">
        <v>684900</v>
      </c>
      <c r="EB29" s="229">
        <v>4.8999999999999998E-3</v>
      </c>
      <c r="EC29" s="229">
        <v>0.36709999999999998</v>
      </c>
      <c r="ED29" s="228">
        <v>287.02999999999997</v>
      </c>
      <c r="EE29" s="229">
        <v>5.1000000000000004E-3</v>
      </c>
      <c r="EF29" s="228">
        <v>0</v>
      </c>
      <c r="EG29" s="228">
        <v>0</v>
      </c>
      <c r="EH29" s="229">
        <v>0</v>
      </c>
      <c r="EI29" s="229">
        <v>0</v>
      </c>
      <c r="EJ29" s="231">
        <v>39104244.850000001</v>
      </c>
      <c r="EK29" s="231">
        <v>33144418.18</v>
      </c>
      <c r="EL29" s="231">
        <v>710249.38</v>
      </c>
      <c r="EM29" s="228">
        <v>0</v>
      </c>
      <c r="EN29" s="231">
        <v>72958912.409999996</v>
      </c>
      <c r="EO29" s="231">
        <v>66550069.759999998</v>
      </c>
      <c r="EP29" s="231">
        <v>6408842.6500000004</v>
      </c>
      <c r="EQ29" s="229">
        <v>9.6299999999999997E-2</v>
      </c>
      <c r="ER29" s="231">
        <v>12991383</v>
      </c>
      <c r="ES29" s="231">
        <v>11027700</v>
      </c>
      <c r="ET29" s="231">
        <v>1381231</v>
      </c>
      <c r="EU29" s="228">
        <v>0</v>
      </c>
      <c r="EV29" s="231">
        <v>25400314</v>
      </c>
      <c r="EW29" s="231">
        <v>24771380</v>
      </c>
      <c r="EX29" s="231">
        <v>628934</v>
      </c>
      <c r="EY29" s="229">
        <v>2.5399999999999999E-2</v>
      </c>
      <c r="EZ29" s="229">
        <v>0</v>
      </c>
      <c r="FA29" s="227" t="s">
        <v>566</v>
      </c>
      <c r="FB29" s="161">
        <f t="shared" si="0"/>
        <v>898260</v>
      </c>
    </row>
    <row r="30" spans="1:158" ht="17.25" thickBot="1" x14ac:dyDescent="0.3">
      <c r="A30" s="226">
        <v>46135</v>
      </c>
      <c r="B30" s="227" t="s">
        <v>184</v>
      </c>
      <c r="C30" s="227" t="s">
        <v>669</v>
      </c>
      <c r="D30" s="228">
        <v>350</v>
      </c>
      <c r="E30" s="231">
        <v>1424.5</v>
      </c>
      <c r="F30" s="231">
        <v>1384.1</v>
      </c>
      <c r="G30" s="228">
        <v>40.4</v>
      </c>
      <c r="H30" s="229">
        <v>2.92E-2</v>
      </c>
      <c r="I30" s="231">
        <v>1423.3</v>
      </c>
      <c r="J30" s="231">
        <v>1380.2</v>
      </c>
      <c r="K30" s="228">
        <v>43.1</v>
      </c>
      <c r="L30" s="229">
        <v>3.1199999999999999E-2</v>
      </c>
      <c r="M30" s="231">
        <v>1424.5</v>
      </c>
      <c r="N30" s="231">
        <v>1384.1</v>
      </c>
      <c r="O30" s="228">
        <v>40.4</v>
      </c>
      <c r="P30" s="229">
        <v>2.92E-2</v>
      </c>
      <c r="Q30" s="231">
        <v>1411.6</v>
      </c>
      <c r="R30" s="231">
        <v>1370.4</v>
      </c>
      <c r="S30" s="228">
        <v>41.2</v>
      </c>
      <c r="T30" s="229">
        <v>3.0099999999999998E-2</v>
      </c>
      <c r="U30" s="231">
        <v>1407.6</v>
      </c>
      <c r="V30" s="231">
        <v>1367.6</v>
      </c>
      <c r="W30" s="228">
        <v>40</v>
      </c>
      <c r="X30" s="229">
        <v>2.92E-2</v>
      </c>
      <c r="Y30" s="228">
        <v>1.2</v>
      </c>
      <c r="Z30" s="228">
        <v>3.9</v>
      </c>
      <c r="AA30" s="228">
        <v>-2.7</v>
      </c>
      <c r="AB30" s="229">
        <v>8.0000000000000004E-4</v>
      </c>
      <c r="AC30" s="228">
        <v>1.2</v>
      </c>
      <c r="AD30" s="228">
        <v>3.9</v>
      </c>
      <c r="AE30" s="228">
        <v>-2.7</v>
      </c>
      <c r="AF30" s="229">
        <v>8.0000000000000004E-4</v>
      </c>
      <c r="AG30" s="228">
        <v>-11.7</v>
      </c>
      <c r="AH30" s="228">
        <v>-9.8000000000000007</v>
      </c>
      <c r="AI30" s="228">
        <v>-1.9</v>
      </c>
      <c r="AJ30" s="229">
        <v>-8.2000000000000007E-3</v>
      </c>
      <c r="AK30" s="228">
        <v>-15.7</v>
      </c>
      <c r="AL30" s="228">
        <v>-12.6</v>
      </c>
      <c r="AM30" s="228">
        <v>-3.1</v>
      </c>
      <c r="AN30" s="229">
        <v>-1.0999999999999999E-2</v>
      </c>
      <c r="AO30" s="231">
        <v>1406.89</v>
      </c>
      <c r="AP30" s="231">
        <v>1398.33</v>
      </c>
      <c r="AQ30" s="228">
        <v>0</v>
      </c>
      <c r="AR30" s="230">
        <v>4104100</v>
      </c>
      <c r="AS30" s="230">
        <v>1207150</v>
      </c>
      <c r="AT30" s="230">
        <v>2896950</v>
      </c>
      <c r="AU30" s="229">
        <v>2.3997999999999999</v>
      </c>
      <c r="AV30" s="230">
        <v>2092300</v>
      </c>
      <c r="AW30" s="230">
        <v>734650</v>
      </c>
      <c r="AX30" s="230">
        <v>1357650</v>
      </c>
      <c r="AY30" s="229">
        <v>1.8480000000000001</v>
      </c>
      <c r="AZ30" s="230">
        <v>1958950</v>
      </c>
      <c r="BA30" s="230">
        <v>449400</v>
      </c>
      <c r="BB30" s="230">
        <v>1509550</v>
      </c>
      <c r="BC30" s="229">
        <v>3.359</v>
      </c>
      <c r="BD30" s="230">
        <v>52850</v>
      </c>
      <c r="BE30" s="230">
        <v>23100</v>
      </c>
      <c r="BF30" s="230">
        <v>29750</v>
      </c>
      <c r="BG30" s="229">
        <v>1.2879</v>
      </c>
      <c r="BH30" s="230">
        <v>10175200</v>
      </c>
      <c r="BI30" s="230">
        <v>2888550</v>
      </c>
      <c r="BJ30" s="230">
        <v>7286650</v>
      </c>
      <c r="BK30" s="229">
        <v>2.5226000000000002</v>
      </c>
      <c r="BL30" s="230">
        <v>3541300</v>
      </c>
      <c r="BM30" s="230">
        <v>2144450</v>
      </c>
      <c r="BN30" s="230">
        <v>1396850</v>
      </c>
      <c r="BO30" s="229">
        <v>0.65139999999999998</v>
      </c>
      <c r="BP30" s="230">
        <v>17820600</v>
      </c>
      <c r="BQ30" s="230">
        <v>6240150</v>
      </c>
      <c r="BR30" s="230">
        <v>11580450</v>
      </c>
      <c r="BS30" s="229">
        <v>1.8557999999999999</v>
      </c>
      <c r="BT30" s="230">
        <v>2558211</v>
      </c>
      <c r="BU30" s="230">
        <v>894977</v>
      </c>
      <c r="BV30" s="230">
        <v>1663234</v>
      </c>
      <c r="BW30" s="229">
        <v>1.8584000000000001</v>
      </c>
      <c r="BX30" s="230">
        <v>4210850</v>
      </c>
      <c r="BY30" s="230">
        <v>4265800</v>
      </c>
      <c r="BZ30" s="230">
        <v>-54950</v>
      </c>
      <c r="CA30" s="229">
        <v>-1.29E-2</v>
      </c>
      <c r="CB30" s="230">
        <v>2237900</v>
      </c>
      <c r="CC30" s="230">
        <v>3034150</v>
      </c>
      <c r="CD30" s="230">
        <v>-796250</v>
      </c>
      <c r="CE30" s="229">
        <v>-0.26240000000000002</v>
      </c>
      <c r="CF30" s="230">
        <v>1874600</v>
      </c>
      <c r="CG30" s="230">
        <v>1148000</v>
      </c>
      <c r="CH30" s="230">
        <v>726600</v>
      </c>
      <c r="CI30" s="229">
        <v>0.63290000000000002</v>
      </c>
      <c r="CJ30" s="230">
        <v>98350</v>
      </c>
      <c r="CK30" s="230">
        <v>83650</v>
      </c>
      <c r="CL30" s="230">
        <v>14700</v>
      </c>
      <c r="CM30" s="229">
        <v>0.1757</v>
      </c>
      <c r="CN30" s="230">
        <v>3695300</v>
      </c>
      <c r="CO30" s="230">
        <v>3492300</v>
      </c>
      <c r="CP30" s="230">
        <v>203000</v>
      </c>
      <c r="CQ30" s="229">
        <v>5.8099999999999999E-2</v>
      </c>
      <c r="CR30" s="230">
        <v>3110800</v>
      </c>
      <c r="CS30" s="230">
        <v>2828350</v>
      </c>
      <c r="CT30" s="230">
        <v>282450</v>
      </c>
      <c r="CU30" s="229">
        <v>9.9900000000000003E-2</v>
      </c>
      <c r="CV30" s="230">
        <v>11016950</v>
      </c>
      <c r="CW30" s="230">
        <v>10586450</v>
      </c>
      <c r="CX30" s="230">
        <v>430500</v>
      </c>
      <c r="CY30" s="229">
        <v>4.07E-2</v>
      </c>
      <c r="CZ30" s="228">
        <v>41.59</v>
      </c>
      <c r="DA30" s="228">
        <v>42.23</v>
      </c>
      <c r="DB30" s="228">
        <v>-0.64</v>
      </c>
      <c r="DC30" s="228">
        <v>-0.64</v>
      </c>
      <c r="DD30" s="228">
        <v>53.15</v>
      </c>
      <c r="DE30" s="228">
        <v>53.14</v>
      </c>
      <c r="DF30" s="228">
        <v>-11.56</v>
      </c>
      <c r="DG30" s="228">
        <v>0.01</v>
      </c>
      <c r="DH30" s="228">
        <v>41.94</v>
      </c>
      <c r="DI30" s="228">
        <v>37.090000000000003</v>
      </c>
      <c r="DJ30" s="228">
        <v>4.8499999999999996</v>
      </c>
      <c r="DK30" s="228">
        <v>4.8499999999999996</v>
      </c>
      <c r="DL30" s="228">
        <v>40.86</v>
      </c>
      <c r="DM30" s="228">
        <v>49.15</v>
      </c>
      <c r="DN30" s="228">
        <v>-8.2899999999999991</v>
      </c>
      <c r="DO30" s="228">
        <v>-8.2899999999999991</v>
      </c>
      <c r="DP30" s="228">
        <v>0.84</v>
      </c>
      <c r="DQ30" s="228">
        <v>0.81</v>
      </c>
      <c r="DR30" s="228">
        <v>0.03</v>
      </c>
      <c r="DS30" s="229">
        <v>3.6999999999999998E-2</v>
      </c>
      <c r="DT30" s="231">
        <v>1400</v>
      </c>
      <c r="DU30" s="231">
        <v>1400</v>
      </c>
      <c r="DV30" s="228">
        <v>0.35</v>
      </c>
      <c r="DW30" s="228">
        <v>0.74</v>
      </c>
      <c r="DX30" s="228">
        <v>-0.39</v>
      </c>
      <c r="DY30" s="229">
        <v>-0.52700000000000002</v>
      </c>
      <c r="DZ30" s="229">
        <v>0.46850000000000003</v>
      </c>
      <c r="EA30" s="230">
        <v>1231650</v>
      </c>
      <c r="EB30" s="229">
        <v>-9.1000000000000004E-3</v>
      </c>
      <c r="EC30" s="229">
        <v>0.46850000000000003</v>
      </c>
      <c r="ED30" s="228">
        <v>-8.56</v>
      </c>
      <c r="EE30" s="229">
        <v>-6.1000000000000004E-3</v>
      </c>
      <c r="EF30" s="230">
        <v>726166</v>
      </c>
      <c r="EG30" s="230">
        <v>232757</v>
      </c>
      <c r="EH30" s="229">
        <v>2.1198000000000001</v>
      </c>
      <c r="EI30" s="229">
        <v>0.28389999999999999</v>
      </c>
      <c r="EJ30" s="231">
        <v>148747.79</v>
      </c>
      <c r="EK30" s="231">
        <v>47709.11</v>
      </c>
      <c r="EL30" s="231">
        <v>57566.18</v>
      </c>
      <c r="EM30" s="231">
        <v>3568</v>
      </c>
      <c r="EN30" s="231">
        <v>254023.08</v>
      </c>
      <c r="EO30" s="231">
        <v>85847.039999999994</v>
      </c>
      <c r="EP30" s="231">
        <v>168176.04</v>
      </c>
      <c r="EQ30" s="229">
        <v>1.9590000000000001</v>
      </c>
      <c r="ER30" s="231">
        <v>51312</v>
      </c>
      <c r="ES30" s="231">
        <v>39569</v>
      </c>
      <c r="ET30" s="231">
        <v>59725</v>
      </c>
      <c r="EU30" s="231">
        <v>13786716</v>
      </c>
      <c r="EV30" s="231">
        <v>150606</v>
      </c>
      <c r="EW30" s="231">
        <v>142140</v>
      </c>
      <c r="EX30" s="231">
        <v>8466</v>
      </c>
      <c r="EY30" s="229">
        <v>5.96E-2</v>
      </c>
      <c r="EZ30" s="229">
        <v>0.79910000000000003</v>
      </c>
      <c r="FA30" s="227" t="s">
        <v>693</v>
      </c>
      <c r="FB30" s="161">
        <f t="shared" si="0"/>
        <v>1972950</v>
      </c>
    </row>
    <row r="31" spans="1:158" ht="17.25" thickBot="1" x14ac:dyDescent="0.3">
      <c r="A31" s="226">
        <v>46135</v>
      </c>
      <c r="B31" s="227" t="s">
        <v>184</v>
      </c>
      <c r="C31" s="227" t="s">
        <v>185</v>
      </c>
      <c r="D31" s="228">
        <v>1425</v>
      </c>
      <c r="E31" s="228">
        <v>450.3</v>
      </c>
      <c r="F31" s="228">
        <v>449.45</v>
      </c>
      <c r="G31" s="228">
        <v>0.85</v>
      </c>
      <c r="H31" s="229">
        <v>1.9E-3</v>
      </c>
      <c r="I31" s="228">
        <v>449.95</v>
      </c>
      <c r="J31" s="228">
        <v>448.7</v>
      </c>
      <c r="K31" s="228">
        <v>1.25</v>
      </c>
      <c r="L31" s="229">
        <v>2.8E-3</v>
      </c>
      <c r="M31" s="228">
        <v>450.3</v>
      </c>
      <c r="N31" s="228">
        <v>449.45</v>
      </c>
      <c r="O31" s="228">
        <v>0.85</v>
      </c>
      <c r="P31" s="229">
        <v>1.9E-3</v>
      </c>
      <c r="Q31" s="228">
        <v>452.8</v>
      </c>
      <c r="R31" s="228">
        <v>451.8</v>
      </c>
      <c r="S31" s="228">
        <v>1</v>
      </c>
      <c r="T31" s="229">
        <v>2.2000000000000001E-3</v>
      </c>
      <c r="U31" s="228">
        <v>455.7</v>
      </c>
      <c r="V31" s="228">
        <v>454.7</v>
      </c>
      <c r="W31" s="228">
        <v>1</v>
      </c>
      <c r="X31" s="229">
        <v>2.2000000000000001E-3</v>
      </c>
      <c r="Y31" s="228">
        <v>0.35</v>
      </c>
      <c r="Z31" s="228">
        <v>0.75</v>
      </c>
      <c r="AA31" s="228">
        <v>-0.4</v>
      </c>
      <c r="AB31" s="229">
        <v>8.0000000000000004E-4</v>
      </c>
      <c r="AC31" s="228">
        <v>0.35</v>
      </c>
      <c r="AD31" s="228">
        <v>0.75</v>
      </c>
      <c r="AE31" s="228">
        <v>-0.4</v>
      </c>
      <c r="AF31" s="229">
        <v>8.0000000000000004E-4</v>
      </c>
      <c r="AG31" s="228">
        <v>2.85</v>
      </c>
      <c r="AH31" s="228">
        <v>3.1</v>
      </c>
      <c r="AI31" s="228">
        <v>-0.25</v>
      </c>
      <c r="AJ31" s="229">
        <v>6.3E-3</v>
      </c>
      <c r="AK31" s="228">
        <v>5.75</v>
      </c>
      <c r="AL31" s="228">
        <v>6</v>
      </c>
      <c r="AM31" s="228">
        <v>-0.25</v>
      </c>
      <c r="AN31" s="229">
        <v>1.2800000000000001E-2</v>
      </c>
      <c r="AO31" s="228">
        <v>448.41</v>
      </c>
      <c r="AP31" s="228">
        <v>450.93</v>
      </c>
      <c r="AQ31" s="228">
        <v>0</v>
      </c>
      <c r="AR31" s="230">
        <v>45447525</v>
      </c>
      <c r="AS31" s="230">
        <v>21932175</v>
      </c>
      <c r="AT31" s="230">
        <v>23515350</v>
      </c>
      <c r="AU31" s="229">
        <v>1.0722</v>
      </c>
      <c r="AV31" s="230">
        <v>22711650</v>
      </c>
      <c r="AW31" s="230">
        <v>13306650</v>
      </c>
      <c r="AX31" s="230">
        <v>9405000</v>
      </c>
      <c r="AY31" s="229">
        <v>0.70679999999999998</v>
      </c>
      <c r="AZ31" s="230">
        <v>21054375</v>
      </c>
      <c r="BA31" s="230">
        <v>6215850</v>
      </c>
      <c r="BB31" s="230">
        <v>14838525</v>
      </c>
      <c r="BC31" s="229">
        <v>2.3872</v>
      </c>
      <c r="BD31" s="230">
        <v>1681500</v>
      </c>
      <c r="BE31" s="230">
        <v>2409675</v>
      </c>
      <c r="BF31" s="230">
        <v>-728175</v>
      </c>
      <c r="BG31" s="229">
        <v>-0.30220000000000002</v>
      </c>
      <c r="BH31" s="230">
        <v>80267400</v>
      </c>
      <c r="BI31" s="230">
        <v>68169150</v>
      </c>
      <c r="BJ31" s="230">
        <v>12098250</v>
      </c>
      <c r="BK31" s="229">
        <v>0.17749999999999999</v>
      </c>
      <c r="BL31" s="230">
        <v>37186800</v>
      </c>
      <c r="BM31" s="230">
        <v>30812775</v>
      </c>
      <c r="BN31" s="230">
        <v>6374025</v>
      </c>
      <c r="BO31" s="229">
        <v>0.2069</v>
      </c>
      <c r="BP31" s="230">
        <v>162901725</v>
      </c>
      <c r="BQ31" s="230">
        <v>120914100</v>
      </c>
      <c r="BR31" s="230">
        <v>41987625</v>
      </c>
      <c r="BS31" s="229">
        <v>0.3473</v>
      </c>
      <c r="BT31" s="230">
        <v>15779855</v>
      </c>
      <c r="BU31" s="230">
        <v>12235810</v>
      </c>
      <c r="BV31" s="230">
        <v>3544045</v>
      </c>
      <c r="BW31" s="229">
        <v>0.28960000000000002</v>
      </c>
      <c r="BX31" s="230">
        <v>107292525</v>
      </c>
      <c r="BY31" s="230">
        <v>107211300</v>
      </c>
      <c r="BZ31" s="230">
        <v>81225</v>
      </c>
      <c r="CA31" s="229">
        <v>8.0000000000000004E-4</v>
      </c>
      <c r="CB31" s="230">
        <v>62137125</v>
      </c>
      <c r="CC31" s="230">
        <v>78691350</v>
      </c>
      <c r="CD31" s="230">
        <v>-16554225</v>
      </c>
      <c r="CE31" s="229">
        <v>-0.2104</v>
      </c>
      <c r="CF31" s="230">
        <v>35620725</v>
      </c>
      <c r="CG31" s="230">
        <v>20410275</v>
      </c>
      <c r="CH31" s="230">
        <v>15210450</v>
      </c>
      <c r="CI31" s="229">
        <v>0.74519999999999997</v>
      </c>
      <c r="CJ31" s="230">
        <v>9534675</v>
      </c>
      <c r="CK31" s="230">
        <v>8109675</v>
      </c>
      <c r="CL31" s="230">
        <v>1425000</v>
      </c>
      <c r="CM31" s="229">
        <v>0.1757</v>
      </c>
      <c r="CN31" s="230">
        <v>48093750</v>
      </c>
      <c r="CO31" s="230">
        <v>47405475</v>
      </c>
      <c r="CP31" s="230">
        <v>688275</v>
      </c>
      <c r="CQ31" s="229">
        <v>1.4500000000000001E-2</v>
      </c>
      <c r="CR31" s="230">
        <v>32693775</v>
      </c>
      <c r="CS31" s="230">
        <v>33062850</v>
      </c>
      <c r="CT31" s="230">
        <v>-369075</v>
      </c>
      <c r="CU31" s="229">
        <v>-1.12E-2</v>
      </c>
      <c r="CV31" s="230">
        <v>188080050</v>
      </c>
      <c r="CW31" s="230">
        <v>187679625</v>
      </c>
      <c r="CX31" s="230">
        <v>400425</v>
      </c>
      <c r="CY31" s="229">
        <v>2.0999999999999999E-3</v>
      </c>
      <c r="CZ31" s="228">
        <v>31.92</v>
      </c>
      <c r="DA31" s="228">
        <v>32.369999999999997</v>
      </c>
      <c r="DB31" s="228">
        <v>-0.45</v>
      </c>
      <c r="DC31" s="228">
        <v>-0.45</v>
      </c>
      <c r="DD31" s="228">
        <v>36.979999999999997</v>
      </c>
      <c r="DE31" s="228">
        <v>37.07</v>
      </c>
      <c r="DF31" s="228">
        <v>-5.0599999999999996</v>
      </c>
      <c r="DG31" s="228">
        <v>-0.09</v>
      </c>
      <c r="DH31" s="228">
        <v>31.93</v>
      </c>
      <c r="DI31" s="228">
        <v>32.119999999999997</v>
      </c>
      <c r="DJ31" s="228">
        <v>-0.19</v>
      </c>
      <c r="DK31" s="228">
        <v>-0.19</v>
      </c>
      <c r="DL31" s="228">
        <v>31.9</v>
      </c>
      <c r="DM31" s="228">
        <v>32.909999999999997</v>
      </c>
      <c r="DN31" s="228">
        <v>-1.01</v>
      </c>
      <c r="DO31" s="228">
        <v>-1.01</v>
      </c>
      <c r="DP31" s="228">
        <v>0.68</v>
      </c>
      <c r="DQ31" s="228">
        <v>0.7</v>
      </c>
      <c r="DR31" s="228">
        <v>-0.02</v>
      </c>
      <c r="DS31" s="229">
        <v>-2.86E-2</v>
      </c>
      <c r="DT31" s="228">
        <v>460</v>
      </c>
      <c r="DU31" s="228">
        <v>450</v>
      </c>
      <c r="DV31" s="228">
        <v>0.46</v>
      </c>
      <c r="DW31" s="228">
        <v>0.45</v>
      </c>
      <c r="DX31" s="228">
        <v>0.01</v>
      </c>
      <c r="DY31" s="229">
        <v>2.2200000000000001E-2</v>
      </c>
      <c r="DZ31" s="229">
        <v>0.4209</v>
      </c>
      <c r="EA31" s="230">
        <v>28519950</v>
      </c>
      <c r="EB31" s="229">
        <v>5.5999999999999999E-3</v>
      </c>
      <c r="EC31" s="229">
        <v>0.4209</v>
      </c>
      <c r="ED31" s="228">
        <v>2.52</v>
      </c>
      <c r="EE31" s="229">
        <v>5.5999999999999999E-3</v>
      </c>
      <c r="EF31" s="230">
        <v>5716950</v>
      </c>
      <c r="EG31" s="230">
        <v>5638669</v>
      </c>
      <c r="EH31" s="229">
        <v>1.3899999999999999E-2</v>
      </c>
      <c r="EI31" s="229">
        <v>0.36230000000000001</v>
      </c>
      <c r="EJ31" s="231">
        <v>375435.06</v>
      </c>
      <c r="EK31" s="231">
        <v>163933.13</v>
      </c>
      <c r="EL31" s="231">
        <v>204390.97</v>
      </c>
      <c r="EM31" s="231">
        <v>11504</v>
      </c>
      <c r="EN31" s="231">
        <v>743759.16</v>
      </c>
      <c r="EO31" s="231">
        <v>555324.18000000005</v>
      </c>
      <c r="EP31" s="231">
        <v>188434.98</v>
      </c>
      <c r="EQ31" s="229">
        <v>0.33929999999999999</v>
      </c>
      <c r="ER31" s="231">
        <v>222022</v>
      </c>
      <c r="ES31" s="231">
        <v>139926</v>
      </c>
      <c r="ET31" s="231">
        <v>484544</v>
      </c>
      <c r="EU31" s="231">
        <v>535778534</v>
      </c>
      <c r="EV31" s="231">
        <v>846491</v>
      </c>
      <c r="EW31" s="231">
        <v>843061</v>
      </c>
      <c r="EX31" s="231">
        <v>3430</v>
      </c>
      <c r="EY31" s="229">
        <v>4.1000000000000003E-3</v>
      </c>
      <c r="EZ31" s="229">
        <v>0.35099999999999998</v>
      </c>
      <c r="FA31" s="227" t="s">
        <v>555</v>
      </c>
      <c r="FB31" s="161">
        <f t="shared" si="0"/>
        <v>45155400</v>
      </c>
    </row>
    <row r="32" spans="1:158" ht="17.25" thickBot="1" x14ac:dyDescent="0.3">
      <c r="A32" s="226">
        <v>46135</v>
      </c>
      <c r="B32" s="227" t="s">
        <v>162</v>
      </c>
      <c r="C32" s="227" t="s">
        <v>187</v>
      </c>
      <c r="D32" s="228">
        <v>500</v>
      </c>
      <c r="E32" s="231">
        <v>1860.7</v>
      </c>
      <c r="F32" s="231">
        <v>1896.6</v>
      </c>
      <c r="G32" s="228">
        <v>-35.9</v>
      </c>
      <c r="H32" s="229">
        <v>-1.89E-2</v>
      </c>
      <c r="I32" s="231">
        <v>1874.1</v>
      </c>
      <c r="J32" s="231">
        <v>1903.2</v>
      </c>
      <c r="K32" s="228">
        <v>-29.1</v>
      </c>
      <c r="L32" s="229">
        <v>-1.5299999999999999E-2</v>
      </c>
      <c r="M32" s="231">
        <v>1860.7</v>
      </c>
      <c r="N32" s="231">
        <v>1896.6</v>
      </c>
      <c r="O32" s="228">
        <v>-35.9</v>
      </c>
      <c r="P32" s="229">
        <v>-1.89E-2</v>
      </c>
      <c r="Q32" s="231">
        <v>1854.4</v>
      </c>
      <c r="R32" s="231">
        <v>1892.4</v>
      </c>
      <c r="S32" s="228">
        <v>-38</v>
      </c>
      <c r="T32" s="229">
        <v>-2.01E-2</v>
      </c>
      <c r="U32" s="231">
        <v>1848.7</v>
      </c>
      <c r="V32" s="231">
        <v>1895.2</v>
      </c>
      <c r="W32" s="228">
        <v>-46.5</v>
      </c>
      <c r="X32" s="229">
        <v>-2.4500000000000001E-2</v>
      </c>
      <c r="Y32" s="228">
        <v>-13.4</v>
      </c>
      <c r="Z32" s="228">
        <v>-6.6</v>
      </c>
      <c r="AA32" s="228">
        <v>-6.8</v>
      </c>
      <c r="AB32" s="229">
        <v>-7.1999999999999998E-3</v>
      </c>
      <c r="AC32" s="228">
        <v>-13.4</v>
      </c>
      <c r="AD32" s="228">
        <v>-6.6</v>
      </c>
      <c r="AE32" s="228">
        <v>-6.8</v>
      </c>
      <c r="AF32" s="229">
        <v>-7.1999999999999998E-3</v>
      </c>
      <c r="AG32" s="228">
        <v>-19.7</v>
      </c>
      <c r="AH32" s="228">
        <v>-10.8</v>
      </c>
      <c r="AI32" s="228">
        <v>-8.9</v>
      </c>
      <c r="AJ32" s="229">
        <v>-1.0500000000000001E-2</v>
      </c>
      <c r="AK32" s="228">
        <v>-25.4</v>
      </c>
      <c r="AL32" s="228">
        <v>-8</v>
      </c>
      <c r="AM32" s="228">
        <v>-17.399999999999999</v>
      </c>
      <c r="AN32" s="229">
        <v>-1.3599999999999999E-2</v>
      </c>
      <c r="AO32" s="231">
        <v>1859.74</v>
      </c>
      <c r="AP32" s="231">
        <v>1854.22</v>
      </c>
      <c r="AQ32" s="228">
        <v>0</v>
      </c>
      <c r="AR32" s="230">
        <v>6993500</v>
      </c>
      <c r="AS32" s="230">
        <v>2185500</v>
      </c>
      <c r="AT32" s="230">
        <v>4808000</v>
      </c>
      <c r="AU32" s="229">
        <v>2.2000000000000002</v>
      </c>
      <c r="AV32" s="230">
        <v>3760000</v>
      </c>
      <c r="AW32" s="230">
        <v>1445000</v>
      </c>
      <c r="AX32" s="230">
        <v>2315000</v>
      </c>
      <c r="AY32" s="229">
        <v>1.6021000000000001</v>
      </c>
      <c r="AZ32" s="230">
        <v>3206000</v>
      </c>
      <c r="BA32" s="230">
        <v>726000</v>
      </c>
      <c r="BB32" s="230">
        <v>2480000</v>
      </c>
      <c r="BC32" s="229">
        <v>3.4159999999999999</v>
      </c>
      <c r="BD32" s="230">
        <v>27500</v>
      </c>
      <c r="BE32" s="230">
        <v>14500</v>
      </c>
      <c r="BF32" s="230">
        <v>13000</v>
      </c>
      <c r="BG32" s="229">
        <v>0.89659999999999995</v>
      </c>
      <c r="BH32" s="230">
        <v>6192500</v>
      </c>
      <c r="BI32" s="230">
        <v>5692500</v>
      </c>
      <c r="BJ32" s="230">
        <v>500000</v>
      </c>
      <c r="BK32" s="229">
        <v>8.7800000000000003E-2</v>
      </c>
      <c r="BL32" s="230">
        <v>4266500</v>
      </c>
      <c r="BM32" s="230">
        <v>2406500</v>
      </c>
      <c r="BN32" s="230">
        <v>1860000</v>
      </c>
      <c r="BO32" s="229">
        <v>0.77290000000000003</v>
      </c>
      <c r="BP32" s="230">
        <v>17452500</v>
      </c>
      <c r="BQ32" s="230">
        <v>10284500</v>
      </c>
      <c r="BR32" s="230">
        <v>7168000</v>
      </c>
      <c r="BS32" s="229">
        <v>0.69699999999999995</v>
      </c>
      <c r="BT32" s="230">
        <v>1452044</v>
      </c>
      <c r="BU32" s="230">
        <v>1076030</v>
      </c>
      <c r="BV32" s="230">
        <v>376014</v>
      </c>
      <c r="BW32" s="229">
        <v>0.34939999999999999</v>
      </c>
      <c r="BX32" s="230">
        <v>9616500</v>
      </c>
      <c r="BY32" s="230">
        <v>8785000</v>
      </c>
      <c r="BZ32" s="230">
        <v>831500</v>
      </c>
      <c r="CA32" s="229">
        <v>9.4600000000000004E-2</v>
      </c>
      <c r="CB32" s="230">
        <v>6444000</v>
      </c>
      <c r="CC32" s="230">
        <v>7711000</v>
      </c>
      <c r="CD32" s="230">
        <v>-1267000</v>
      </c>
      <c r="CE32" s="229">
        <v>-0.1643</v>
      </c>
      <c r="CF32" s="230">
        <v>3127500</v>
      </c>
      <c r="CG32" s="230">
        <v>1042000</v>
      </c>
      <c r="CH32" s="230">
        <v>2085500</v>
      </c>
      <c r="CI32" s="229">
        <v>2.0013999999999998</v>
      </c>
      <c r="CJ32" s="230">
        <v>45000</v>
      </c>
      <c r="CK32" s="230">
        <v>32000</v>
      </c>
      <c r="CL32" s="230">
        <v>13000</v>
      </c>
      <c r="CM32" s="229">
        <v>0.40629999999999999</v>
      </c>
      <c r="CN32" s="230">
        <v>3852500</v>
      </c>
      <c r="CO32" s="230">
        <v>3668000</v>
      </c>
      <c r="CP32" s="230">
        <v>184500</v>
      </c>
      <c r="CQ32" s="229">
        <v>5.0299999999999997E-2</v>
      </c>
      <c r="CR32" s="230">
        <v>2619000</v>
      </c>
      <c r="CS32" s="230">
        <v>2464500</v>
      </c>
      <c r="CT32" s="230">
        <v>154500</v>
      </c>
      <c r="CU32" s="229">
        <v>6.2700000000000006E-2</v>
      </c>
      <c r="CV32" s="230">
        <v>16088000</v>
      </c>
      <c r="CW32" s="230">
        <v>14917500</v>
      </c>
      <c r="CX32" s="230">
        <v>1170500</v>
      </c>
      <c r="CY32" s="229">
        <v>7.85E-2</v>
      </c>
      <c r="CZ32" s="228">
        <v>34.79</v>
      </c>
      <c r="DA32" s="228">
        <v>30.95</v>
      </c>
      <c r="DB32" s="228">
        <v>3.84</v>
      </c>
      <c r="DC32" s="228">
        <v>3.84</v>
      </c>
      <c r="DD32" s="228">
        <v>39.6</v>
      </c>
      <c r="DE32" s="228">
        <v>39.619999999999997</v>
      </c>
      <c r="DF32" s="228">
        <v>-4.8099999999999996</v>
      </c>
      <c r="DG32" s="228">
        <v>-0.02</v>
      </c>
      <c r="DH32" s="228">
        <v>34.61</v>
      </c>
      <c r="DI32" s="228">
        <v>30.06</v>
      </c>
      <c r="DJ32" s="228">
        <v>4.55</v>
      </c>
      <c r="DK32" s="228">
        <v>4.55</v>
      </c>
      <c r="DL32" s="228">
        <v>35.08</v>
      </c>
      <c r="DM32" s="228">
        <v>33.06</v>
      </c>
      <c r="DN32" s="228">
        <v>2.02</v>
      </c>
      <c r="DO32" s="228">
        <v>2.02</v>
      </c>
      <c r="DP32" s="228">
        <v>0.68</v>
      </c>
      <c r="DQ32" s="228">
        <v>0.67</v>
      </c>
      <c r="DR32" s="228">
        <v>0.01</v>
      </c>
      <c r="DS32" s="229">
        <v>1.49E-2</v>
      </c>
      <c r="DT32" s="231">
        <v>1800</v>
      </c>
      <c r="DU32" s="231">
        <v>1800</v>
      </c>
      <c r="DV32" s="228">
        <v>0.69</v>
      </c>
      <c r="DW32" s="228">
        <v>0.42</v>
      </c>
      <c r="DX32" s="228">
        <v>0.27</v>
      </c>
      <c r="DY32" s="229">
        <v>0.64290000000000003</v>
      </c>
      <c r="DZ32" s="229">
        <v>0.32990000000000003</v>
      </c>
      <c r="EA32" s="230">
        <v>1074000</v>
      </c>
      <c r="EB32" s="229">
        <v>-3.3999999999999998E-3</v>
      </c>
      <c r="EC32" s="229">
        <v>0.32990000000000003</v>
      </c>
      <c r="ED32" s="228">
        <v>-5.52</v>
      </c>
      <c r="EE32" s="229">
        <v>-3.0000000000000001E-3</v>
      </c>
      <c r="EF32" s="230">
        <v>684920</v>
      </c>
      <c r="EG32" s="230">
        <v>549661</v>
      </c>
      <c r="EH32" s="229">
        <v>0.24610000000000001</v>
      </c>
      <c r="EI32" s="229">
        <v>0.47170000000000001</v>
      </c>
      <c r="EJ32" s="231">
        <v>119269.03</v>
      </c>
      <c r="EK32" s="231">
        <v>78974.58</v>
      </c>
      <c r="EL32" s="231">
        <v>129883.03</v>
      </c>
      <c r="EM32" s="231">
        <v>3344</v>
      </c>
      <c r="EN32" s="231">
        <v>328126.64</v>
      </c>
      <c r="EO32" s="231">
        <v>198186.63</v>
      </c>
      <c r="EP32" s="231">
        <v>129940.01</v>
      </c>
      <c r="EQ32" s="229">
        <v>0.65559999999999996</v>
      </c>
      <c r="ER32" s="231">
        <v>72403</v>
      </c>
      <c r="ES32" s="231">
        <v>45846</v>
      </c>
      <c r="ET32" s="231">
        <v>178732</v>
      </c>
      <c r="EU32" s="231">
        <v>40107751</v>
      </c>
      <c r="EV32" s="231">
        <v>296980</v>
      </c>
      <c r="EW32" s="231">
        <v>278528</v>
      </c>
      <c r="EX32" s="231">
        <v>18452</v>
      </c>
      <c r="EY32" s="229">
        <v>6.6199999999999995E-2</v>
      </c>
      <c r="EZ32" s="229">
        <v>0.40110000000000001</v>
      </c>
      <c r="FA32" s="227" t="s">
        <v>566</v>
      </c>
      <c r="FB32" s="161">
        <f t="shared" si="0"/>
        <v>3172500</v>
      </c>
    </row>
    <row r="33" spans="1:158" ht="17.25" thickBot="1" x14ac:dyDescent="0.3">
      <c r="A33" s="226">
        <v>46135</v>
      </c>
      <c r="B33" s="227" t="s">
        <v>188</v>
      </c>
      <c r="C33" s="227" t="s">
        <v>189</v>
      </c>
      <c r="D33" s="228">
        <v>475</v>
      </c>
      <c r="E33" s="231">
        <v>1838.5</v>
      </c>
      <c r="F33" s="231">
        <v>1831.5</v>
      </c>
      <c r="G33" s="228">
        <v>7</v>
      </c>
      <c r="H33" s="229">
        <v>3.8E-3</v>
      </c>
      <c r="I33" s="231">
        <v>1841.2</v>
      </c>
      <c r="J33" s="231">
        <v>1829</v>
      </c>
      <c r="K33" s="228">
        <v>12.2</v>
      </c>
      <c r="L33" s="229">
        <v>6.7000000000000002E-3</v>
      </c>
      <c r="M33" s="231">
        <v>1838.5</v>
      </c>
      <c r="N33" s="231">
        <v>1831.5</v>
      </c>
      <c r="O33" s="228">
        <v>7</v>
      </c>
      <c r="P33" s="229">
        <v>3.8E-3</v>
      </c>
      <c r="Q33" s="231">
        <v>1848.3</v>
      </c>
      <c r="R33" s="231">
        <v>1841.5</v>
      </c>
      <c r="S33" s="228">
        <v>6.8</v>
      </c>
      <c r="T33" s="229">
        <v>3.7000000000000002E-3</v>
      </c>
      <c r="U33" s="231">
        <v>1860</v>
      </c>
      <c r="V33" s="231">
        <v>1852.8</v>
      </c>
      <c r="W33" s="228">
        <v>7.2</v>
      </c>
      <c r="X33" s="229">
        <v>3.8999999999999998E-3</v>
      </c>
      <c r="Y33" s="228">
        <v>-2.7</v>
      </c>
      <c r="Z33" s="228">
        <v>2.5</v>
      </c>
      <c r="AA33" s="228">
        <v>-5.2</v>
      </c>
      <c r="AB33" s="229">
        <v>-1.5E-3</v>
      </c>
      <c r="AC33" s="228">
        <v>-2.7</v>
      </c>
      <c r="AD33" s="228">
        <v>2.5</v>
      </c>
      <c r="AE33" s="228">
        <v>-5.2</v>
      </c>
      <c r="AF33" s="229">
        <v>-1.5E-3</v>
      </c>
      <c r="AG33" s="228">
        <v>7.1</v>
      </c>
      <c r="AH33" s="228">
        <v>12.5</v>
      </c>
      <c r="AI33" s="228">
        <v>-5.4</v>
      </c>
      <c r="AJ33" s="229">
        <v>3.8999999999999998E-3</v>
      </c>
      <c r="AK33" s="228">
        <v>18.8</v>
      </c>
      <c r="AL33" s="228">
        <v>23.8</v>
      </c>
      <c r="AM33" s="228">
        <v>-5</v>
      </c>
      <c r="AN33" s="229">
        <v>1.0200000000000001E-2</v>
      </c>
      <c r="AO33" s="231">
        <v>1834.36</v>
      </c>
      <c r="AP33" s="231">
        <v>1844.22</v>
      </c>
      <c r="AQ33" s="228">
        <v>0</v>
      </c>
      <c r="AR33" s="230">
        <v>21433425</v>
      </c>
      <c r="AS33" s="230">
        <v>8313925</v>
      </c>
      <c r="AT33" s="230">
        <v>13119500</v>
      </c>
      <c r="AU33" s="229">
        <v>1.5780000000000001</v>
      </c>
      <c r="AV33" s="230">
        <v>10700325</v>
      </c>
      <c r="AW33" s="230">
        <v>4063625</v>
      </c>
      <c r="AX33" s="230">
        <v>6636700</v>
      </c>
      <c r="AY33" s="229">
        <v>1.6332</v>
      </c>
      <c r="AZ33" s="230">
        <v>9818725</v>
      </c>
      <c r="BA33" s="230">
        <v>3427125</v>
      </c>
      <c r="BB33" s="230">
        <v>6391600</v>
      </c>
      <c r="BC33" s="229">
        <v>1.865</v>
      </c>
      <c r="BD33" s="230">
        <v>914375</v>
      </c>
      <c r="BE33" s="230">
        <v>823175</v>
      </c>
      <c r="BF33" s="230">
        <v>91200</v>
      </c>
      <c r="BG33" s="229">
        <v>0.1108</v>
      </c>
      <c r="BH33" s="230">
        <v>24240675</v>
      </c>
      <c r="BI33" s="230">
        <v>19466925</v>
      </c>
      <c r="BJ33" s="230">
        <v>4773750</v>
      </c>
      <c r="BK33" s="229">
        <v>0.2452</v>
      </c>
      <c r="BL33" s="230">
        <v>8568050</v>
      </c>
      <c r="BM33" s="230">
        <v>10864200</v>
      </c>
      <c r="BN33" s="230">
        <v>-2296150</v>
      </c>
      <c r="BO33" s="229">
        <v>-0.2114</v>
      </c>
      <c r="BP33" s="230">
        <v>54242150</v>
      </c>
      <c r="BQ33" s="230">
        <v>38645050</v>
      </c>
      <c r="BR33" s="230">
        <v>15597100</v>
      </c>
      <c r="BS33" s="229">
        <v>0.40360000000000001</v>
      </c>
      <c r="BT33" s="230">
        <v>8108202</v>
      </c>
      <c r="BU33" s="230">
        <v>5748708</v>
      </c>
      <c r="BV33" s="230">
        <v>2359494</v>
      </c>
      <c r="BW33" s="229">
        <v>0.41039999999999999</v>
      </c>
      <c r="BX33" s="230">
        <v>61524375</v>
      </c>
      <c r="BY33" s="230">
        <v>61643600</v>
      </c>
      <c r="BZ33" s="230">
        <v>-119225</v>
      </c>
      <c r="CA33" s="229">
        <v>-1.9E-3</v>
      </c>
      <c r="CB33" s="230">
        <v>30165350</v>
      </c>
      <c r="CC33" s="230">
        <v>39437825</v>
      </c>
      <c r="CD33" s="230">
        <v>-9272475</v>
      </c>
      <c r="CE33" s="229">
        <v>-0.2351</v>
      </c>
      <c r="CF33" s="230">
        <v>23284025</v>
      </c>
      <c r="CG33" s="230">
        <v>14979125</v>
      </c>
      <c r="CH33" s="230">
        <v>8304900</v>
      </c>
      <c r="CI33" s="229">
        <v>0.5544</v>
      </c>
      <c r="CJ33" s="230">
        <v>8075000</v>
      </c>
      <c r="CK33" s="230">
        <v>7226650</v>
      </c>
      <c r="CL33" s="230">
        <v>848350</v>
      </c>
      <c r="CM33" s="229">
        <v>0.1174</v>
      </c>
      <c r="CN33" s="230">
        <v>13862400</v>
      </c>
      <c r="CO33" s="230">
        <v>14221975</v>
      </c>
      <c r="CP33" s="230">
        <v>-359575</v>
      </c>
      <c r="CQ33" s="229">
        <v>-2.53E-2</v>
      </c>
      <c r="CR33" s="230">
        <v>8882025</v>
      </c>
      <c r="CS33" s="230">
        <v>9111450</v>
      </c>
      <c r="CT33" s="230">
        <v>-229425</v>
      </c>
      <c r="CU33" s="229">
        <v>-2.52E-2</v>
      </c>
      <c r="CV33" s="230">
        <v>84268800</v>
      </c>
      <c r="CW33" s="230">
        <v>84977025</v>
      </c>
      <c r="CX33" s="230">
        <v>-708225</v>
      </c>
      <c r="CY33" s="229">
        <v>-8.3000000000000001E-3</v>
      </c>
      <c r="CZ33" s="228">
        <v>23.94</v>
      </c>
      <c r="DA33" s="228">
        <v>22.95</v>
      </c>
      <c r="DB33" s="228">
        <v>0.99</v>
      </c>
      <c r="DC33" s="228">
        <v>0.99</v>
      </c>
      <c r="DD33" s="228">
        <v>24.07</v>
      </c>
      <c r="DE33" s="228">
        <v>24.11</v>
      </c>
      <c r="DF33" s="228">
        <v>-0.13</v>
      </c>
      <c r="DG33" s="228">
        <v>-0.04</v>
      </c>
      <c r="DH33" s="228">
        <v>23.98</v>
      </c>
      <c r="DI33" s="228">
        <v>23.36</v>
      </c>
      <c r="DJ33" s="228">
        <v>0.62</v>
      </c>
      <c r="DK33" s="228">
        <v>0.62</v>
      </c>
      <c r="DL33" s="228">
        <v>23.78</v>
      </c>
      <c r="DM33" s="228">
        <v>22.22</v>
      </c>
      <c r="DN33" s="228">
        <v>1.56</v>
      </c>
      <c r="DO33" s="228">
        <v>1.56</v>
      </c>
      <c r="DP33" s="228">
        <v>0.64</v>
      </c>
      <c r="DQ33" s="228">
        <v>0.64</v>
      </c>
      <c r="DR33" s="228">
        <v>0</v>
      </c>
      <c r="DS33" s="229">
        <v>0</v>
      </c>
      <c r="DT33" s="231">
        <v>1900</v>
      </c>
      <c r="DU33" s="231">
        <v>1800</v>
      </c>
      <c r="DV33" s="228">
        <v>0.35</v>
      </c>
      <c r="DW33" s="228">
        <v>0.56000000000000005</v>
      </c>
      <c r="DX33" s="228">
        <v>-0.21</v>
      </c>
      <c r="DY33" s="229">
        <v>-0.375</v>
      </c>
      <c r="DZ33" s="229">
        <v>0.50970000000000004</v>
      </c>
      <c r="EA33" s="230">
        <v>22205775</v>
      </c>
      <c r="EB33" s="229">
        <v>5.3E-3</v>
      </c>
      <c r="EC33" s="229">
        <v>0.50970000000000004</v>
      </c>
      <c r="ED33" s="228">
        <v>9.86</v>
      </c>
      <c r="EE33" s="229">
        <v>5.4000000000000003E-3</v>
      </c>
      <c r="EF33" s="230">
        <v>4418181</v>
      </c>
      <c r="EG33" s="230">
        <v>4397325</v>
      </c>
      <c r="EH33" s="229">
        <v>4.7000000000000002E-3</v>
      </c>
      <c r="EI33" s="229">
        <v>0.54490000000000005</v>
      </c>
      <c r="EJ33" s="231">
        <v>457823.57</v>
      </c>
      <c r="EK33" s="231">
        <v>155324.94</v>
      </c>
      <c r="EL33" s="231">
        <v>394345.23</v>
      </c>
      <c r="EM33" s="231">
        <v>13148</v>
      </c>
      <c r="EN33" s="231">
        <v>1007493.74</v>
      </c>
      <c r="EO33" s="231">
        <v>720200.4</v>
      </c>
      <c r="EP33" s="231">
        <v>287293.34000000003</v>
      </c>
      <c r="EQ33" s="229">
        <v>0.39889999999999998</v>
      </c>
      <c r="ER33" s="231">
        <v>262424</v>
      </c>
      <c r="ES33" s="231">
        <v>160318</v>
      </c>
      <c r="ET33" s="231">
        <v>1135144</v>
      </c>
      <c r="EU33" s="231">
        <v>342859930</v>
      </c>
      <c r="EV33" s="231">
        <v>1557886</v>
      </c>
      <c r="EW33" s="231">
        <v>1565185</v>
      </c>
      <c r="EX33" s="231">
        <v>-7299</v>
      </c>
      <c r="EY33" s="229">
        <v>-4.7000000000000002E-3</v>
      </c>
      <c r="EZ33" s="229">
        <v>0.24579999999999999</v>
      </c>
      <c r="FA33" s="227" t="s">
        <v>693</v>
      </c>
      <c r="FB33" s="161">
        <f t="shared" si="0"/>
        <v>31359025</v>
      </c>
    </row>
    <row r="34" spans="1:158" ht="17.25" thickBot="1" x14ac:dyDescent="0.3">
      <c r="A34" s="226">
        <v>46135</v>
      </c>
      <c r="B34" s="227" t="s">
        <v>184</v>
      </c>
      <c r="C34" s="227" t="s">
        <v>190</v>
      </c>
      <c r="D34" s="228">
        <v>2625</v>
      </c>
      <c r="E34" s="228">
        <v>338.22</v>
      </c>
      <c r="F34" s="228">
        <v>334.14</v>
      </c>
      <c r="G34" s="228">
        <v>4.08</v>
      </c>
      <c r="H34" s="229">
        <v>1.2200000000000001E-2</v>
      </c>
      <c r="I34" s="228">
        <v>337.6</v>
      </c>
      <c r="J34" s="228">
        <v>333.64</v>
      </c>
      <c r="K34" s="228">
        <v>3.96</v>
      </c>
      <c r="L34" s="229">
        <v>1.1900000000000001E-2</v>
      </c>
      <c r="M34" s="228">
        <v>338.22</v>
      </c>
      <c r="N34" s="228">
        <v>334.14</v>
      </c>
      <c r="O34" s="228">
        <v>4.08</v>
      </c>
      <c r="P34" s="229">
        <v>1.2200000000000001E-2</v>
      </c>
      <c r="Q34" s="228">
        <v>339.88</v>
      </c>
      <c r="R34" s="228">
        <v>335.86</v>
      </c>
      <c r="S34" s="228">
        <v>4.0199999999999996</v>
      </c>
      <c r="T34" s="229">
        <v>1.2E-2</v>
      </c>
      <c r="U34" s="228">
        <v>341.86</v>
      </c>
      <c r="V34" s="228">
        <v>337.36</v>
      </c>
      <c r="W34" s="228">
        <v>4.5</v>
      </c>
      <c r="X34" s="229">
        <v>1.3299999999999999E-2</v>
      </c>
      <c r="Y34" s="228">
        <v>0.62</v>
      </c>
      <c r="Z34" s="228">
        <v>0.5</v>
      </c>
      <c r="AA34" s="228">
        <v>0.12</v>
      </c>
      <c r="AB34" s="229">
        <v>1.8E-3</v>
      </c>
      <c r="AC34" s="228">
        <v>0.62</v>
      </c>
      <c r="AD34" s="228">
        <v>0.5</v>
      </c>
      <c r="AE34" s="228">
        <v>0.12</v>
      </c>
      <c r="AF34" s="229">
        <v>1.8E-3</v>
      </c>
      <c r="AG34" s="228">
        <v>2.2799999999999998</v>
      </c>
      <c r="AH34" s="228">
        <v>2.2200000000000002</v>
      </c>
      <c r="AI34" s="228">
        <v>0.06</v>
      </c>
      <c r="AJ34" s="229">
        <v>6.7999999999999996E-3</v>
      </c>
      <c r="AK34" s="228">
        <v>4.26</v>
      </c>
      <c r="AL34" s="228">
        <v>3.72</v>
      </c>
      <c r="AM34" s="228">
        <v>0.54</v>
      </c>
      <c r="AN34" s="229">
        <v>1.26E-2</v>
      </c>
      <c r="AO34" s="228">
        <v>337.33</v>
      </c>
      <c r="AP34" s="228">
        <v>339.2</v>
      </c>
      <c r="AQ34" s="228">
        <v>0</v>
      </c>
      <c r="AR34" s="230">
        <v>71709750</v>
      </c>
      <c r="AS34" s="230">
        <v>26110875</v>
      </c>
      <c r="AT34" s="230">
        <v>45598875</v>
      </c>
      <c r="AU34" s="229">
        <v>1.7464</v>
      </c>
      <c r="AV34" s="230">
        <v>37453500</v>
      </c>
      <c r="AW34" s="230">
        <v>17687250</v>
      </c>
      <c r="AX34" s="230">
        <v>19766250</v>
      </c>
      <c r="AY34" s="229">
        <v>1.1174999999999999</v>
      </c>
      <c r="AZ34" s="230">
        <v>32143125</v>
      </c>
      <c r="BA34" s="230">
        <v>8129625</v>
      </c>
      <c r="BB34" s="230">
        <v>24013500</v>
      </c>
      <c r="BC34" s="229">
        <v>2.9538000000000002</v>
      </c>
      <c r="BD34" s="230">
        <v>2113125</v>
      </c>
      <c r="BE34" s="230">
        <v>294000</v>
      </c>
      <c r="BF34" s="230">
        <v>1819125</v>
      </c>
      <c r="BG34" s="229">
        <v>6.1875</v>
      </c>
      <c r="BH34" s="230">
        <v>113098125</v>
      </c>
      <c r="BI34" s="230">
        <v>116027625</v>
      </c>
      <c r="BJ34" s="230">
        <v>-2929500</v>
      </c>
      <c r="BK34" s="229">
        <v>-2.52E-2</v>
      </c>
      <c r="BL34" s="230">
        <v>68142375</v>
      </c>
      <c r="BM34" s="230">
        <v>63585375</v>
      </c>
      <c r="BN34" s="230">
        <v>4557000</v>
      </c>
      <c r="BO34" s="229">
        <v>7.17E-2</v>
      </c>
      <c r="BP34" s="230">
        <v>252950250</v>
      </c>
      <c r="BQ34" s="230">
        <v>205723875</v>
      </c>
      <c r="BR34" s="230">
        <v>47226375</v>
      </c>
      <c r="BS34" s="229">
        <v>0.2296</v>
      </c>
      <c r="BT34" s="230">
        <v>17196300</v>
      </c>
      <c r="BU34" s="230">
        <v>16974273</v>
      </c>
      <c r="BV34" s="230">
        <v>222027</v>
      </c>
      <c r="BW34" s="229">
        <v>1.3100000000000001E-2</v>
      </c>
      <c r="BX34" s="230">
        <v>115332000</v>
      </c>
      <c r="BY34" s="230">
        <v>112961625</v>
      </c>
      <c r="BZ34" s="230">
        <v>2370375</v>
      </c>
      <c r="CA34" s="229">
        <v>2.1000000000000001E-2</v>
      </c>
      <c r="CB34" s="230">
        <v>71520750</v>
      </c>
      <c r="CC34" s="230">
        <v>96253500</v>
      </c>
      <c r="CD34" s="230">
        <v>-24732750</v>
      </c>
      <c r="CE34" s="229">
        <v>-0.25700000000000001</v>
      </c>
      <c r="CF34" s="230">
        <v>41178375</v>
      </c>
      <c r="CG34" s="230">
        <v>15849750</v>
      </c>
      <c r="CH34" s="230">
        <v>25328625</v>
      </c>
      <c r="CI34" s="229">
        <v>1.5980000000000001</v>
      </c>
      <c r="CJ34" s="230">
        <v>2632875</v>
      </c>
      <c r="CK34" s="230">
        <v>858375</v>
      </c>
      <c r="CL34" s="230">
        <v>1774500</v>
      </c>
      <c r="CM34" s="229">
        <v>2.0672999999999999</v>
      </c>
      <c r="CN34" s="230">
        <v>49746375</v>
      </c>
      <c r="CO34" s="230">
        <v>53691750</v>
      </c>
      <c r="CP34" s="230">
        <v>-3945375</v>
      </c>
      <c r="CQ34" s="229">
        <v>-7.3499999999999996E-2</v>
      </c>
      <c r="CR34" s="230">
        <v>45150000</v>
      </c>
      <c r="CS34" s="230">
        <v>44740500</v>
      </c>
      <c r="CT34" s="230">
        <v>409500</v>
      </c>
      <c r="CU34" s="229">
        <v>9.1999999999999998E-3</v>
      </c>
      <c r="CV34" s="230">
        <v>210228375</v>
      </c>
      <c r="CW34" s="230">
        <v>211393875</v>
      </c>
      <c r="CX34" s="230">
        <v>-1165500</v>
      </c>
      <c r="CY34" s="229">
        <v>-5.4999999999999997E-3</v>
      </c>
      <c r="CZ34" s="228">
        <v>44.14</v>
      </c>
      <c r="DA34" s="228">
        <v>39.159999999999997</v>
      </c>
      <c r="DB34" s="228">
        <v>4.9800000000000004</v>
      </c>
      <c r="DC34" s="228">
        <v>4.9800000000000004</v>
      </c>
      <c r="DD34" s="228">
        <v>47.15</v>
      </c>
      <c r="DE34" s="228">
        <v>47.24</v>
      </c>
      <c r="DF34" s="228">
        <v>-3.01</v>
      </c>
      <c r="DG34" s="228">
        <v>-0.09</v>
      </c>
      <c r="DH34" s="228">
        <v>43.62</v>
      </c>
      <c r="DI34" s="228">
        <v>38.32</v>
      </c>
      <c r="DJ34" s="228">
        <v>5.3</v>
      </c>
      <c r="DK34" s="228">
        <v>5.3</v>
      </c>
      <c r="DL34" s="228">
        <v>45.27</v>
      </c>
      <c r="DM34" s="228">
        <v>40.700000000000003</v>
      </c>
      <c r="DN34" s="228">
        <v>4.57</v>
      </c>
      <c r="DO34" s="228">
        <v>4.57</v>
      </c>
      <c r="DP34" s="228">
        <v>0.91</v>
      </c>
      <c r="DQ34" s="228">
        <v>0.83</v>
      </c>
      <c r="DR34" s="228">
        <v>0.08</v>
      </c>
      <c r="DS34" s="229">
        <v>9.64E-2</v>
      </c>
      <c r="DT34" s="228">
        <v>350</v>
      </c>
      <c r="DU34" s="228">
        <v>310</v>
      </c>
      <c r="DV34" s="228">
        <v>0.6</v>
      </c>
      <c r="DW34" s="228">
        <v>0.55000000000000004</v>
      </c>
      <c r="DX34" s="228">
        <v>0.05</v>
      </c>
      <c r="DY34" s="229">
        <v>9.0899999999999995E-2</v>
      </c>
      <c r="DZ34" s="229">
        <v>0.37990000000000002</v>
      </c>
      <c r="EA34" s="230">
        <v>16708125</v>
      </c>
      <c r="EB34" s="229">
        <v>4.8999999999999998E-3</v>
      </c>
      <c r="EC34" s="229">
        <v>0.37990000000000002</v>
      </c>
      <c r="ED34" s="228">
        <v>1.87</v>
      </c>
      <c r="EE34" s="229">
        <v>5.4999999999999997E-3</v>
      </c>
      <c r="EF34" s="230">
        <v>7261163</v>
      </c>
      <c r="EG34" s="230">
        <v>6787799</v>
      </c>
      <c r="EH34" s="229">
        <v>6.9699999999999998E-2</v>
      </c>
      <c r="EI34" s="229">
        <v>0.42230000000000001</v>
      </c>
      <c r="EJ34" s="231">
        <v>394122.87</v>
      </c>
      <c r="EK34" s="231">
        <v>221513.35</v>
      </c>
      <c r="EL34" s="231">
        <v>242606.96</v>
      </c>
      <c r="EM34" s="231">
        <v>15672</v>
      </c>
      <c r="EN34" s="231">
        <v>858243.18</v>
      </c>
      <c r="EO34" s="231">
        <v>696079.94</v>
      </c>
      <c r="EP34" s="231">
        <v>162163.24</v>
      </c>
      <c r="EQ34" s="229">
        <v>0.23300000000000001</v>
      </c>
      <c r="ER34" s="231">
        <v>156163</v>
      </c>
      <c r="ES34" s="231">
        <v>133058</v>
      </c>
      <c r="ET34" s="231">
        <v>390855</v>
      </c>
      <c r="EU34" s="231">
        <v>192361942</v>
      </c>
      <c r="EV34" s="231">
        <v>680076</v>
      </c>
      <c r="EW34" s="231">
        <v>676944</v>
      </c>
      <c r="EX34" s="231">
        <v>3132</v>
      </c>
      <c r="EY34" s="229">
        <v>4.5999999999999999E-3</v>
      </c>
      <c r="EZ34" s="229">
        <v>1.0929</v>
      </c>
      <c r="FA34" s="227" t="s">
        <v>555</v>
      </c>
      <c r="FB34" s="161">
        <f t="shared" si="0"/>
        <v>43811250</v>
      </c>
    </row>
    <row r="35" spans="1:158" ht="17.25" thickBot="1" x14ac:dyDescent="0.3">
      <c r="A35" s="226">
        <v>46135</v>
      </c>
      <c r="B35" s="227" t="s">
        <v>170</v>
      </c>
      <c r="C35" s="227" t="s">
        <v>191</v>
      </c>
      <c r="D35" s="228">
        <v>2500</v>
      </c>
      <c r="E35" s="228">
        <v>358.6</v>
      </c>
      <c r="F35" s="228">
        <v>358.15</v>
      </c>
      <c r="G35" s="228">
        <v>0.45</v>
      </c>
      <c r="H35" s="229">
        <v>1.2999999999999999E-3</v>
      </c>
      <c r="I35" s="228">
        <v>358</v>
      </c>
      <c r="J35" s="228">
        <v>357.8</v>
      </c>
      <c r="K35" s="228">
        <v>0.2</v>
      </c>
      <c r="L35" s="229">
        <v>5.9999999999999995E-4</v>
      </c>
      <c r="M35" s="228">
        <v>358.6</v>
      </c>
      <c r="N35" s="228">
        <v>358.15</v>
      </c>
      <c r="O35" s="228">
        <v>0.45</v>
      </c>
      <c r="P35" s="229">
        <v>1.2999999999999999E-3</v>
      </c>
      <c r="Q35" s="228">
        <v>360.45</v>
      </c>
      <c r="R35" s="228">
        <v>360.25</v>
      </c>
      <c r="S35" s="228">
        <v>0.2</v>
      </c>
      <c r="T35" s="229">
        <v>5.9999999999999995E-4</v>
      </c>
      <c r="U35" s="228">
        <v>362.65</v>
      </c>
      <c r="V35" s="228">
        <v>362.1</v>
      </c>
      <c r="W35" s="228">
        <v>0.55000000000000004</v>
      </c>
      <c r="X35" s="229">
        <v>1.5E-3</v>
      </c>
      <c r="Y35" s="228">
        <v>0.6</v>
      </c>
      <c r="Z35" s="228">
        <v>0.35</v>
      </c>
      <c r="AA35" s="228">
        <v>0.25</v>
      </c>
      <c r="AB35" s="229">
        <v>1.6999999999999999E-3</v>
      </c>
      <c r="AC35" s="228">
        <v>0.6</v>
      </c>
      <c r="AD35" s="228">
        <v>0.35</v>
      </c>
      <c r="AE35" s="228">
        <v>0.25</v>
      </c>
      <c r="AF35" s="229">
        <v>1.6999999999999999E-3</v>
      </c>
      <c r="AG35" s="228">
        <v>2.4500000000000002</v>
      </c>
      <c r="AH35" s="228">
        <v>2.4500000000000002</v>
      </c>
      <c r="AI35" s="228">
        <v>0</v>
      </c>
      <c r="AJ35" s="229">
        <v>6.7999999999999996E-3</v>
      </c>
      <c r="AK35" s="228">
        <v>4.6500000000000004</v>
      </c>
      <c r="AL35" s="228">
        <v>4.3</v>
      </c>
      <c r="AM35" s="228">
        <v>0.35</v>
      </c>
      <c r="AN35" s="229">
        <v>1.2999999999999999E-2</v>
      </c>
      <c r="AO35" s="228">
        <v>360.15</v>
      </c>
      <c r="AP35" s="228">
        <v>362.03</v>
      </c>
      <c r="AQ35" s="228">
        <v>0</v>
      </c>
      <c r="AR35" s="230">
        <v>16147500</v>
      </c>
      <c r="AS35" s="230">
        <v>7680000</v>
      </c>
      <c r="AT35" s="230">
        <v>8467500</v>
      </c>
      <c r="AU35" s="229">
        <v>1.1025</v>
      </c>
      <c r="AV35" s="230">
        <v>8015000</v>
      </c>
      <c r="AW35" s="230">
        <v>4362500</v>
      </c>
      <c r="AX35" s="230">
        <v>3652500</v>
      </c>
      <c r="AY35" s="229">
        <v>0.83720000000000006</v>
      </c>
      <c r="AZ35" s="230">
        <v>7970000</v>
      </c>
      <c r="BA35" s="230">
        <v>3195000</v>
      </c>
      <c r="BB35" s="230">
        <v>4775000</v>
      </c>
      <c r="BC35" s="229">
        <v>1.4944999999999999</v>
      </c>
      <c r="BD35" s="230">
        <v>162500</v>
      </c>
      <c r="BE35" s="230">
        <v>122500</v>
      </c>
      <c r="BF35" s="230">
        <v>40000</v>
      </c>
      <c r="BG35" s="229">
        <v>0.32650000000000001</v>
      </c>
      <c r="BH35" s="230">
        <v>42010000</v>
      </c>
      <c r="BI35" s="230">
        <v>20470000</v>
      </c>
      <c r="BJ35" s="230">
        <v>21540000</v>
      </c>
      <c r="BK35" s="229">
        <v>1.0523</v>
      </c>
      <c r="BL35" s="230">
        <v>10537500</v>
      </c>
      <c r="BM35" s="230">
        <v>7342500</v>
      </c>
      <c r="BN35" s="230">
        <v>3195000</v>
      </c>
      <c r="BO35" s="229">
        <v>0.43509999999999999</v>
      </c>
      <c r="BP35" s="230">
        <v>68695000</v>
      </c>
      <c r="BQ35" s="230">
        <v>35492500</v>
      </c>
      <c r="BR35" s="230">
        <v>33202500</v>
      </c>
      <c r="BS35" s="229">
        <v>0.9355</v>
      </c>
      <c r="BT35" s="230">
        <v>2370603</v>
      </c>
      <c r="BU35" s="230">
        <v>2672458</v>
      </c>
      <c r="BV35" s="230">
        <v>-301855</v>
      </c>
      <c r="BW35" s="229">
        <v>-0.113</v>
      </c>
      <c r="BX35" s="230">
        <v>36367500</v>
      </c>
      <c r="BY35" s="230">
        <v>35615000</v>
      </c>
      <c r="BZ35" s="230">
        <v>752500</v>
      </c>
      <c r="CA35" s="229">
        <v>2.1100000000000001E-2</v>
      </c>
      <c r="CB35" s="230">
        <v>24325000</v>
      </c>
      <c r="CC35" s="230">
        <v>28752500</v>
      </c>
      <c r="CD35" s="230">
        <v>-4427500</v>
      </c>
      <c r="CE35" s="229">
        <v>-0.154</v>
      </c>
      <c r="CF35" s="230">
        <v>11690000</v>
      </c>
      <c r="CG35" s="230">
        <v>6532500</v>
      </c>
      <c r="CH35" s="230">
        <v>5157500</v>
      </c>
      <c r="CI35" s="229">
        <v>0.78949999999999998</v>
      </c>
      <c r="CJ35" s="230">
        <v>352500</v>
      </c>
      <c r="CK35" s="230">
        <v>330000</v>
      </c>
      <c r="CL35" s="230">
        <v>22500</v>
      </c>
      <c r="CM35" s="229">
        <v>6.8199999999999997E-2</v>
      </c>
      <c r="CN35" s="230">
        <v>23957500</v>
      </c>
      <c r="CO35" s="230">
        <v>22627500</v>
      </c>
      <c r="CP35" s="230">
        <v>1330000</v>
      </c>
      <c r="CQ35" s="229">
        <v>5.8799999999999998E-2</v>
      </c>
      <c r="CR35" s="230">
        <v>14872500</v>
      </c>
      <c r="CS35" s="230">
        <v>15182500</v>
      </c>
      <c r="CT35" s="230">
        <v>-310000</v>
      </c>
      <c r="CU35" s="229">
        <v>-2.0400000000000001E-2</v>
      </c>
      <c r="CV35" s="230">
        <v>75197500</v>
      </c>
      <c r="CW35" s="230">
        <v>73425000</v>
      </c>
      <c r="CX35" s="230">
        <v>1772500</v>
      </c>
      <c r="CY35" s="229">
        <v>2.41E-2</v>
      </c>
      <c r="CZ35" s="228">
        <v>35.229999999999997</v>
      </c>
      <c r="DA35" s="228">
        <v>29.03</v>
      </c>
      <c r="DB35" s="228">
        <v>6.2</v>
      </c>
      <c r="DC35" s="228">
        <v>6.2</v>
      </c>
      <c r="DD35" s="228">
        <v>36.020000000000003</v>
      </c>
      <c r="DE35" s="228">
        <v>36.11</v>
      </c>
      <c r="DF35" s="228">
        <v>-0.79</v>
      </c>
      <c r="DG35" s="228">
        <v>-0.09</v>
      </c>
      <c r="DH35" s="228">
        <v>35.409999999999997</v>
      </c>
      <c r="DI35" s="228">
        <v>28.92</v>
      </c>
      <c r="DJ35" s="228">
        <v>6.49</v>
      </c>
      <c r="DK35" s="228">
        <v>6.49</v>
      </c>
      <c r="DL35" s="228">
        <v>34.72</v>
      </c>
      <c r="DM35" s="228">
        <v>29.35</v>
      </c>
      <c r="DN35" s="228">
        <v>5.37</v>
      </c>
      <c r="DO35" s="228">
        <v>5.37</v>
      </c>
      <c r="DP35" s="228">
        <v>0.62</v>
      </c>
      <c r="DQ35" s="228">
        <v>0.67</v>
      </c>
      <c r="DR35" s="228">
        <v>-0.05</v>
      </c>
      <c r="DS35" s="229">
        <v>-7.46E-2</v>
      </c>
      <c r="DT35" s="228">
        <v>370</v>
      </c>
      <c r="DU35" s="228">
        <v>340</v>
      </c>
      <c r="DV35" s="228">
        <v>0.25</v>
      </c>
      <c r="DW35" s="228">
        <v>0.36</v>
      </c>
      <c r="DX35" s="228">
        <v>-0.11</v>
      </c>
      <c r="DY35" s="229">
        <v>-0.30559999999999998</v>
      </c>
      <c r="DZ35" s="229">
        <v>0.33110000000000001</v>
      </c>
      <c r="EA35" s="230">
        <v>6862500</v>
      </c>
      <c r="EB35" s="229">
        <v>5.1999999999999998E-3</v>
      </c>
      <c r="EC35" s="229">
        <v>0.33110000000000001</v>
      </c>
      <c r="ED35" s="228">
        <v>1.88</v>
      </c>
      <c r="EE35" s="229">
        <v>5.1999999999999998E-3</v>
      </c>
      <c r="EF35" s="230">
        <v>993780</v>
      </c>
      <c r="EG35" s="230">
        <v>1562223</v>
      </c>
      <c r="EH35" s="229">
        <v>-0.3639</v>
      </c>
      <c r="EI35" s="229">
        <v>0.41920000000000002</v>
      </c>
      <c r="EJ35" s="231">
        <v>156668.19</v>
      </c>
      <c r="EK35" s="231">
        <v>37843.46</v>
      </c>
      <c r="EL35" s="231">
        <v>58311.26</v>
      </c>
      <c r="EM35" s="231">
        <v>2823</v>
      </c>
      <c r="EN35" s="231">
        <v>252822.91</v>
      </c>
      <c r="EO35" s="231">
        <v>130842.6</v>
      </c>
      <c r="EP35" s="231">
        <v>121980.31</v>
      </c>
      <c r="EQ35" s="229">
        <v>0.93230000000000002</v>
      </c>
      <c r="ER35" s="231">
        <v>89320</v>
      </c>
      <c r="ES35" s="231">
        <v>52311</v>
      </c>
      <c r="ET35" s="231">
        <v>130644</v>
      </c>
      <c r="EU35" s="231">
        <v>108004143</v>
      </c>
      <c r="EV35" s="231">
        <v>272275</v>
      </c>
      <c r="EW35" s="231">
        <v>265694</v>
      </c>
      <c r="EX35" s="231">
        <v>6581</v>
      </c>
      <c r="EY35" s="229">
        <v>2.4799999999999999E-2</v>
      </c>
      <c r="EZ35" s="229">
        <v>0.69620000000000004</v>
      </c>
      <c r="FA35" s="227" t="s">
        <v>555</v>
      </c>
      <c r="FB35" s="161">
        <f t="shared" si="0"/>
        <v>12042500</v>
      </c>
    </row>
    <row r="36" spans="1:158" ht="17.25" thickBot="1" x14ac:dyDescent="0.3">
      <c r="A36" s="226">
        <v>46135</v>
      </c>
      <c r="B36" s="227" t="s">
        <v>184</v>
      </c>
      <c r="C36" s="227" t="s">
        <v>677</v>
      </c>
      <c r="D36" s="228">
        <v>325</v>
      </c>
      <c r="E36" s="231">
        <v>1834.8</v>
      </c>
      <c r="F36" s="231">
        <v>1891.7</v>
      </c>
      <c r="G36" s="228">
        <v>-56.9</v>
      </c>
      <c r="H36" s="229">
        <v>-3.0099999999999998E-2</v>
      </c>
      <c r="I36" s="231">
        <v>1829.8</v>
      </c>
      <c r="J36" s="231">
        <v>1888.6</v>
      </c>
      <c r="K36" s="228">
        <v>-58.8</v>
      </c>
      <c r="L36" s="229">
        <v>-3.1099999999999999E-2</v>
      </c>
      <c r="M36" s="231">
        <v>1834.8</v>
      </c>
      <c r="N36" s="231">
        <v>1891.7</v>
      </c>
      <c r="O36" s="228">
        <v>-56.9</v>
      </c>
      <c r="P36" s="229">
        <v>-3.0099999999999998E-2</v>
      </c>
      <c r="Q36" s="231">
        <v>1813.4</v>
      </c>
      <c r="R36" s="231">
        <v>1869.6</v>
      </c>
      <c r="S36" s="228">
        <v>-56.2</v>
      </c>
      <c r="T36" s="229">
        <v>-3.0099999999999998E-2</v>
      </c>
      <c r="U36" s="231">
        <v>1804.1</v>
      </c>
      <c r="V36" s="231">
        <v>1850</v>
      </c>
      <c r="W36" s="228">
        <v>-45.9</v>
      </c>
      <c r="X36" s="229">
        <v>-2.4799999999999999E-2</v>
      </c>
      <c r="Y36" s="228">
        <v>5</v>
      </c>
      <c r="Z36" s="228">
        <v>3.1</v>
      </c>
      <c r="AA36" s="228">
        <v>1.9</v>
      </c>
      <c r="AB36" s="229">
        <v>2.7000000000000001E-3</v>
      </c>
      <c r="AC36" s="228">
        <v>5</v>
      </c>
      <c r="AD36" s="228">
        <v>3.1</v>
      </c>
      <c r="AE36" s="228">
        <v>1.9</v>
      </c>
      <c r="AF36" s="229">
        <v>2.7000000000000001E-3</v>
      </c>
      <c r="AG36" s="228">
        <v>-16.399999999999999</v>
      </c>
      <c r="AH36" s="228">
        <v>-19</v>
      </c>
      <c r="AI36" s="228">
        <v>2.6</v>
      </c>
      <c r="AJ36" s="229">
        <v>-8.9999999999999993E-3</v>
      </c>
      <c r="AK36" s="228">
        <v>-25.7</v>
      </c>
      <c r="AL36" s="228">
        <v>-38.6</v>
      </c>
      <c r="AM36" s="228">
        <v>12.9</v>
      </c>
      <c r="AN36" s="229">
        <v>-1.4E-2</v>
      </c>
      <c r="AO36" s="231">
        <v>1847.94</v>
      </c>
      <c r="AP36" s="231">
        <v>1824.78</v>
      </c>
      <c r="AQ36" s="228">
        <v>0</v>
      </c>
      <c r="AR36" s="230">
        <v>3283150</v>
      </c>
      <c r="AS36" s="230">
        <v>1012700</v>
      </c>
      <c r="AT36" s="230">
        <v>2270450</v>
      </c>
      <c r="AU36" s="229">
        <v>2.242</v>
      </c>
      <c r="AV36" s="230">
        <v>1701050</v>
      </c>
      <c r="AW36" s="230">
        <v>648050</v>
      </c>
      <c r="AX36" s="230">
        <v>1053000</v>
      </c>
      <c r="AY36" s="229">
        <v>1.6249</v>
      </c>
      <c r="AZ36" s="230">
        <v>1580800</v>
      </c>
      <c r="BA36" s="230">
        <v>361400</v>
      </c>
      <c r="BB36" s="230">
        <v>1219400</v>
      </c>
      <c r="BC36" s="229">
        <v>3.3740999999999999</v>
      </c>
      <c r="BD36" s="230">
        <v>1300</v>
      </c>
      <c r="BE36" s="230">
        <v>3250</v>
      </c>
      <c r="BF36" s="230">
        <v>-1950</v>
      </c>
      <c r="BG36" s="229">
        <v>-0.6</v>
      </c>
      <c r="BH36" s="230">
        <v>1679275</v>
      </c>
      <c r="BI36" s="230">
        <v>1644825</v>
      </c>
      <c r="BJ36" s="230">
        <v>34450</v>
      </c>
      <c r="BK36" s="229">
        <v>2.0899999999999998E-2</v>
      </c>
      <c r="BL36" s="230">
        <v>1066000</v>
      </c>
      <c r="BM36" s="230">
        <v>545350</v>
      </c>
      <c r="BN36" s="230">
        <v>520650</v>
      </c>
      <c r="BO36" s="229">
        <v>0.95469999999999999</v>
      </c>
      <c r="BP36" s="230">
        <v>6028425</v>
      </c>
      <c r="BQ36" s="230">
        <v>3202875</v>
      </c>
      <c r="BR36" s="230">
        <v>2825550</v>
      </c>
      <c r="BS36" s="229">
        <v>0.88219999999999998</v>
      </c>
      <c r="BT36" s="230">
        <v>802515</v>
      </c>
      <c r="BU36" s="230">
        <v>519556</v>
      </c>
      <c r="BV36" s="230">
        <v>282959</v>
      </c>
      <c r="BW36" s="229">
        <v>0.54459999999999997</v>
      </c>
      <c r="BX36" s="230">
        <v>3514875</v>
      </c>
      <c r="BY36" s="230">
        <v>4010500</v>
      </c>
      <c r="BZ36" s="230">
        <v>-495625</v>
      </c>
      <c r="CA36" s="229">
        <v>-0.1236</v>
      </c>
      <c r="CB36" s="230">
        <v>1710150</v>
      </c>
      <c r="CC36" s="230">
        <v>2748525</v>
      </c>
      <c r="CD36" s="230">
        <v>-1038375</v>
      </c>
      <c r="CE36" s="229">
        <v>-0.37780000000000002</v>
      </c>
      <c r="CF36" s="230">
        <v>1794000</v>
      </c>
      <c r="CG36" s="230">
        <v>1251575</v>
      </c>
      <c r="CH36" s="230">
        <v>542425</v>
      </c>
      <c r="CI36" s="229">
        <v>0.43340000000000001</v>
      </c>
      <c r="CJ36" s="230">
        <v>10725</v>
      </c>
      <c r="CK36" s="230">
        <v>10400</v>
      </c>
      <c r="CL36" s="228">
        <v>325</v>
      </c>
      <c r="CM36" s="229">
        <v>3.1300000000000001E-2</v>
      </c>
      <c r="CN36" s="230">
        <v>1658475</v>
      </c>
      <c r="CO36" s="230">
        <v>1764100</v>
      </c>
      <c r="CP36" s="230">
        <v>-105625</v>
      </c>
      <c r="CQ36" s="229">
        <v>-5.9900000000000002E-2</v>
      </c>
      <c r="CR36" s="230">
        <v>1261650</v>
      </c>
      <c r="CS36" s="230">
        <v>1250275</v>
      </c>
      <c r="CT36" s="230">
        <v>11375</v>
      </c>
      <c r="CU36" s="229">
        <v>9.1000000000000004E-3</v>
      </c>
      <c r="CV36" s="230">
        <v>6435000</v>
      </c>
      <c r="CW36" s="230">
        <v>7024875</v>
      </c>
      <c r="CX36" s="230">
        <v>-589875</v>
      </c>
      <c r="CY36" s="229">
        <v>-8.4000000000000005E-2</v>
      </c>
      <c r="CZ36" s="228">
        <v>40.549999999999997</v>
      </c>
      <c r="DA36" s="228">
        <v>35.76</v>
      </c>
      <c r="DB36" s="228">
        <v>4.79</v>
      </c>
      <c r="DC36" s="228">
        <v>4.79</v>
      </c>
      <c r="DD36" s="228">
        <v>42.5</v>
      </c>
      <c r="DE36" s="228">
        <v>42.4</v>
      </c>
      <c r="DF36" s="228">
        <v>-1.95</v>
      </c>
      <c r="DG36" s="228">
        <v>0.1</v>
      </c>
      <c r="DH36" s="228">
        <v>40.72</v>
      </c>
      <c r="DI36" s="228">
        <v>34.83</v>
      </c>
      <c r="DJ36" s="228">
        <v>5.89</v>
      </c>
      <c r="DK36" s="228">
        <v>5.89</v>
      </c>
      <c r="DL36" s="228">
        <v>40.159999999999997</v>
      </c>
      <c r="DM36" s="228">
        <v>38.549999999999997</v>
      </c>
      <c r="DN36" s="228">
        <v>1.61</v>
      </c>
      <c r="DO36" s="228">
        <v>1.61</v>
      </c>
      <c r="DP36" s="228">
        <v>0.76</v>
      </c>
      <c r="DQ36" s="228">
        <v>0.71</v>
      </c>
      <c r="DR36" s="228">
        <v>0.05</v>
      </c>
      <c r="DS36" s="229">
        <v>7.0400000000000004E-2</v>
      </c>
      <c r="DT36" s="231">
        <v>1900</v>
      </c>
      <c r="DU36" s="231">
        <v>1780</v>
      </c>
      <c r="DV36" s="228">
        <v>0.63</v>
      </c>
      <c r="DW36" s="228">
        <v>0.33</v>
      </c>
      <c r="DX36" s="228">
        <v>0.3</v>
      </c>
      <c r="DY36" s="229">
        <v>0.90910000000000002</v>
      </c>
      <c r="DZ36" s="229">
        <v>0.51349999999999996</v>
      </c>
      <c r="EA36" s="230">
        <v>1261975</v>
      </c>
      <c r="EB36" s="229">
        <v>-1.17E-2</v>
      </c>
      <c r="EC36" s="229">
        <v>0.51349999999999996</v>
      </c>
      <c r="ED36" s="228">
        <v>-23.16</v>
      </c>
      <c r="EE36" s="229">
        <v>-1.2500000000000001E-2</v>
      </c>
      <c r="EF36" s="230">
        <v>428388</v>
      </c>
      <c r="EG36" s="230">
        <v>213224</v>
      </c>
      <c r="EH36" s="229">
        <v>1.0091000000000001</v>
      </c>
      <c r="EI36" s="229">
        <v>0.53380000000000005</v>
      </c>
      <c r="EJ36" s="231">
        <v>32468.6</v>
      </c>
      <c r="EK36" s="231">
        <v>19347.93</v>
      </c>
      <c r="EL36" s="231">
        <v>60303.88</v>
      </c>
      <c r="EM36" s="231">
        <v>3794</v>
      </c>
      <c r="EN36" s="231">
        <v>112120.41</v>
      </c>
      <c r="EO36" s="231">
        <v>61093.11</v>
      </c>
      <c r="EP36" s="231">
        <v>51027.3</v>
      </c>
      <c r="EQ36" s="229">
        <v>0.83520000000000005</v>
      </c>
      <c r="ER36" s="231">
        <v>30429</v>
      </c>
      <c r="ES36" s="231">
        <v>21661</v>
      </c>
      <c r="ET36" s="231">
        <v>64104</v>
      </c>
      <c r="EU36" s="231">
        <v>15745076</v>
      </c>
      <c r="EV36" s="231">
        <v>116194</v>
      </c>
      <c r="EW36" s="231">
        <v>129623</v>
      </c>
      <c r="EX36" s="231">
        <v>-13429</v>
      </c>
      <c r="EY36" s="229">
        <v>-0.1036</v>
      </c>
      <c r="EZ36" s="229">
        <v>0.40870000000000001</v>
      </c>
      <c r="FA36" s="227" t="s">
        <v>567</v>
      </c>
      <c r="FB36" s="161">
        <f t="shared" si="0"/>
        <v>1804725</v>
      </c>
    </row>
    <row r="37" spans="1:158" ht="17.25" thickBot="1" x14ac:dyDescent="0.3">
      <c r="A37" s="226">
        <v>46135</v>
      </c>
      <c r="B37" s="227" t="s">
        <v>162</v>
      </c>
      <c r="C37" s="227" t="s">
        <v>192</v>
      </c>
      <c r="D37" s="228">
        <v>25</v>
      </c>
      <c r="E37" s="231">
        <v>37350</v>
      </c>
      <c r="F37" s="231">
        <v>37965</v>
      </c>
      <c r="G37" s="228">
        <v>-615</v>
      </c>
      <c r="H37" s="229">
        <v>-1.6199999999999999E-2</v>
      </c>
      <c r="I37" s="231">
        <v>37380</v>
      </c>
      <c r="J37" s="231">
        <v>37885</v>
      </c>
      <c r="K37" s="228">
        <v>-505</v>
      </c>
      <c r="L37" s="229">
        <v>-1.3299999999999999E-2</v>
      </c>
      <c r="M37" s="231">
        <v>37350</v>
      </c>
      <c r="N37" s="231">
        <v>37965</v>
      </c>
      <c r="O37" s="228">
        <v>-615</v>
      </c>
      <c r="P37" s="229">
        <v>-1.6199999999999999E-2</v>
      </c>
      <c r="Q37" s="231">
        <v>37535</v>
      </c>
      <c r="R37" s="231">
        <v>38100</v>
      </c>
      <c r="S37" s="228">
        <v>-565</v>
      </c>
      <c r="T37" s="229">
        <v>-1.4800000000000001E-2</v>
      </c>
      <c r="U37" s="231">
        <v>37575</v>
      </c>
      <c r="V37" s="231">
        <v>38220</v>
      </c>
      <c r="W37" s="228">
        <v>-645</v>
      </c>
      <c r="X37" s="229">
        <v>-1.6899999999999998E-2</v>
      </c>
      <c r="Y37" s="228">
        <v>-30</v>
      </c>
      <c r="Z37" s="228">
        <v>80</v>
      </c>
      <c r="AA37" s="228">
        <v>-110</v>
      </c>
      <c r="AB37" s="229">
        <v>-8.0000000000000004E-4</v>
      </c>
      <c r="AC37" s="228">
        <v>-30</v>
      </c>
      <c r="AD37" s="228">
        <v>80</v>
      </c>
      <c r="AE37" s="228">
        <v>-110</v>
      </c>
      <c r="AF37" s="229">
        <v>-8.0000000000000004E-4</v>
      </c>
      <c r="AG37" s="228">
        <v>155</v>
      </c>
      <c r="AH37" s="228">
        <v>215</v>
      </c>
      <c r="AI37" s="228">
        <v>-60</v>
      </c>
      <c r="AJ37" s="229">
        <v>4.1000000000000003E-3</v>
      </c>
      <c r="AK37" s="228">
        <v>195</v>
      </c>
      <c r="AL37" s="228">
        <v>335</v>
      </c>
      <c r="AM37" s="228">
        <v>-140</v>
      </c>
      <c r="AN37" s="229">
        <v>5.1999999999999998E-3</v>
      </c>
      <c r="AO37" s="231">
        <v>37562.39</v>
      </c>
      <c r="AP37" s="231">
        <v>37723.879999999997</v>
      </c>
      <c r="AQ37" s="228">
        <v>0</v>
      </c>
      <c r="AR37" s="230">
        <v>171625</v>
      </c>
      <c r="AS37" s="230">
        <v>41600</v>
      </c>
      <c r="AT37" s="230">
        <v>130025</v>
      </c>
      <c r="AU37" s="229">
        <v>3.1255999999999999</v>
      </c>
      <c r="AV37" s="230">
        <v>97825</v>
      </c>
      <c r="AW37" s="230">
        <v>28150</v>
      </c>
      <c r="AX37" s="230">
        <v>69675</v>
      </c>
      <c r="AY37" s="229">
        <v>2.4750999999999999</v>
      </c>
      <c r="AZ37" s="230">
        <v>73375</v>
      </c>
      <c r="BA37" s="230">
        <v>12175</v>
      </c>
      <c r="BB37" s="230">
        <v>61200</v>
      </c>
      <c r="BC37" s="229">
        <v>5.0266999999999999</v>
      </c>
      <c r="BD37" s="228">
        <v>425</v>
      </c>
      <c r="BE37" s="230">
        <v>1275</v>
      </c>
      <c r="BF37" s="228">
        <v>-850</v>
      </c>
      <c r="BG37" s="229">
        <v>-0.66669999999999996</v>
      </c>
      <c r="BH37" s="230">
        <v>217400</v>
      </c>
      <c r="BI37" s="230">
        <v>201225</v>
      </c>
      <c r="BJ37" s="230">
        <v>16175</v>
      </c>
      <c r="BK37" s="229">
        <v>8.0399999999999999E-2</v>
      </c>
      <c r="BL37" s="230">
        <v>1430875</v>
      </c>
      <c r="BM37" s="230">
        <v>1153350</v>
      </c>
      <c r="BN37" s="230">
        <v>277525</v>
      </c>
      <c r="BO37" s="229">
        <v>0.24060000000000001</v>
      </c>
      <c r="BP37" s="230">
        <v>1819900</v>
      </c>
      <c r="BQ37" s="230">
        <v>1396175</v>
      </c>
      <c r="BR37" s="230">
        <v>423725</v>
      </c>
      <c r="BS37" s="229">
        <v>0.30349999999999999</v>
      </c>
      <c r="BT37" s="230">
        <v>21547</v>
      </c>
      <c r="BU37" s="230">
        <v>28308</v>
      </c>
      <c r="BV37" s="230">
        <v>-6761</v>
      </c>
      <c r="BW37" s="229">
        <v>-0.23880000000000001</v>
      </c>
      <c r="BX37" s="230">
        <v>271800</v>
      </c>
      <c r="BY37" s="230">
        <v>274750</v>
      </c>
      <c r="BZ37" s="230">
        <v>-2950</v>
      </c>
      <c r="CA37" s="229">
        <v>-1.0699999999999999E-2</v>
      </c>
      <c r="CB37" s="230">
        <v>196000</v>
      </c>
      <c r="CC37" s="230">
        <v>255150</v>
      </c>
      <c r="CD37" s="230">
        <v>-59150</v>
      </c>
      <c r="CE37" s="229">
        <v>-0.23180000000000001</v>
      </c>
      <c r="CF37" s="230">
        <v>74900</v>
      </c>
      <c r="CG37" s="230">
        <v>18825</v>
      </c>
      <c r="CH37" s="230">
        <v>56075</v>
      </c>
      <c r="CI37" s="229">
        <v>2.9788000000000001</v>
      </c>
      <c r="CJ37" s="228">
        <v>900</v>
      </c>
      <c r="CK37" s="228">
        <v>775</v>
      </c>
      <c r="CL37" s="228">
        <v>125</v>
      </c>
      <c r="CM37" s="229">
        <v>0.1613</v>
      </c>
      <c r="CN37" s="230">
        <v>218175</v>
      </c>
      <c r="CO37" s="230">
        <v>243125</v>
      </c>
      <c r="CP37" s="230">
        <v>-24950</v>
      </c>
      <c r="CQ37" s="229">
        <v>-0.1026</v>
      </c>
      <c r="CR37" s="230">
        <v>217150</v>
      </c>
      <c r="CS37" s="230">
        <v>226525</v>
      </c>
      <c r="CT37" s="230">
        <v>-9375</v>
      </c>
      <c r="CU37" s="229">
        <v>-4.1399999999999999E-2</v>
      </c>
      <c r="CV37" s="230">
        <v>707125</v>
      </c>
      <c r="CW37" s="230">
        <v>744400</v>
      </c>
      <c r="CX37" s="230">
        <v>-37275</v>
      </c>
      <c r="CY37" s="229">
        <v>-5.0099999999999999E-2</v>
      </c>
      <c r="CZ37" s="228">
        <v>33.840000000000003</v>
      </c>
      <c r="DA37" s="228">
        <v>37.18</v>
      </c>
      <c r="DB37" s="228">
        <v>-3.34</v>
      </c>
      <c r="DC37" s="228">
        <v>-3.34</v>
      </c>
      <c r="DD37" s="228">
        <v>34.770000000000003</v>
      </c>
      <c r="DE37" s="228">
        <v>34.78</v>
      </c>
      <c r="DF37" s="228">
        <v>-0.93</v>
      </c>
      <c r="DG37" s="228">
        <v>-0.01</v>
      </c>
      <c r="DH37" s="228">
        <v>33.86</v>
      </c>
      <c r="DI37" s="228">
        <v>33.24</v>
      </c>
      <c r="DJ37" s="228">
        <v>0.62</v>
      </c>
      <c r="DK37" s="228">
        <v>0.62</v>
      </c>
      <c r="DL37" s="228">
        <v>33.799999999999997</v>
      </c>
      <c r="DM37" s="228">
        <v>37.869999999999997</v>
      </c>
      <c r="DN37" s="228">
        <v>-4.07</v>
      </c>
      <c r="DO37" s="228">
        <v>-4.07</v>
      </c>
      <c r="DP37" s="228">
        <v>1</v>
      </c>
      <c r="DQ37" s="228">
        <v>0.93</v>
      </c>
      <c r="DR37" s="228">
        <v>7.0000000000000007E-2</v>
      </c>
      <c r="DS37" s="229">
        <v>7.5300000000000006E-2</v>
      </c>
      <c r="DT37" s="231">
        <v>40000</v>
      </c>
      <c r="DU37" s="231">
        <v>30000</v>
      </c>
      <c r="DV37" s="228">
        <v>6.58</v>
      </c>
      <c r="DW37" s="228">
        <v>5.73</v>
      </c>
      <c r="DX37" s="228">
        <v>0.85</v>
      </c>
      <c r="DY37" s="229">
        <v>0.14829999999999999</v>
      </c>
      <c r="DZ37" s="229">
        <v>0.27889999999999998</v>
      </c>
      <c r="EA37" s="230">
        <v>19600</v>
      </c>
      <c r="EB37" s="229">
        <v>5.0000000000000001E-3</v>
      </c>
      <c r="EC37" s="229">
        <v>0.27889999999999998</v>
      </c>
      <c r="ED37" s="228">
        <v>161.49</v>
      </c>
      <c r="EE37" s="229">
        <v>4.3E-3</v>
      </c>
      <c r="EF37" s="230">
        <v>7598</v>
      </c>
      <c r="EG37" s="230">
        <v>13224</v>
      </c>
      <c r="EH37" s="229">
        <v>-0.4254</v>
      </c>
      <c r="EI37" s="229">
        <v>0.35260000000000002</v>
      </c>
      <c r="EJ37" s="231">
        <v>85336.98</v>
      </c>
      <c r="EK37" s="231">
        <v>436358.24</v>
      </c>
      <c r="EL37" s="231">
        <v>64585.97</v>
      </c>
      <c r="EM37" s="231">
        <v>1471</v>
      </c>
      <c r="EN37" s="231">
        <v>586281.18999999994</v>
      </c>
      <c r="EO37" s="231">
        <v>444794.63</v>
      </c>
      <c r="EP37" s="231">
        <v>141486.56</v>
      </c>
      <c r="EQ37" s="229">
        <v>0.31809999999999999</v>
      </c>
      <c r="ER37" s="231">
        <v>80474</v>
      </c>
      <c r="ES37" s="231">
        <v>71431</v>
      </c>
      <c r="ET37" s="231">
        <v>101658</v>
      </c>
      <c r="EU37" s="231">
        <v>868841</v>
      </c>
      <c r="EV37" s="231">
        <v>253563</v>
      </c>
      <c r="EW37" s="231">
        <v>269611</v>
      </c>
      <c r="EX37" s="231">
        <v>-16048</v>
      </c>
      <c r="EY37" s="229">
        <v>-5.9499999999999997E-2</v>
      </c>
      <c r="EZ37" s="229">
        <v>0.81389999999999996</v>
      </c>
      <c r="FA37" s="227" t="s">
        <v>567</v>
      </c>
      <c r="FB37" s="161">
        <f t="shared" si="0"/>
        <v>75800</v>
      </c>
    </row>
    <row r="38" spans="1:158" ht="17.25" thickBot="1" x14ac:dyDescent="0.3">
      <c r="A38" s="226">
        <v>46135</v>
      </c>
      <c r="B38" s="227" t="s">
        <v>193</v>
      </c>
      <c r="C38" s="227" t="s">
        <v>194</v>
      </c>
      <c r="D38" s="228">
        <v>1975</v>
      </c>
      <c r="E38" s="228">
        <v>310.5</v>
      </c>
      <c r="F38" s="228">
        <v>314.5</v>
      </c>
      <c r="G38" s="228">
        <v>-4</v>
      </c>
      <c r="H38" s="229">
        <v>-1.2699999999999999E-2</v>
      </c>
      <c r="I38" s="228">
        <v>309.8</v>
      </c>
      <c r="J38" s="228">
        <v>314.39999999999998</v>
      </c>
      <c r="K38" s="228">
        <v>-4.5999999999999996</v>
      </c>
      <c r="L38" s="229">
        <v>-1.46E-2</v>
      </c>
      <c r="M38" s="228">
        <v>310.5</v>
      </c>
      <c r="N38" s="228">
        <v>314.5</v>
      </c>
      <c r="O38" s="228">
        <v>-4</v>
      </c>
      <c r="P38" s="229">
        <v>-1.2699999999999999E-2</v>
      </c>
      <c r="Q38" s="228">
        <v>311.95</v>
      </c>
      <c r="R38" s="228">
        <v>316.05</v>
      </c>
      <c r="S38" s="228">
        <v>-4.0999999999999996</v>
      </c>
      <c r="T38" s="229">
        <v>-1.2999999999999999E-2</v>
      </c>
      <c r="U38" s="228">
        <v>313.85000000000002</v>
      </c>
      <c r="V38" s="228">
        <v>317.85000000000002</v>
      </c>
      <c r="W38" s="228">
        <v>-4</v>
      </c>
      <c r="X38" s="229">
        <v>-1.26E-2</v>
      </c>
      <c r="Y38" s="228">
        <v>0.7</v>
      </c>
      <c r="Z38" s="228">
        <v>0.1</v>
      </c>
      <c r="AA38" s="228">
        <v>0.6</v>
      </c>
      <c r="AB38" s="229">
        <v>2.3E-3</v>
      </c>
      <c r="AC38" s="228">
        <v>0.7</v>
      </c>
      <c r="AD38" s="228">
        <v>0.1</v>
      </c>
      <c r="AE38" s="228">
        <v>0.6</v>
      </c>
      <c r="AF38" s="229">
        <v>2.3E-3</v>
      </c>
      <c r="AG38" s="228">
        <v>2.15</v>
      </c>
      <c r="AH38" s="228">
        <v>1.65</v>
      </c>
      <c r="AI38" s="228">
        <v>0.5</v>
      </c>
      <c r="AJ38" s="229">
        <v>6.8999999999999999E-3</v>
      </c>
      <c r="AK38" s="228">
        <v>4.05</v>
      </c>
      <c r="AL38" s="228">
        <v>3.45</v>
      </c>
      <c r="AM38" s="228">
        <v>0.6</v>
      </c>
      <c r="AN38" s="229">
        <v>1.3100000000000001E-2</v>
      </c>
      <c r="AO38" s="228">
        <v>311.77</v>
      </c>
      <c r="AP38" s="228">
        <v>313.37</v>
      </c>
      <c r="AQ38" s="228">
        <v>0</v>
      </c>
      <c r="AR38" s="230">
        <v>26433400</v>
      </c>
      <c r="AS38" s="230">
        <v>12809850</v>
      </c>
      <c r="AT38" s="230">
        <v>13623550</v>
      </c>
      <c r="AU38" s="229">
        <v>1.0634999999999999</v>
      </c>
      <c r="AV38" s="230">
        <v>14073850</v>
      </c>
      <c r="AW38" s="230">
        <v>7279850</v>
      </c>
      <c r="AX38" s="230">
        <v>6794000</v>
      </c>
      <c r="AY38" s="229">
        <v>0.93330000000000002</v>
      </c>
      <c r="AZ38" s="230">
        <v>11713725</v>
      </c>
      <c r="BA38" s="230">
        <v>2711675</v>
      </c>
      <c r="BB38" s="230">
        <v>9002050</v>
      </c>
      <c r="BC38" s="229">
        <v>3.3197000000000001</v>
      </c>
      <c r="BD38" s="230">
        <v>645825</v>
      </c>
      <c r="BE38" s="230">
        <v>2818325</v>
      </c>
      <c r="BF38" s="230">
        <v>-2172500</v>
      </c>
      <c r="BG38" s="229">
        <v>-0.77080000000000004</v>
      </c>
      <c r="BH38" s="230">
        <v>23782950</v>
      </c>
      <c r="BI38" s="230">
        <v>24886975</v>
      </c>
      <c r="BJ38" s="230">
        <v>-1104025</v>
      </c>
      <c r="BK38" s="229">
        <v>-4.4400000000000002E-2</v>
      </c>
      <c r="BL38" s="230">
        <v>20251650</v>
      </c>
      <c r="BM38" s="230">
        <v>13171275</v>
      </c>
      <c r="BN38" s="230">
        <v>7080375</v>
      </c>
      <c r="BO38" s="229">
        <v>0.53759999999999997</v>
      </c>
      <c r="BP38" s="230">
        <v>70468000</v>
      </c>
      <c r="BQ38" s="230">
        <v>50868100</v>
      </c>
      <c r="BR38" s="230">
        <v>19599900</v>
      </c>
      <c r="BS38" s="229">
        <v>0.38529999999999998</v>
      </c>
      <c r="BT38" s="230">
        <v>8955357</v>
      </c>
      <c r="BU38" s="230">
        <v>7673018</v>
      </c>
      <c r="BV38" s="230">
        <v>1282339</v>
      </c>
      <c r="BW38" s="229">
        <v>0.1671</v>
      </c>
      <c r="BX38" s="230">
        <v>56014950</v>
      </c>
      <c r="BY38" s="230">
        <v>55398750</v>
      </c>
      <c r="BZ38" s="230">
        <v>616200</v>
      </c>
      <c r="CA38" s="229">
        <v>1.11E-2</v>
      </c>
      <c r="CB38" s="230">
        <v>37301825</v>
      </c>
      <c r="CC38" s="230">
        <v>46365100</v>
      </c>
      <c r="CD38" s="230">
        <v>-9063275</v>
      </c>
      <c r="CE38" s="229">
        <v>-0.19550000000000001</v>
      </c>
      <c r="CF38" s="230">
        <v>15280575</v>
      </c>
      <c r="CG38" s="230">
        <v>6098800</v>
      </c>
      <c r="CH38" s="230">
        <v>9181775</v>
      </c>
      <c r="CI38" s="229">
        <v>1.5055000000000001</v>
      </c>
      <c r="CJ38" s="230">
        <v>3432550</v>
      </c>
      <c r="CK38" s="230">
        <v>2934850</v>
      </c>
      <c r="CL38" s="230">
        <v>497700</v>
      </c>
      <c r="CM38" s="229">
        <v>0.1696</v>
      </c>
      <c r="CN38" s="230">
        <v>29931125</v>
      </c>
      <c r="CO38" s="230">
        <v>29561800</v>
      </c>
      <c r="CP38" s="230">
        <v>369325</v>
      </c>
      <c r="CQ38" s="229">
        <v>1.2500000000000001E-2</v>
      </c>
      <c r="CR38" s="230">
        <v>22033100</v>
      </c>
      <c r="CS38" s="230">
        <v>22969250</v>
      </c>
      <c r="CT38" s="230">
        <v>-936150</v>
      </c>
      <c r="CU38" s="229">
        <v>-4.0800000000000003E-2</v>
      </c>
      <c r="CV38" s="230">
        <v>107979175</v>
      </c>
      <c r="CW38" s="230">
        <v>107929800</v>
      </c>
      <c r="CX38" s="230">
        <v>49375</v>
      </c>
      <c r="CY38" s="229">
        <v>5.0000000000000001E-4</v>
      </c>
      <c r="CZ38" s="228">
        <v>40.909999999999997</v>
      </c>
      <c r="DA38" s="228">
        <v>39.18</v>
      </c>
      <c r="DB38" s="228">
        <v>1.73</v>
      </c>
      <c r="DC38" s="228">
        <v>1.73</v>
      </c>
      <c r="DD38" s="228">
        <v>37.07</v>
      </c>
      <c r="DE38" s="228">
        <v>37.130000000000003</v>
      </c>
      <c r="DF38" s="228">
        <v>3.84</v>
      </c>
      <c r="DG38" s="228">
        <v>-0.06</v>
      </c>
      <c r="DH38" s="228">
        <v>40.83</v>
      </c>
      <c r="DI38" s="228">
        <v>39.869999999999997</v>
      </c>
      <c r="DJ38" s="228">
        <v>0.96</v>
      </c>
      <c r="DK38" s="228">
        <v>0.96</v>
      </c>
      <c r="DL38" s="228">
        <v>41.08</v>
      </c>
      <c r="DM38" s="228">
        <v>37.869999999999997</v>
      </c>
      <c r="DN38" s="228">
        <v>3.21</v>
      </c>
      <c r="DO38" s="228">
        <v>3.21</v>
      </c>
      <c r="DP38" s="228">
        <v>0.74</v>
      </c>
      <c r="DQ38" s="228">
        <v>0.78</v>
      </c>
      <c r="DR38" s="228">
        <v>-0.04</v>
      </c>
      <c r="DS38" s="229">
        <v>-5.1299999999999998E-2</v>
      </c>
      <c r="DT38" s="228">
        <v>350</v>
      </c>
      <c r="DU38" s="228">
        <v>300</v>
      </c>
      <c r="DV38" s="228">
        <v>0.85</v>
      </c>
      <c r="DW38" s="228">
        <v>0.53</v>
      </c>
      <c r="DX38" s="228">
        <v>0.32</v>
      </c>
      <c r="DY38" s="229">
        <v>0.6038</v>
      </c>
      <c r="DZ38" s="229">
        <v>0.33410000000000001</v>
      </c>
      <c r="EA38" s="230">
        <v>9033650</v>
      </c>
      <c r="EB38" s="229">
        <v>4.7000000000000002E-3</v>
      </c>
      <c r="EC38" s="229">
        <v>0.33410000000000001</v>
      </c>
      <c r="ED38" s="228">
        <v>1.6</v>
      </c>
      <c r="EE38" s="229">
        <v>5.1000000000000004E-3</v>
      </c>
      <c r="EF38" s="230">
        <v>4791535</v>
      </c>
      <c r="EG38" s="230">
        <v>4170895</v>
      </c>
      <c r="EH38" s="229">
        <v>0.14879999999999999</v>
      </c>
      <c r="EI38" s="229">
        <v>0.53500000000000003</v>
      </c>
      <c r="EJ38" s="231">
        <v>78268.91</v>
      </c>
      <c r="EK38" s="231">
        <v>62564.05</v>
      </c>
      <c r="EL38" s="231">
        <v>82619.520000000004</v>
      </c>
      <c r="EM38" s="231">
        <v>4718</v>
      </c>
      <c r="EN38" s="231">
        <v>223452.48</v>
      </c>
      <c r="EO38" s="231">
        <v>163937.35</v>
      </c>
      <c r="EP38" s="231">
        <v>59515.13</v>
      </c>
      <c r="EQ38" s="229">
        <v>0.36299999999999999</v>
      </c>
      <c r="ER38" s="231">
        <v>97136</v>
      </c>
      <c r="ES38" s="231">
        <v>64571</v>
      </c>
      <c r="ET38" s="231">
        <v>174263</v>
      </c>
      <c r="EU38" s="231">
        <v>306020745</v>
      </c>
      <c r="EV38" s="231">
        <v>335970</v>
      </c>
      <c r="EW38" s="231">
        <v>338050</v>
      </c>
      <c r="EX38" s="231">
        <v>-2080</v>
      </c>
      <c r="EY38" s="229">
        <v>-6.1999999999999998E-3</v>
      </c>
      <c r="EZ38" s="229">
        <v>0.3528</v>
      </c>
      <c r="FA38" s="227" t="s">
        <v>566</v>
      </c>
      <c r="FB38" s="161">
        <f t="shared" si="0"/>
        <v>18713125</v>
      </c>
    </row>
    <row r="39" spans="1:158" ht="17.25" thickBot="1" x14ac:dyDescent="0.3">
      <c r="A39" s="226">
        <v>46135</v>
      </c>
      <c r="B39" s="227" t="s">
        <v>168</v>
      </c>
      <c r="C39" s="227" t="s">
        <v>195</v>
      </c>
      <c r="D39" s="228">
        <v>125</v>
      </c>
      <c r="E39" s="231">
        <v>5676</v>
      </c>
      <c r="F39" s="231">
        <v>5737</v>
      </c>
      <c r="G39" s="228">
        <v>-61</v>
      </c>
      <c r="H39" s="229">
        <v>-1.06E-2</v>
      </c>
      <c r="I39" s="231">
        <v>5671.5</v>
      </c>
      <c r="J39" s="231">
        <v>5729.5</v>
      </c>
      <c r="K39" s="228">
        <v>-58</v>
      </c>
      <c r="L39" s="229">
        <v>-1.01E-2</v>
      </c>
      <c r="M39" s="231">
        <v>5676</v>
      </c>
      <c r="N39" s="231">
        <v>5737</v>
      </c>
      <c r="O39" s="228">
        <v>-61</v>
      </c>
      <c r="P39" s="229">
        <v>-1.06E-2</v>
      </c>
      <c r="Q39" s="231">
        <v>5707</v>
      </c>
      <c r="R39" s="231">
        <v>5765</v>
      </c>
      <c r="S39" s="228">
        <v>-58</v>
      </c>
      <c r="T39" s="229">
        <v>-1.01E-2</v>
      </c>
      <c r="U39" s="231">
        <v>5737</v>
      </c>
      <c r="V39" s="231">
        <v>5800.5</v>
      </c>
      <c r="W39" s="228">
        <v>-63.5</v>
      </c>
      <c r="X39" s="229">
        <v>-1.09E-2</v>
      </c>
      <c r="Y39" s="228">
        <v>4.5</v>
      </c>
      <c r="Z39" s="228">
        <v>7.5</v>
      </c>
      <c r="AA39" s="228">
        <v>-3</v>
      </c>
      <c r="AB39" s="229">
        <v>8.0000000000000004E-4</v>
      </c>
      <c r="AC39" s="228">
        <v>4.5</v>
      </c>
      <c r="AD39" s="228">
        <v>7.5</v>
      </c>
      <c r="AE39" s="228">
        <v>-3</v>
      </c>
      <c r="AF39" s="229">
        <v>8.0000000000000004E-4</v>
      </c>
      <c r="AG39" s="228">
        <v>35.5</v>
      </c>
      <c r="AH39" s="228">
        <v>35.5</v>
      </c>
      <c r="AI39" s="228">
        <v>0</v>
      </c>
      <c r="AJ39" s="229">
        <v>6.3E-3</v>
      </c>
      <c r="AK39" s="228">
        <v>65.5</v>
      </c>
      <c r="AL39" s="228">
        <v>71</v>
      </c>
      <c r="AM39" s="228">
        <v>-5.5</v>
      </c>
      <c r="AN39" s="229">
        <v>1.15E-2</v>
      </c>
      <c r="AO39" s="231">
        <v>5677.05</v>
      </c>
      <c r="AP39" s="231">
        <v>5711.02</v>
      </c>
      <c r="AQ39" s="228">
        <v>0</v>
      </c>
      <c r="AR39" s="230">
        <v>2135375</v>
      </c>
      <c r="AS39" s="230">
        <v>1377375</v>
      </c>
      <c r="AT39" s="230">
        <v>758000</v>
      </c>
      <c r="AU39" s="229">
        <v>0.55030000000000001</v>
      </c>
      <c r="AV39" s="230">
        <v>1115875</v>
      </c>
      <c r="AW39" s="230">
        <v>887375</v>
      </c>
      <c r="AX39" s="230">
        <v>228500</v>
      </c>
      <c r="AY39" s="229">
        <v>0.25750000000000001</v>
      </c>
      <c r="AZ39" s="230">
        <v>895875</v>
      </c>
      <c r="BA39" s="230">
        <v>290375</v>
      </c>
      <c r="BB39" s="230">
        <v>605500</v>
      </c>
      <c r="BC39" s="229">
        <v>2.0851999999999999</v>
      </c>
      <c r="BD39" s="230">
        <v>123625</v>
      </c>
      <c r="BE39" s="230">
        <v>199625</v>
      </c>
      <c r="BF39" s="230">
        <v>-76000</v>
      </c>
      <c r="BG39" s="229">
        <v>-0.38069999999999998</v>
      </c>
      <c r="BH39" s="230">
        <v>1728625</v>
      </c>
      <c r="BI39" s="230">
        <v>4368125</v>
      </c>
      <c r="BJ39" s="230">
        <v>-2639500</v>
      </c>
      <c r="BK39" s="229">
        <v>-0.60429999999999995</v>
      </c>
      <c r="BL39" s="230">
        <v>729875</v>
      </c>
      <c r="BM39" s="230">
        <v>1458750</v>
      </c>
      <c r="BN39" s="230">
        <v>-728875</v>
      </c>
      <c r="BO39" s="229">
        <v>-0.49969999999999998</v>
      </c>
      <c r="BP39" s="230">
        <v>4593875</v>
      </c>
      <c r="BQ39" s="230">
        <v>7204250</v>
      </c>
      <c r="BR39" s="230">
        <v>-2610375</v>
      </c>
      <c r="BS39" s="229">
        <v>-0.36230000000000001</v>
      </c>
      <c r="BT39" s="230">
        <v>1028091</v>
      </c>
      <c r="BU39" s="230">
        <v>970306</v>
      </c>
      <c r="BV39" s="230">
        <v>57785</v>
      </c>
      <c r="BW39" s="229">
        <v>5.96E-2</v>
      </c>
      <c r="BX39" s="230">
        <v>3050625</v>
      </c>
      <c r="BY39" s="230">
        <v>3027250</v>
      </c>
      <c r="BZ39" s="230">
        <v>23375</v>
      </c>
      <c r="CA39" s="229">
        <v>7.7000000000000002E-3</v>
      </c>
      <c r="CB39" s="230">
        <v>1664250</v>
      </c>
      <c r="CC39" s="230">
        <v>2515125</v>
      </c>
      <c r="CD39" s="230">
        <v>-850875</v>
      </c>
      <c r="CE39" s="229">
        <v>-0.33829999999999999</v>
      </c>
      <c r="CF39" s="230">
        <v>1071125</v>
      </c>
      <c r="CG39" s="230">
        <v>315625</v>
      </c>
      <c r="CH39" s="230">
        <v>755500</v>
      </c>
      <c r="CI39" s="229">
        <v>2.3936999999999999</v>
      </c>
      <c r="CJ39" s="230">
        <v>315250</v>
      </c>
      <c r="CK39" s="230">
        <v>196500</v>
      </c>
      <c r="CL39" s="230">
        <v>118750</v>
      </c>
      <c r="CM39" s="229">
        <v>0.60429999999999995</v>
      </c>
      <c r="CN39" s="230">
        <v>956750</v>
      </c>
      <c r="CO39" s="230">
        <v>1014250</v>
      </c>
      <c r="CP39" s="230">
        <v>-57500</v>
      </c>
      <c r="CQ39" s="229">
        <v>-5.67E-2</v>
      </c>
      <c r="CR39" s="230">
        <v>706125</v>
      </c>
      <c r="CS39" s="230">
        <v>714125</v>
      </c>
      <c r="CT39" s="230">
        <v>-8000</v>
      </c>
      <c r="CU39" s="229">
        <v>-1.12E-2</v>
      </c>
      <c r="CV39" s="230">
        <v>4713500</v>
      </c>
      <c r="CW39" s="230">
        <v>4755625</v>
      </c>
      <c r="CX39" s="230">
        <v>-42125</v>
      </c>
      <c r="CY39" s="229">
        <v>-8.8999999999999999E-3</v>
      </c>
      <c r="CZ39" s="228">
        <v>30.17</v>
      </c>
      <c r="DA39" s="228">
        <v>28.64</v>
      </c>
      <c r="DB39" s="228">
        <v>1.53</v>
      </c>
      <c r="DC39" s="228">
        <v>1.53</v>
      </c>
      <c r="DD39" s="228">
        <v>24.93</v>
      </c>
      <c r="DE39" s="228">
        <v>24.96</v>
      </c>
      <c r="DF39" s="228">
        <v>5.24</v>
      </c>
      <c r="DG39" s="228">
        <v>-0.03</v>
      </c>
      <c r="DH39" s="228">
        <v>30.34</v>
      </c>
      <c r="DI39" s="228">
        <v>29.19</v>
      </c>
      <c r="DJ39" s="228">
        <v>1.1499999999999999</v>
      </c>
      <c r="DK39" s="228">
        <v>1.1499999999999999</v>
      </c>
      <c r="DL39" s="228">
        <v>29.68</v>
      </c>
      <c r="DM39" s="228">
        <v>26.98</v>
      </c>
      <c r="DN39" s="228">
        <v>2.7</v>
      </c>
      <c r="DO39" s="228">
        <v>2.7</v>
      </c>
      <c r="DP39" s="228">
        <v>0.74</v>
      </c>
      <c r="DQ39" s="228">
        <v>0.7</v>
      </c>
      <c r="DR39" s="228">
        <v>0.04</v>
      </c>
      <c r="DS39" s="229">
        <v>5.7099999999999998E-2</v>
      </c>
      <c r="DT39" s="231">
        <v>5800</v>
      </c>
      <c r="DU39" s="231">
        <v>5000</v>
      </c>
      <c r="DV39" s="228">
        <v>0.42</v>
      </c>
      <c r="DW39" s="228">
        <v>0.33</v>
      </c>
      <c r="DX39" s="228">
        <v>0.09</v>
      </c>
      <c r="DY39" s="229">
        <v>0.2727</v>
      </c>
      <c r="DZ39" s="229">
        <v>0.45450000000000002</v>
      </c>
      <c r="EA39" s="230">
        <v>512125</v>
      </c>
      <c r="EB39" s="229">
        <v>5.4999999999999997E-3</v>
      </c>
      <c r="EC39" s="229">
        <v>0.45450000000000002</v>
      </c>
      <c r="ED39" s="228">
        <v>33.97</v>
      </c>
      <c r="EE39" s="229">
        <v>6.0000000000000001E-3</v>
      </c>
      <c r="EF39" s="230">
        <v>874946</v>
      </c>
      <c r="EG39" s="230">
        <v>675782</v>
      </c>
      <c r="EH39" s="229">
        <v>0.29470000000000002</v>
      </c>
      <c r="EI39" s="229">
        <v>0.85099999999999998</v>
      </c>
      <c r="EJ39" s="231">
        <v>102108.26</v>
      </c>
      <c r="EK39" s="231">
        <v>40917.440000000002</v>
      </c>
      <c r="EL39" s="231">
        <v>121581</v>
      </c>
      <c r="EM39" s="231">
        <v>4981</v>
      </c>
      <c r="EN39" s="231">
        <v>264606.7</v>
      </c>
      <c r="EO39" s="231">
        <v>424786.64</v>
      </c>
      <c r="EP39" s="231">
        <v>-160179.94</v>
      </c>
      <c r="EQ39" s="229">
        <v>-0.37709999999999999</v>
      </c>
      <c r="ER39" s="231">
        <v>56398</v>
      </c>
      <c r="ES39" s="231">
        <v>37849</v>
      </c>
      <c r="ET39" s="231">
        <v>173678</v>
      </c>
      <c r="EU39" s="231">
        <v>14553559</v>
      </c>
      <c r="EV39" s="231">
        <v>267925</v>
      </c>
      <c r="EW39" s="231">
        <v>272066</v>
      </c>
      <c r="EX39" s="231">
        <v>-4141</v>
      </c>
      <c r="EY39" s="229">
        <v>-1.52E-2</v>
      </c>
      <c r="EZ39" s="229">
        <v>0.32390000000000002</v>
      </c>
      <c r="FA39" s="227" t="s">
        <v>566</v>
      </c>
      <c r="FB39" s="161">
        <f t="shared" si="0"/>
        <v>1386375</v>
      </c>
    </row>
    <row r="40" spans="1:158" ht="17.25" thickBot="1" x14ac:dyDescent="0.3">
      <c r="A40" s="226">
        <v>46135</v>
      </c>
      <c r="B40" s="227" t="s">
        <v>175</v>
      </c>
      <c r="C40" s="227" t="s">
        <v>583</v>
      </c>
      <c r="D40" s="228">
        <v>375</v>
      </c>
      <c r="E40" s="231">
        <v>3471.5</v>
      </c>
      <c r="F40" s="231">
        <v>3505.6</v>
      </c>
      <c r="G40" s="228">
        <v>-34.1</v>
      </c>
      <c r="H40" s="229">
        <v>-9.7000000000000003E-3</v>
      </c>
      <c r="I40" s="231">
        <v>3463</v>
      </c>
      <c r="J40" s="231">
        <v>3499.2</v>
      </c>
      <c r="K40" s="228">
        <v>-36.200000000000003</v>
      </c>
      <c r="L40" s="229">
        <v>-1.03E-2</v>
      </c>
      <c r="M40" s="231">
        <v>3471.5</v>
      </c>
      <c r="N40" s="231">
        <v>3505.6</v>
      </c>
      <c r="O40" s="228">
        <v>-34.1</v>
      </c>
      <c r="P40" s="229">
        <v>-9.7000000000000003E-3</v>
      </c>
      <c r="Q40" s="231">
        <v>3483.8</v>
      </c>
      <c r="R40" s="231">
        <v>3518.4</v>
      </c>
      <c r="S40" s="228">
        <v>-34.6</v>
      </c>
      <c r="T40" s="229">
        <v>-9.7999999999999997E-3</v>
      </c>
      <c r="U40" s="231">
        <v>3495</v>
      </c>
      <c r="V40" s="231">
        <v>3526.3</v>
      </c>
      <c r="W40" s="228">
        <v>-31.3</v>
      </c>
      <c r="X40" s="229">
        <v>-8.8999999999999999E-3</v>
      </c>
      <c r="Y40" s="228">
        <v>8.5</v>
      </c>
      <c r="Z40" s="228">
        <v>6.4</v>
      </c>
      <c r="AA40" s="228">
        <v>2.1</v>
      </c>
      <c r="AB40" s="229">
        <v>2.5000000000000001E-3</v>
      </c>
      <c r="AC40" s="228">
        <v>8.5</v>
      </c>
      <c r="AD40" s="228">
        <v>6.4</v>
      </c>
      <c r="AE40" s="228">
        <v>2.1</v>
      </c>
      <c r="AF40" s="229">
        <v>2.5000000000000001E-3</v>
      </c>
      <c r="AG40" s="228">
        <v>20.8</v>
      </c>
      <c r="AH40" s="228">
        <v>19.2</v>
      </c>
      <c r="AI40" s="228">
        <v>1.6</v>
      </c>
      <c r="AJ40" s="229">
        <v>6.0000000000000001E-3</v>
      </c>
      <c r="AK40" s="228">
        <v>32</v>
      </c>
      <c r="AL40" s="228">
        <v>27.1</v>
      </c>
      <c r="AM40" s="228">
        <v>4.9000000000000004</v>
      </c>
      <c r="AN40" s="229">
        <v>9.1999999999999998E-3</v>
      </c>
      <c r="AO40" s="231">
        <v>3478.79</v>
      </c>
      <c r="AP40" s="231">
        <v>3492.88</v>
      </c>
      <c r="AQ40" s="228">
        <v>0</v>
      </c>
      <c r="AR40" s="230">
        <v>4613625</v>
      </c>
      <c r="AS40" s="230">
        <v>1849125</v>
      </c>
      <c r="AT40" s="230">
        <v>2764500</v>
      </c>
      <c r="AU40" s="229">
        <v>1.4950000000000001</v>
      </c>
      <c r="AV40" s="230">
        <v>2541000</v>
      </c>
      <c r="AW40" s="230">
        <v>1261875</v>
      </c>
      <c r="AX40" s="230">
        <v>1279125</v>
      </c>
      <c r="AY40" s="229">
        <v>1.0137</v>
      </c>
      <c r="AZ40" s="230">
        <v>2039625</v>
      </c>
      <c r="BA40" s="230">
        <v>527250</v>
      </c>
      <c r="BB40" s="230">
        <v>1512375</v>
      </c>
      <c r="BC40" s="229">
        <v>2.8683999999999998</v>
      </c>
      <c r="BD40" s="230">
        <v>33000</v>
      </c>
      <c r="BE40" s="230">
        <v>60000</v>
      </c>
      <c r="BF40" s="230">
        <v>-27000</v>
      </c>
      <c r="BG40" s="229">
        <v>-0.45</v>
      </c>
      <c r="BH40" s="230">
        <v>11383875</v>
      </c>
      <c r="BI40" s="230">
        <v>9470250</v>
      </c>
      <c r="BJ40" s="230">
        <v>1913625</v>
      </c>
      <c r="BK40" s="229">
        <v>0.2021</v>
      </c>
      <c r="BL40" s="230">
        <v>10992000</v>
      </c>
      <c r="BM40" s="230">
        <v>10243875</v>
      </c>
      <c r="BN40" s="230">
        <v>748125</v>
      </c>
      <c r="BO40" s="229">
        <v>7.2999999999999995E-2</v>
      </c>
      <c r="BP40" s="230">
        <v>26989500</v>
      </c>
      <c r="BQ40" s="230">
        <v>21563250</v>
      </c>
      <c r="BR40" s="230">
        <v>5426250</v>
      </c>
      <c r="BS40" s="229">
        <v>0.25159999999999999</v>
      </c>
      <c r="BT40" s="230">
        <v>2373666</v>
      </c>
      <c r="BU40" s="230">
        <v>1771183</v>
      </c>
      <c r="BV40" s="230">
        <v>602483</v>
      </c>
      <c r="BW40" s="229">
        <v>0.3402</v>
      </c>
      <c r="BX40" s="230">
        <v>8585250</v>
      </c>
      <c r="BY40" s="230">
        <v>8345250</v>
      </c>
      <c r="BZ40" s="230">
        <v>240000</v>
      </c>
      <c r="CA40" s="229">
        <v>2.8799999999999999E-2</v>
      </c>
      <c r="CB40" s="230">
        <v>5388750</v>
      </c>
      <c r="CC40" s="230">
        <v>6564375</v>
      </c>
      <c r="CD40" s="230">
        <v>-1175625</v>
      </c>
      <c r="CE40" s="229">
        <v>-0.17910000000000001</v>
      </c>
      <c r="CF40" s="230">
        <v>3014250</v>
      </c>
      <c r="CG40" s="230">
        <v>1607250</v>
      </c>
      <c r="CH40" s="230">
        <v>1407000</v>
      </c>
      <c r="CI40" s="229">
        <v>0.87539999999999996</v>
      </c>
      <c r="CJ40" s="230">
        <v>182250</v>
      </c>
      <c r="CK40" s="230">
        <v>173625</v>
      </c>
      <c r="CL40" s="230">
        <v>8625</v>
      </c>
      <c r="CM40" s="229">
        <v>4.9700000000000001E-2</v>
      </c>
      <c r="CN40" s="230">
        <v>8076000</v>
      </c>
      <c r="CO40" s="230">
        <v>8397375</v>
      </c>
      <c r="CP40" s="230">
        <v>-321375</v>
      </c>
      <c r="CQ40" s="229">
        <v>-3.8300000000000001E-2</v>
      </c>
      <c r="CR40" s="230">
        <v>8881500</v>
      </c>
      <c r="CS40" s="230">
        <v>9570750</v>
      </c>
      <c r="CT40" s="230">
        <v>-689250</v>
      </c>
      <c r="CU40" s="229">
        <v>-7.1999999999999995E-2</v>
      </c>
      <c r="CV40" s="230">
        <v>25542750</v>
      </c>
      <c r="CW40" s="230">
        <v>26313375</v>
      </c>
      <c r="CX40" s="230">
        <v>-770625</v>
      </c>
      <c r="CY40" s="229">
        <v>-2.93E-2</v>
      </c>
      <c r="CZ40" s="228">
        <v>43.39</v>
      </c>
      <c r="DA40" s="228">
        <v>39.1</v>
      </c>
      <c r="DB40" s="228">
        <v>4.29</v>
      </c>
      <c r="DC40" s="228">
        <v>4.29</v>
      </c>
      <c r="DD40" s="228">
        <v>58.72</v>
      </c>
      <c r="DE40" s="228">
        <v>58.85</v>
      </c>
      <c r="DF40" s="228">
        <v>-15.33</v>
      </c>
      <c r="DG40" s="228">
        <v>-0.13</v>
      </c>
      <c r="DH40" s="228">
        <v>42.08</v>
      </c>
      <c r="DI40" s="228">
        <v>36.950000000000003</v>
      </c>
      <c r="DJ40" s="228">
        <v>5.13</v>
      </c>
      <c r="DK40" s="228">
        <v>5.13</v>
      </c>
      <c r="DL40" s="228">
        <v>44.62</v>
      </c>
      <c r="DM40" s="228">
        <v>41.1</v>
      </c>
      <c r="DN40" s="228">
        <v>3.52</v>
      </c>
      <c r="DO40" s="228">
        <v>3.52</v>
      </c>
      <c r="DP40" s="228">
        <v>1.1000000000000001</v>
      </c>
      <c r="DQ40" s="228">
        <v>1.1399999999999999</v>
      </c>
      <c r="DR40" s="228">
        <v>-0.04</v>
      </c>
      <c r="DS40" s="229">
        <v>-3.5099999999999999E-2</v>
      </c>
      <c r="DT40" s="231">
        <v>3500</v>
      </c>
      <c r="DU40" s="231">
        <v>3200</v>
      </c>
      <c r="DV40" s="228">
        <v>0.97</v>
      </c>
      <c r="DW40" s="228">
        <v>1.08</v>
      </c>
      <c r="DX40" s="228">
        <v>-0.11</v>
      </c>
      <c r="DY40" s="229">
        <v>-0.1019</v>
      </c>
      <c r="DZ40" s="229">
        <v>0.37230000000000002</v>
      </c>
      <c r="EA40" s="230">
        <v>1780875</v>
      </c>
      <c r="EB40" s="229">
        <v>3.5000000000000001E-3</v>
      </c>
      <c r="EC40" s="229">
        <v>0.37230000000000002</v>
      </c>
      <c r="ED40" s="228">
        <v>14.09</v>
      </c>
      <c r="EE40" s="229">
        <v>4.1000000000000003E-3</v>
      </c>
      <c r="EF40" s="230">
        <v>1006041</v>
      </c>
      <c r="EG40" s="230">
        <v>437117</v>
      </c>
      <c r="EH40" s="229">
        <v>1.3015000000000001</v>
      </c>
      <c r="EI40" s="229">
        <v>0.42380000000000001</v>
      </c>
      <c r="EJ40" s="231">
        <v>412227.97</v>
      </c>
      <c r="EK40" s="231">
        <v>369779.81</v>
      </c>
      <c r="EL40" s="231">
        <v>160793.31</v>
      </c>
      <c r="EM40" s="231">
        <v>8680</v>
      </c>
      <c r="EN40" s="231">
        <v>942801.09</v>
      </c>
      <c r="EO40" s="231">
        <v>753922.12</v>
      </c>
      <c r="EP40" s="231">
        <v>188878.97</v>
      </c>
      <c r="EQ40" s="229">
        <v>0.2505</v>
      </c>
      <c r="ER40" s="231">
        <v>272768</v>
      </c>
      <c r="ES40" s="231">
        <v>273845</v>
      </c>
      <c r="ET40" s="231">
        <v>298451</v>
      </c>
      <c r="EU40" s="231">
        <v>61182611</v>
      </c>
      <c r="EV40" s="231">
        <v>845063</v>
      </c>
      <c r="EW40" s="231">
        <v>871934</v>
      </c>
      <c r="EX40" s="231">
        <v>-26871</v>
      </c>
      <c r="EY40" s="229">
        <v>-3.0800000000000001E-2</v>
      </c>
      <c r="EZ40" s="229">
        <v>0.41749999999999998</v>
      </c>
      <c r="FA40" s="227" t="s">
        <v>566</v>
      </c>
      <c r="FB40" s="161">
        <f t="shared" si="0"/>
        <v>3196500</v>
      </c>
    </row>
    <row r="41" spans="1:158" ht="17.25" thickBot="1" x14ac:dyDescent="0.3">
      <c r="A41" s="226">
        <v>46135</v>
      </c>
      <c r="B41" s="227" t="s">
        <v>175</v>
      </c>
      <c r="C41" s="227" t="s">
        <v>610</v>
      </c>
      <c r="D41" s="228">
        <v>750</v>
      </c>
      <c r="E41" s="228">
        <v>762.55</v>
      </c>
      <c r="F41" s="228">
        <v>757.65</v>
      </c>
      <c r="G41" s="228">
        <v>4.9000000000000004</v>
      </c>
      <c r="H41" s="229">
        <v>6.4999999999999997E-3</v>
      </c>
      <c r="I41" s="228">
        <v>770.4</v>
      </c>
      <c r="J41" s="228">
        <v>755.6</v>
      </c>
      <c r="K41" s="228">
        <v>14.8</v>
      </c>
      <c r="L41" s="229">
        <v>1.9599999999999999E-2</v>
      </c>
      <c r="M41" s="228">
        <v>762.55</v>
      </c>
      <c r="N41" s="228">
        <v>757.65</v>
      </c>
      <c r="O41" s="228">
        <v>4.9000000000000004</v>
      </c>
      <c r="P41" s="229">
        <v>6.4999999999999997E-3</v>
      </c>
      <c r="Q41" s="228">
        <v>755.55</v>
      </c>
      <c r="R41" s="228">
        <v>754.55</v>
      </c>
      <c r="S41" s="228">
        <v>1</v>
      </c>
      <c r="T41" s="229">
        <v>1.2999999999999999E-3</v>
      </c>
      <c r="U41" s="228">
        <v>755.9</v>
      </c>
      <c r="V41" s="228">
        <v>753.15</v>
      </c>
      <c r="W41" s="228">
        <v>2.75</v>
      </c>
      <c r="X41" s="229">
        <v>3.7000000000000002E-3</v>
      </c>
      <c r="Y41" s="228">
        <v>-7.85</v>
      </c>
      <c r="Z41" s="228">
        <v>2.0499999999999998</v>
      </c>
      <c r="AA41" s="228">
        <v>-9.9</v>
      </c>
      <c r="AB41" s="229">
        <v>-1.0200000000000001E-2</v>
      </c>
      <c r="AC41" s="228">
        <v>-7.85</v>
      </c>
      <c r="AD41" s="228">
        <v>2.0499999999999998</v>
      </c>
      <c r="AE41" s="228">
        <v>-9.9</v>
      </c>
      <c r="AF41" s="229">
        <v>-1.0200000000000001E-2</v>
      </c>
      <c r="AG41" s="228">
        <v>-14.85</v>
      </c>
      <c r="AH41" s="228">
        <v>-1.05</v>
      </c>
      <c r="AI41" s="228">
        <v>-13.8</v>
      </c>
      <c r="AJ41" s="229">
        <v>-1.9300000000000001E-2</v>
      </c>
      <c r="AK41" s="228">
        <v>-14.5</v>
      </c>
      <c r="AL41" s="228">
        <v>-2.4500000000000002</v>
      </c>
      <c r="AM41" s="228">
        <v>-12.05</v>
      </c>
      <c r="AN41" s="229">
        <v>-1.8800000000000001E-2</v>
      </c>
      <c r="AO41" s="228">
        <v>767.24</v>
      </c>
      <c r="AP41" s="228">
        <v>760.51</v>
      </c>
      <c r="AQ41" s="228">
        <v>0</v>
      </c>
      <c r="AR41" s="230">
        <v>7722750</v>
      </c>
      <c r="AS41" s="230">
        <v>1238250</v>
      </c>
      <c r="AT41" s="230">
        <v>6484500</v>
      </c>
      <c r="AU41" s="229">
        <v>5.2367999999999997</v>
      </c>
      <c r="AV41" s="230">
        <v>4006500</v>
      </c>
      <c r="AW41" s="230">
        <v>678750</v>
      </c>
      <c r="AX41" s="230">
        <v>3327750</v>
      </c>
      <c r="AY41" s="229">
        <v>4.9028</v>
      </c>
      <c r="AZ41" s="230">
        <v>3661500</v>
      </c>
      <c r="BA41" s="230">
        <v>483000</v>
      </c>
      <c r="BB41" s="230">
        <v>3178500</v>
      </c>
      <c r="BC41" s="229">
        <v>6.5807000000000002</v>
      </c>
      <c r="BD41" s="230">
        <v>54750</v>
      </c>
      <c r="BE41" s="230">
        <v>76500</v>
      </c>
      <c r="BF41" s="230">
        <v>-21750</v>
      </c>
      <c r="BG41" s="229">
        <v>-0.2843</v>
      </c>
      <c r="BH41" s="230">
        <v>8851500</v>
      </c>
      <c r="BI41" s="230">
        <v>2319750</v>
      </c>
      <c r="BJ41" s="230">
        <v>6531750</v>
      </c>
      <c r="BK41" s="229">
        <v>2.8157000000000001</v>
      </c>
      <c r="BL41" s="230">
        <v>2990250</v>
      </c>
      <c r="BM41" s="230">
        <v>1127250</v>
      </c>
      <c r="BN41" s="230">
        <v>1863000</v>
      </c>
      <c r="BO41" s="229">
        <v>1.6527000000000001</v>
      </c>
      <c r="BP41" s="230">
        <v>19564500</v>
      </c>
      <c r="BQ41" s="230">
        <v>4685250</v>
      </c>
      <c r="BR41" s="230">
        <v>14879250</v>
      </c>
      <c r="BS41" s="229">
        <v>3.1758000000000002</v>
      </c>
      <c r="BT41" s="230">
        <v>3234137</v>
      </c>
      <c r="BU41" s="230">
        <v>1011183</v>
      </c>
      <c r="BV41" s="230">
        <v>2222954</v>
      </c>
      <c r="BW41" s="229">
        <v>2.1983999999999999</v>
      </c>
      <c r="BX41" s="230">
        <v>7920750</v>
      </c>
      <c r="BY41" s="230">
        <v>7943250</v>
      </c>
      <c r="BZ41" s="230">
        <v>-22500</v>
      </c>
      <c r="CA41" s="229">
        <v>-2.8E-3</v>
      </c>
      <c r="CB41" s="230">
        <v>4163250</v>
      </c>
      <c r="CC41" s="230">
        <v>6225750</v>
      </c>
      <c r="CD41" s="230">
        <v>-2062500</v>
      </c>
      <c r="CE41" s="229">
        <v>-0.33129999999999998</v>
      </c>
      <c r="CF41" s="230">
        <v>3586500</v>
      </c>
      <c r="CG41" s="230">
        <v>1559250</v>
      </c>
      <c r="CH41" s="230">
        <v>2027250</v>
      </c>
      <c r="CI41" s="229">
        <v>1.3001</v>
      </c>
      <c r="CJ41" s="230">
        <v>171000</v>
      </c>
      <c r="CK41" s="230">
        <v>158250</v>
      </c>
      <c r="CL41" s="230">
        <v>12750</v>
      </c>
      <c r="CM41" s="229">
        <v>8.0600000000000005E-2</v>
      </c>
      <c r="CN41" s="230">
        <v>3728250</v>
      </c>
      <c r="CO41" s="230">
        <v>3315000</v>
      </c>
      <c r="CP41" s="230">
        <v>413250</v>
      </c>
      <c r="CQ41" s="229">
        <v>0.12470000000000001</v>
      </c>
      <c r="CR41" s="230">
        <v>2929500</v>
      </c>
      <c r="CS41" s="230">
        <v>2611500</v>
      </c>
      <c r="CT41" s="230">
        <v>318000</v>
      </c>
      <c r="CU41" s="229">
        <v>0.12180000000000001</v>
      </c>
      <c r="CV41" s="230">
        <v>14578500</v>
      </c>
      <c r="CW41" s="230">
        <v>13869750</v>
      </c>
      <c r="CX41" s="230">
        <v>708750</v>
      </c>
      <c r="CY41" s="229">
        <v>5.11E-2</v>
      </c>
      <c r="CZ41" s="228">
        <v>35.270000000000003</v>
      </c>
      <c r="DA41" s="228">
        <v>31.51</v>
      </c>
      <c r="DB41" s="228">
        <v>3.76</v>
      </c>
      <c r="DC41" s="228">
        <v>3.76</v>
      </c>
      <c r="DD41" s="228">
        <v>40.590000000000003</v>
      </c>
      <c r="DE41" s="228">
        <v>40.68</v>
      </c>
      <c r="DF41" s="228">
        <v>-5.32</v>
      </c>
      <c r="DG41" s="228">
        <v>-0.09</v>
      </c>
      <c r="DH41" s="228">
        <v>35.67</v>
      </c>
      <c r="DI41" s="228">
        <v>29.31</v>
      </c>
      <c r="DJ41" s="228">
        <v>6.36</v>
      </c>
      <c r="DK41" s="228">
        <v>6.36</v>
      </c>
      <c r="DL41" s="228">
        <v>34.31</v>
      </c>
      <c r="DM41" s="228">
        <v>36.04</v>
      </c>
      <c r="DN41" s="228">
        <v>-1.73</v>
      </c>
      <c r="DO41" s="228">
        <v>-1.73</v>
      </c>
      <c r="DP41" s="228">
        <v>0.79</v>
      </c>
      <c r="DQ41" s="228">
        <v>0.79</v>
      </c>
      <c r="DR41" s="228">
        <v>0</v>
      </c>
      <c r="DS41" s="229">
        <v>0</v>
      </c>
      <c r="DT41" s="228">
        <v>800</v>
      </c>
      <c r="DU41" s="228">
        <v>750</v>
      </c>
      <c r="DV41" s="228">
        <v>0.34</v>
      </c>
      <c r="DW41" s="228">
        <v>0.49</v>
      </c>
      <c r="DX41" s="228">
        <v>-0.15</v>
      </c>
      <c r="DY41" s="229">
        <v>-0.30609999999999998</v>
      </c>
      <c r="DZ41" s="229">
        <v>0.47439999999999999</v>
      </c>
      <c r="EA41" s="230">
        <v>1717500</v>
      </c>
      <c r="EB41" s="229">
        <v>-9.1999999999999998E-3</v>
      </c>
      <c r="EC41" s="229">
        <v>0.47439999999999999</v>
      </c>
      <c r="ED41" s="228">
        <v>-6.73</v>
      </c>
      <c r="EE41" s="229">
        <v>-8.8000000000000005E-3</v>
      </c>
      <c r="EF41" s="230">
        <v>1664907</v>
      </c>
      <c r="EG41" s="230">
        <v>526210</v>
      </c>
      <c r="EH41" s="229">
        <v>2.1640000000000001</v>
      </c>
      <c r="EI41" s="229">
        <v>0.51480000000000004</v>
      </c>
      <c r="EJ41" s="231">
        <v>70034.98</v>
      </c>
      <c r="EK41" s="231">
        <v>22145.69</v>
      </c>
      <c r="EL41" s="231">
        <v>59001.47</v>
      </c>
      <c r="EM41" s="231">
        <v>2118</v>
      </c>
      <c r="EN41" s="231">
        <v>151182.14000000001</v>
      </c>
      <c r="EO41" s="231">
        <v>35564.089999999997</v>
      </c>
      <c r="EP41" s="231">
        <v>115618.05</v>
      </c>
      <c r="EQ41" s="229">
        <v>3.2509999999999999</v>
      </c>
      <c r="ER41" s="231">
        <v>28334</v>
      </c>
      <c r="ES41" s="231">
        <v>20567</v>
      </c>
      <c r="ET41" s="231">
        <v>60137</v>
      </c>
      <c r="EU41" s="231">
        <v>37147595</v>
      </c>
      <c r="EV41" s="231">
        <v>109038</v>
      </c>
      <c r="EW41" s="231">
        <v>103025</v>
      </c>
      <c r="EX41" s="231">
        <v>6013</v>
      </c>
      <c r="EY41" s="229">
        <v>5.8400000000000001E-2</v>
      </c>
      <c r="EZ41" s="229">
        <v>0.39240000000000003</v>
      </c>
      <c r="FA41" s="227" t="s">
        <v>693</v>
      </c>
      <c r="FB41" s="161">
        <f t="shared" si="0"/>
        <v>3757500</v>
      </c>
    </row>
    <row r="42" spans="1:158" ht="17.25" thickBot="1" x14ac:dyDescent="0.3">
      <c r="A42" s="226">
        <v>46135</v>
      </c>
      <c r="B42" s="227" t="s">
        <v>172</v>
      </c>
      <c r="C42" s="227" t="s">
        <v>196</v>
      </c>
      <c r="D42" s="228">
        <v>6750</v>
      </c>
      <c r="E42" s="228">
        <v>140.93</v>
      </c>
      <c r="F42" s="228">
        <v>145.38999999999999</v>
      </c>
      <c r="G42" s="228">
        <v>-4.46</v>
      </c>
      <c r="H42" s="229">
        <v>-3.0700000000000002E-2</v>
      </c>
      <c r="I42" s="228">
        <v>140.87</v>
      </c>
      <c r="J42" s="228">
        <v>145.22999999999999</v>
      </c>
      <c r="K42" s="228">
        <v>-4.3600000000000003</v>
      </c>
      <c r="L42" s="229">
        <v>-0.03</v>
      </c>
      <c r="M42" s="228">
        <v>140.93</v>
      </c>
      <c r="N42" s="228">
        <v>145.38999999999999</v>
      </c>
      <c r="O42" s="228">
        <v>-4.46</v>
      </c>
      <c r="P42" s="229">
        <v>-3.0700000000000002E-2</v>
      </c>
      <c r="Q42" s="228">
        <v>141.66999999999999</v>
      </c>
      <c r="R42" s="228">
        <v>146.22</v>
      </c>
      <c r="S42" s="228">
        <v>-4.55</v>
      </c>
      <c r="T42" s="229">
        <v>-3.1099999999999999E-2</v>
      </c>
      <c r="U42" s="228">
        <v>142.65</v>
      </c>
      <c r="V42" s="228">
        <v>147.07</v>
      </c>
      <c r="W42" s="228">
        <v>-4.42</v>
      </c>
      <c r="X42" s="229">
        <v>-3.0099999999999998E-2</v>
      </c>
      <c r="Y42" s="228">
        <v>0.06</v>
      </c>
      <c r="Z42" s="228">
        <v>0.16</v>
      </c>
      <c r="AA42" s="228">
        <v>-0.1</v>
      </c>
      <c r="AB42" s="229">
        <v>4.0000000000000002E-4</v>
      </c>
      <c r="AC42" s="228">
        <v>0.06</v>
      </c>
      <c r="AD42" s="228">
        <v>0.16</v>
      </c>
      <c r="AE42" s="228">
        <v>-0.1</v>
      </c>
      <c r="AF42" s="229">
        <v>4.0000000000000002E-4</v>
      </c>
      <c r="AG42" s="228">
        <v>0.8</v>
      </c>
      <c r="AH42" s="228">
        <v>0.99</v>
      </c>
      <c r="AI42" s="228">
        <v>-0.19</v>
      </c>
      <c r="AJ42" s="229">
        <v>5.7000000000000002E-3</v>
      </c>
      <c r="AK42" s="228">
        <v>1.78</v>
      </c>
      <c r="AL42" s="228">
        <v>1.84</v>
      </c>
      <c r="AM42" s="228">
        <v>-0.06</v>
      </c>
      <c r="AN42" s="229">
        <v>1.26E-2</v>
      </c>
      <c r="AO42" s="228">
        <v>142.44</v>
      </c>
      <c r="AP42" s="228">
        <v>143.21</v>
      </c>
      <c r="AQ42" s="228">
        <v>0</v>
      </c>
      <c r="AR42" s="230">
        <v>139711500</v>
      </c>
      <c r="AS42" s="230">
        <v>47020500</v>
      </c>
      <c r="AT42" s="230">
        <v>92691000</v>
      </c>
      <c r="AU42" s="229">
        <v>1.9713000000000001</v>
      </c>
      <c r="AV42" s="230">
        <v>69707250</v>
      </c>
      <c r="AW42" s="230">
        <v>28140750</v>
      </c>
      <c r="AX42" s="230">
        <v>41566500</v>
      </c>
      <c r="AY42" s="229">
        <v>1.4771000000000001</v>
      </c>
      <c r="AZ42" s="230">
        <v>67020750</v>
      </c>
      <c r="BA42" s="230">
        <v>17847000</v>
      </c>
      <c r="BB42" s="230">
        <v>49173750</v>
      </c>
      <c r="BC42" s="229">
        <v>2.7553000000000001</v>
      </c>
      <c r="BD42" s="230">
        <v>2983500</v>
      </c>
      <c r="BE42" s="230">
        <v>1032750</v>
      </c>
      <c r="BF42" s="230">
        <v>1950750</v>
      </c>
      <c r="BG42" s="229">
        <v>1.8889</v>
      </c>
      <c r="BH42" s="230">
        <v>135317250</v>
      </c>
      <c r="BI42" s="230">
        <v>114210000</v>
      </c>
      <c r="BJ42" s="230">
        <v>21107250</v>
      </c>
      <c r="BK42" s="229">
        <v>0.18479999999999999</v>
      </c>
      <c r="BL42" s="230">
        <v>119036250</v>
      </c>
      <c r="BM42" s="230">
        <v>100122750</v>
      </c>
      <c r="BN42" s="230">
        <v>18913500</v>
      </c>
      <c r="BO42" s="229">
        <v>0.18890000000000001</v>
      </c>
      <c r="BP42" s="230">
        <v>394065000</v>
      </c>
      <c r="BQ42" s="230">
        <v>261353250</v>
      </c>
      <c r="BR42" s="230">
        <v>132711750</v>
      </c>
      <c r="BS42" s="229">
        <v>0.50780000000000003</v>
      </c>
      <c r="BT42" s="230">
        <v>24378107</v>
      </c>
      <c r="BU42" s="230">
        <v>19699100</v>
      </c>
      <c r="BV42" s="230">
        <v>4679007</v>
      </c>
      <c r="BW42" s="229">
        <v>0.23749999999999999</v>
      </c>
      <c r="BX42" s="230">
        <v>208649250</v>
      </c>
      <c r="BY42" s="230">
        <v>202533750</v>
      </c>
      <c r="BZ42" s="230">
        <v>6115500</v>
      </c>
      <c r="CA42" s="229">
        <v>3.0200000000000001E-2</v>
      </c>
      <c r="CB42" s="230">
        <v>102876750</v>
      </c>
      <c r="CC42" s="230">
        <v>147480750</v>
      </c>
      <c r="CD42" s="230">
        <v>-44604000</v>
      </c>
      <c r="CE42" s="229">
        <v>-0.3024</v>
      </c>
      <c r="CF42" s="230">
        <v>89154000</v>
      </c>
      <c r="CG42" s="230">
        <v>40878000</v>
      </c>
      <c r="CH42" s="230">
        <v>48276000</v>
      </c>
      <c r="CI42" s="229">
        <v>1.181</v>
      </c>
      <c r="CJ42" s="230">
        <v>16618500</v>
      </c>
      <c r="CK42" s="230">
        <v>14175000</v>
      </c>
      <c r="CL42" s="230">
        <v>2443500</v>
      </c>
      <c r="CM42" s="229">
        <v>0.1724</v>
      </c>
      <c r="CN42" s="230">
        <v>89505000</v>
      </c>
      <c r="CO42" s="230">
        <v>85266000</v>
      </c>
      <c r="CP42" s="230">
        <v>4239000</v>
      </c>
      <c r="CQ42" s="229">
        <v>4.9700000000000001E-2</v>
      </c>
      <c r="CR42" s="230">
        <v>78759000</v>
      </c>
      <c r="CS42" s="230">
        <v>80318250</v>
      </c>
      <c r="CT42" s="230">
        <v>-1559250</v>
      </c>
      <c r="CU42" s="229">
        <v>-1.9400000000000001E-2</v>
      </c>
      <c r="CV42" s="230">
        <v>376913250</v>
      </c>
      <c r="CW42" s="230">
        <v>368118000</v>
      </c>
      <c r="CX42" s="230">
        <v>8795250</v>
      </c>
      <c r="CY42" s="229">
        <v>2.3900000000000001E-2</v>
      </c>
      <c r="CZ42" s="228">
        <v>36.01</v>
      </c>
      <c r="DA42" s="228">
        <v>34.450000000000003</v>
      </c>
      <c r="DB42" s="228">
        <v>1.56</v>
      </c>
      <c r="DC42" s="228">
        <v>1.56</v>
      </c>
      <c r="DD42" s="228">
        <v>39.01</v>
      </c>
      <c r="DE42" s="228">
        <v>38.880000000000003</v>
      </c>
      <c r="DF42" s="228">
        <v>-3</v>
      </c>
      <c r="DG42" s="228">
        <v>0.13</v>
      </c>
      <c r="DH42" s="228">
        <v>35.869999999999997</v>
      </c>
      <c r="DI42" s="228">
        <v>32.159999999999997</v>
      </c>
      <c r="DJ42" s="228">
        <v>3.71</v>
      </c>
      <c r="DK42" s="228">
        <v>3.71</v>
      </c>
      <c r="DL42" s="228">
        <v>36.19</v>
      </c>
      <c r="DM42" s="228">
        <v>37.07</v>
      </c>
      <c r="DN42" s="228">
        <v>-0.88</v>
      </c>
      <c r="DO42" s="228">
        <v>-0.88</v>
      </c>
      <c r="DP42" s="228">
        <v>0.88</v>
      </c>
      <c r="DQ42" s="228">
        <v>0.94</v>
      </c>
      <c r="DR42" s="228">
        <v>-0.06</v>
      </c>
      <c r="DS42" s="229">
        <v>-6.3799999999999996E-2</v>
      </c>
      <c r="DT42" s="228">
        <v>150</v>
      </c>
      <c r="DU42" s="228">
        <v>135</v>
      </c>
      <c r="DV42" s="228">
        <v>0.88</v>
      </c>
      <c r="DW42" s="228">
        <v>0.88</v>
      </c>
      <c r="DX42" s="228">
        <v>0</v>
      </c>
      <c r="DY42" s="229">
        <v>0</v>
      </c>
      <c r="DZ42" s="229">
        <v>0.50690000000000002</v>
      </c>
      <c r="EA42" s="230">
        <v>55053000</v>
      </c>
      <c r="EB42" s="229">
        <v>5.3E-3</v>
      </c>
      <c r="EC42" s="229">
        <v>0.50690000000000002</v>
      </c>
      <c r="ED42" s="228">
        <v>0.77</v>
      </c>
      <c r="EE42" s="229">
        <v>5.4000000000000003E-3</v>
      </c>
      <c r="EF42" s="230">
        <v>10714444</v>
      </c>
      <c r="EG42" s="230">
        <v>8732022</v>
      </c>
      <c r="EH42" s="229">
        <v>0.22700000000000001</v>
      </c>
      <c r="EI42" s="229">
        <v>0.4395</v>
      </c>
      <c r="EJ42" s="231">
        <v>200761.97</v>
      </c>
      <c r="EK42" s="231">
        <v>167731.82</v>
      </c>
      <c r="EL42" s="231">
        <v>199534.87</v>
      </c>
      <c r="EM42" s="231">
        <v>6461</v>
      </c>
      <c r="EN42" s="231">
        <v>568028.66</v>
      </c>
      <c r="EO42" s="231">
        <v>381778.26</v>
      </c>
      <c r="EP42" s="231">
        <v>186250.4</v>
      </c>
      <c r="EQ42" s="229">
        <v>0.48780000000000001</v>
      </c>
      <c r="ER42" s="231">
        <v>129860</v>
      </c>
      <c r="ES42" s="231">
        <v>108133</v>
      </c>
      <c r="ET42" s="231">
        <v>294995</v>
      </c>
      <c r="EU42" s="231">
        <v>504315430</v>
      </c>
      <c r="EV42" s="231">
        <v>532988</v>
      </c>
      <c r="EW42" s="231">
        <v>529329</v>
      </c>
      <c r="EX42" s="231">
        <v>3659</v>
      </c>
      <c r="EY42" s="229">
        <v>6.8999999999999999E-3</v>
      </c>
      <c r="EZ42" s="229">
        <v>0.74739999999999995</v>
      </c>
      <c r="FA42" s="227" t="s">
        <v>566</v>
      </c>
      <c r="FB42" s="161">
        <f t="shared" si="0"/>
        <v>105772500</v>
      </c>
    </row>
    <row r="43" spans="1:158" ht="17.25" thickBot="1" x14ac:dyDescent="0.3">
      <c r="A43" s="226">
        <v>46135</v>
      </c>
      <c r="B43" s="227" t="s">
        <v>175</v>
      </c>
      <c r="C43" s="227" t="s">
        <v>596</v>
      </c>
      <c r="D43" s="228">
        <v>475</v>
      </c>
      <c r="E43" s="231">
        <v>1321.6</v>
      </c>
      <c r="F43" s="231">
        <v>1319.2</v>
      </c>
      <c r="G43" s="228">
        <v>2.4</v>
      </c>
      <c r="H43" s="229">
        <v>1.8E-3</v>
      </c>
      <c r="I43" s="231">
        <v>1323.6</v>
      </c>
      <c r="J43" s="231">
        <v>1321.2</v>
      </c>
      <c r="K43" s="228">
        <v>2.4</v>
      </c>
      <c r="L43" s="229">
        <v>1.8E-3</v>
      </c>
      <c r="M43" s="231">
        <v>1321.6</v>
      </c>
      <c r="N43" s="231">
        <v>1319.2</v>
      </c>
      <c r="O43" s="228">
        <v>2.4</v>
      </c>
      <c r="P43" s="229">
        <v>1.8E-3</v>
      </c>
      <c r="Q43" s="231">
        <v>1307.0999999999999</v>
      </c>
      <c r="R43" s="231">
        <v>1310.8</v>
      </c>
      <c r="S43" s="228">
        <v>-3.7</v>
      </c>
      <c r="T43" s="229">
        <v>-2.8E-3</v>
      </c>
      <c r="U43" s="231">
        <v>1302.8</v>
      </c>
      <c r="V43" s="231">
        <v>1308.5</v>
      </c>
      <c r="W43" s="228">
        <v>-5.7</v>
      </c>
      <c r="X43" s="229">
        <v>-4.4000000000000003E-3</v>
      </c>
      <c r="Y43" s="228">
        <v>-2</v>
      </c>
      <c r="Z43" s="228">
        <v>-2</v>
      </c>
      <c r="AA43" s="228">
        <v>0</v>
      </c>
      <c r="AB43" s="229">
        <v>-1.5E-3</v>
      </c>
      <c r="AC43" s="228">
        <v>-2</v>
      </c>
      <c r="AD43" s="228">
        <v>-2</v>
      </c>
      <c r="AE43" s="228">
        <v>0</v>
      </c>
      <c r="AF43" s="229">
        <v>-1.5E-3</v>
      </c>
      <c r="AG43" s="228">
        <v>-16.5</v>
      </c>
      <c r="AH43" s="228">
        <v>-10.4</v>
      </c>
      <c r="AI43" s="228">
        <v>-6.1</v>
      </c>
      <c r="AJ43" s="229">
        <v>-1.2500000000000001E-2</v>
      </c>
      <c r="AK43" s="228">
        <v>-20.8</v>
      </c>
      <c r="AL43" s="228">
        <v>-12.7</v>
      </c>
      <c r="AM43" s="228">
        <v>-8.1</v>
      </c>
      <c r="AN43" s="229">
        <v>-1.5699999999999999E-2</v>
      </c>
      <c r="AO43" s="231">
        <v>1321.59</v>
      </c>
      <c r="AP43" s="231">
        <v>1309.25</v>
      </c>
      <c r="AQ43" s="228">
        <v>0</v>
      </c>
      <c r="AR43" s="230">
        <v>8460700</v>
      </c>
      <c r="AS43" s="230">
        <v>5188425</v>
      </c>
      <c r="AT43" s="230">
        <v>3272275</v>
      </c>
      <c r="AU43" s="229">
        <v>0.63070000000000004</v>
      </c>
      <c r="AV43" s="230">
        <v>4127275</v>
      </c>
      <c r="AW43" s="230">
        <v>2818175</v>
      </c>
      <c r="AX43" s="230">
        <v>1309100</v>
      </c>
      <c r="AY43" s="229">
        <v>0.46450000000000002</v>
      </c>
      <c r="AZ43" s="230">
        <v>4213725</v>
      </c>
      <c r="BA43" s="230">
        <v>2149375</v>
      </c>
      <c r="BB43" s="230">
        <v>2064350</v>
      </c>
      <c r="BC43" s="229">
        <v>0.96040000000000003</v>
      </c>
      <c r="BD43" s="230">
        <v>119700</v>
      </c>
      <c r="BE43" s="230">
        <v>220875</v>
      </c>
      <c r="BF43" s="230">
        <v>-101175</v>
      </c>
      <c r="BG43" s="229">
        <v>-0.45810000000000001</v>
      </c>
      <c r="BH43" s="230">
        <v>8671125</v>
      </c>
      <c r="BI43" s="230">
        <v>14173525</v>
      </c>
      <c r="BJ43" s="230">
        <v>-5502400</v>
      </c>
      <c r="BK43" s="229">
        <v>-0.38819999999999999</v>
      </c>
      <c r="BL43" s="230">
        <v>4296375</v>
      </c>
      <c r="BM43" s="230">
        <v>9552725</v>
      </c>
      <c r="BN43" s="230">
        <v>-5256350</v>
      </c>
      <c r="BO43" s="229">
        <v>-0.55020000000000002</v>
      </c>
      <c r="BP43" s="230">
        <v>21428200</v>
      </c>
      <c r="BQ43" s="230">
        <v>28914675</v>
      </c>
      <c r="BR43" s="230">
        <v>-7486475</v>
      </c>
      <c r="BS43" s="229">
        <v>-0.25890000000000002</v>
      </c>
      <c r="BT43" s="230">
        <v>1334615</v>
      </c>
      <c r="BU43" s="230">
        <v>3311575</v>
      </c>
      <c r="BV43" s="230">
        <v>-1976960</v>
      </c>
      <c r="BW43" s="229">
        <v>-0.59699999999999998</v>
      </c>
      <c r="BX43" s="230">
        <v>12582750</v>
      </c>
      <c r="BY43" s="230">
        <v>14229100</v>
      </c>
      <c r="BZ43" s="230">
        <v>-1646350</v>
      </c>
      <c r="CA43" s="229">
        <v>-0.1157</v>
      </c>
      <c r="CB43" s="230">
        <v>5620675</v>
      </c>
      <c r="CC43" s="230">
        <v>8726225</v>
      </c>
      <c r="CD43" s="230">
        <v>-3105550</v>
      </c>
      <c r="CE43" s="229">
        <v>-0.35589999999999999</v>
      </c>
      <c r="CF43" s="230">
        <v>6327475</v>
      </c>
      <c r="CG43" s="230">
        <v>4935725</v>
      </c>
      <c r="CH43" s="230">
        <v>1391750</v>
      </c>
      <c r="CI43" s="229">
        <v>0.28199999999999997</v>
      </c>
      <c r="CJ43" s="230">
        <v>634600</v>
      </c>
      <c r="CK43" s="230">
        <v>567150</v>
      </c>
      <c r="CL43" s="230">
        <v>67450</v>
      </c>
      <c r="CM43" s="229">
        <v>0.11890000000000001</v>
      </c>
      <c r="CN43" s="230">
        <v>6237700</v>
      </c>
      <c r="CO43" s="230">
        <v>6313225</v>
      </c>
      <c r="CP43" s="230">
        <v>-75525</v>
      </c>
      <c r="CQ43" s="229">
        <v>-1.2E-2</v>
      </c>
      <c r="CR43" s="230">
        <v>5072525</v>
      </c>
      <c r="CS43" s="230">
        <v>5080125</v>
      </c>
      <c r="CT43" s="230">
        <v>-7600</v>
      </c>
      <c r="CU43" s="229">
        <v>-1.5E-3</v>
      </c>
      <c r="CV43" s="230">
        <v>23892975</v>
      </c>
      <c r="CW43" s="230">
        <v>25622450</v>
      </c>
      <c r="CX43" s="230">
        <v>-1729475</v>
      </c>
      <c r="CY43" s="229">
        <v>-6.7500000000000004E-2</v>
      </c>
      <c r="CZ43" s="228">
        <v>37.090000000000003</v>
      </c>
      <c r="DA43" s="228">
        <v>38.86</v>
      </c>
      <c r="DB43" s="228">
        <v>-1.77</v>
      </c>
      <c r="DC43" s="228">
        <v>-1.77</v>
      </c>
      <c r="DD43" s="228">
        <v>46.62</v>
      </c>
      <c r="DE43" s="228">
        <v>46.74</v>
      </c>
      <c r="DF43" s="228">
        <v>-9.5299999999999994</v>
      </c>
      <c r="DG43" s="228">
        <v>-0.12</v>
      </c>
      <c r="DH43" s="228">
        <v>36.909999999999997</v>
      </c>
      <c r="DI43" s="228">
        <v>39.22</v>
      </c>
      <c r="DJ43" s="228">
        <v>-2.31</v>
      </c>
      <c r="DK43" s="228">
        <v>-2.31</v>
      </c>
      <c r="DL43" s="228">
        <v>37.340000000000003</v>
      </c>
      <c r="DM43" s="228">
        <v>38.33</v>
      </c>
      <c r="DN43" s="228">
        <v>-0.99</v>
      </c>
      <c r="DO43" s="228">
        <v>-0.99</v>
      </c>
      <c r="DP43" s="228">
        <v>0.81</v>
      </c>
      <c r="DQ43" s="228">
        <v>0.8</v>
      </c>
      <c r="DR43" s="228">
        <v>0.01</v>
      </c>
      <c r="DS43" s="229">
        <v>1.2500000000000001E-2</v>
      </c>
      <c r="DT43" s="231">
        <v>1400</v>
      </c>
      <c r="DU43" s="231">
        <v>1300</v>
      </c>
      <c r="DV43" s="228">
        <v>0.5</v>
      </c>
      <c r="DW43" s="228">
        <v>0.67</v>
      </c>
      <c r="DX43" s="228">
        <v>-0.17</v>
      </c>
      <c r="DY43" s="229">
        <v>-0.25369999999999998</v>
      </c>
      <c r="DZ43" s="229">
        <v>0.55330000000000001</v>
      </c>
      <c r="EA43" s="230">
        <v>5502875</v>
      </c>
      <c r="EB43" s="229">
        <v>-1.0999999999999999E-2</v>
      </c>
      <c r="EC43" s="229">
        <v>0.55330000000000001</v>
      </c>
      <c r="ED43" s="228">
        <v>-12.34</v>
      </c>
      <c r="EE43" s="229">
        <v>-9.2999999999999992E-3</v>
      </c>
      <c r="EF43" s="230">
        <v>425230</v>
      </c>
      <c r="EG43" s="230">
        <v>1434235</v>
      </c>
      <c r="EH43" s="229">
        <v>-0.70350000000000001</v>
      </c>
      <c r="EI43" s="229">
        <v>0.31859999999999999</v>
      </c>
      <c r="EJ43" s="231">
        <v>119903.15</v>
      </c>
      <c r="EK43" s="231">
        <v>56517.01</v>
      </c>
      <c r="EL43" s="231">
        <v>111276.07</v>
      </c>
      <c r="EM43" s="231">
        <v>6677</v>
      </c>
      <c r="EN43" s="231">
        <v>287696.23</v>
      </c>
      <c r="EO43" s="231">
        <v>393831.7</v>
      </c>
      <c r="EP43" s="231">
        <v>-106135.47</v>
      </c>
      <c r="EQ43" s="229">
        <v>-0.26950000000000002</v>
      </c>
      <c r="ER43" s="231">
        <v>84263</v>
      </c>
      <c r="ES43" s="231">
        <v>64766</v>
      </c>
      <c r="ET43" s="231">
        <v>165257</v>
      </c>
      <c r="EU43" s="231">
        <v>26647500</v>
      </c>
      <c r="EV43" s="231">
        <v>314286</v>
      </c>
      <c r="EW43" s="231">
        <v>337458</v>
      </c>
      <c r="EX43" s="231">
        <v>-23172</v>
      </c>
      <c r="EY43" s="229">
        <v>-6.8699999999999997E-2</v>
      </c>
      <c r="EZ43" s="229">
        <v>0.89659999999999995</v>
      </c>
      <c r="FA43" s="227" t="s">
        <v>693</v>
      </c>
      <c r="FB43" s="161">
        <f t="shared" si="0"/>
        <v>6962075</v>
      </c>
    </row>
    <row r="44" spans="1:158" ht="17.25" thickBot="1" x14ac:dyDescent="0.3">
      <c r="A44" s="226">
        <v>46135</v>
      </c>
      <c r="B44" s="227" t="s">
        <v>161</v>
      </c>
      <c r="C44" s="227" t="s">
        <v>611</v>
      </c>
      <c r="D44" s="228">
        <v>850</v>
      </c>
      <c r="E44" s="228">
        <v>837</v>
      </c>
      <c r="F44" s="228">
        <v>826.65</v>
      </c>
      <c r="G44" s="228">
        <v>10.35</v>
      </c>
      <c r="H44" s="229">
        <v>1.2500000000000001E-2</v>
      </c>
      <c r="I44" s="228">
        <v>837.8</v>
      </c>
      <c r="J44" s="228">
        <v>824.35</v>
      </c>
      <c r="K44" s="228">
        <v>13.45</v>
      </c>
      <c r="L44" s="229">
        <v>1.6299999999999999E-2</v>
      </c>
      <c r="M44" s="228">
        <v>837</v>
      </c>
      <c r="N44" s="228">
        <v>826.65</v>
      </c>
      <c r="O44" s="228">
        <v>10.35</v>
      </c>
      <c r="P44" s="229">
        <v>1.2500000000000001E-2</v>
      </c>
      <c r="Q44" s="228">
        <v>841.45</v>
      </c>
      <c r="R44" s="228">
        <v>831.2</v>
      </c>
      <c r="S44" s="228">
        <v>10.25</v>
      </c>
      <c r="T44" s="229">
        <v>1.23E-2</v>
      </c>
      <c r="U44" s="228">
        <v>848.4</v>
      </c>
      <c r="V44" s="228">
        <v>836.1</v>
      </c>
      <c r="W44" s="228">
        <v>12.3</v>
      </c>
      <c r="X44" s="229">
        <v>1.47E-2</v>
      </c>
      <c r="Y44" s="228">
        <v>-0.8</v>
      </c>
      <c r="Z44" s="228">
        <v>2.2999999999999998</v>
      </c>
      <c r="AA44" s="228">
        <v>-3.1</v>
      </c>
      <c r="AB44" s="229">
        <v>-1E-3</v>
      </c>
      <c r="AC44" s="228">
        <v>-0.8</v>
      </c>
      <c r="AD44" s="228">
        <v>2.2999999999999998</v>
      </c>
      <c r="AE44" s="228">
        <v>-3.1</v>
      </c>
      <c r="AF44" s="229">
        <v>-1E-3</v>
      </c>
      <c r="AG44" s="228">
        <v>3.65</v>
      </c>
      <c r="AH44" s="228">
        <v>6.85</v>
      </c>
      <c r="AI44" s="228">
        <v>-3.2</v>
      </c>
      <c r="AJ44" s="229">
        <v>4.4000000000000003E-3</v>
      </c>
      <c r="AK44" s="228">
        <v>10.6</v>
      </c>
      <c r="AL44" s="228">
        <v>11.75</v>
      </c>
      <c r="AM44" s="228">
        <v>-1.1499999999999999</v>
      </c>
      <c r="AN44" s="229">
        <v>1.2699999999999999E-2</v>
      </c>
      <c r="AO44" s="228">
        <v>835.6</v>
      </c>
      <c r="AP44" s="228">
        <v>840.41</v>
      </c>
      <c r="AQ44" s="228">
        <v>0</v>
      </c>
      <c r="AR44" s="230">
        <v>13874550</v>
      </c>
      <c r="AS44" s="230">
        <v>6553500</v>
      </c>
      <c r="AT44" s="230">
        <v>7321050</v>
      </c>
      <c r="AU44" s="229">
        <v>1.1171</v>
      </c>
      <c r="AV44" s="230">
        <v>7526750</v>
      </c>
      <c r="AW44" s="230">
        <v>4130150</v>
      </c>
      <c r="AX44" s="230">
        <v>3396600</v>
      </c>
      <c r="AY44" s="229">
        <v>0.82240000000000002</v>
      </c>
      <c r="AZ44" s="230">
        <v>6299350</v>
      </c>
      <c r="BA44" s="230">
        <v>2327300</v>
      </c>
      <c r="BB44" s="230">
        <v>3972050</v>
      </c>
      <c r="BC44" s="229">
        <v>1.7067000000000001</v>
      </c>
      <c r="BD44" s="230">
        <v>48450</v>
      </c>
      <c r="BE44" s="230">
        <v>96050</v>
      </c>
      <c r="BF44" s="230">
        <v>-47600</v>
      </c>
      <c r="BG44" s="229">
        <v>-0.49559999999999998</v>
      </c>
      <c r="BH44" s="230">
        <v>22868400</v>
      </c>
      <c r="BI44" s="230">
        <v>23023100</v>
      </c>
      <c r="BJ44" s="230">
        <v>-154700</v>
      </c>
      <c r="BK44" s="229">
        <v>-6.7000000000000002E-3</v>
      </c>
      <c r="BL44" s="230">
        <v>8824700</v>
      </c>
      <c r="BM44" s="230">
        <v>9223350</v>
      </c>
      <c r="BN44" s="230">
        <v>-398650</v>
      </c>
      <c r="BO44" s="229">
        <v>-4.3200000000000002E-2</v>
      </c>
      <c r="BP44" s="230">
        <v>45567650</v>
      </c>
      <c r="BQ44" s="230">
        <v>38799950</v>
      </c>
      <c r="BR44" s="230">
        <v>6767700</v>
      </c>
      <c r="BS44" s="229">
        <v>0.1744</v>
      </c>
      <c r="BT44" s="230">
        <v>4104832</v>
      </c>
      <c r="BU44" s="230">
        <v>5081007</v>
      </c>
      <c r="BV44" s="230">
        <v>-976175</v>
      </c>
      <c r="BW44" s="229">
        <v>-0.19209999999999999</v>
      </c>
      <c r="BX44" s="230">
        <v>20927850</v>
      </c>
      <c r="BY44" s="230">
        <v>21114000</v>
      </c>
      <c r="BZ44" s="230">
        <v>-186150</v>
      </c>
      <c r="CA44" s="229">
        <v>-8.8000000000000005E-3</v>
      </c>
      <c r="CB44" s="230">
        <v>12046200</v>
      </c>
      <c r="CC44" s="230">
        <v>17304300</v>
      </c>
      <c r="CD44" s="230">
        <v>-5258100</v>
      </c>
      <c r="CE44" s="229">
        <v>-0.3039</v>
      </c>
      <c r="CF44" s="230">
        <v>7378000</v>
      </c>
      <c r="CG44" s="230">
        <v>2312000</v>
      </c>
      <c r="CH44" s="230">
        <v>5066000</v>
      </c>
      <c r="CI44" s="229">
        <v>2.1911999999999998</v>
      </c>
      <c r="CJ44" s="230">
        <v>1503650</v>
      </c>
      <c r="CK44" s="230">
        <v>1497700</v>
      </c>
      <c r="CL44" s="230">
        <v>5950</v>
      </c>
      <c r="CM44" s="229">
        <v>4.0000000000000001E-3</v>
      </c>
      <c r="CN44" s="230">
        <v>6249200</v>
      </c>
      <c r="CO44" s="230">
        <v>5685650</v>
      </c>
      <c r="CP44" s="230">
        <v>563550</v>
      </c>
      <c r="CQ44" s="229">
        <v>9.9099999999999994E-2</v>
      </c>
      <c r="CR44" s="230">
        <v>4595950</v>
      </c>
      <c r="CS44" s="230">
        <v>4448900</v>
      </c>
      <c r="CT44" s="230">
        <v>147050</v>
      </c>
      <c r="CU44" s="229">
        <v>3.3099999999999997E-2</v>
      </c>
      <c r="CV44" s="230">
        <v>31773000</v>
      </c>
      <c r="CW44" s="230">
        <v>31248550</v>
      </c>
      <c r="CX44" s="230">
        <v>524450</v>
      </c>
      <c r="CY44" s="229">
        <v>1.6799999999999999E-2</v>
      </c>
      <c r="CZ44" s="228">
        <v>39.6</v>
      </c>
      <c r="DA44" s="228">
        <v>34.46</v>
      </c>
      <c r="DB44" s="228">
        <v>5.14</v>
      </c>
      <c r="DC44" s="228">
        <v>5.14</v>
      </c>
      <c r="DD44" s="228">
        <v>42.38</v>
      </c>
      <c r="DE44" s="228">
        <v>42.46</v>
      </c>
      <c r="DF44" s="228">
        <v>-2.78</v>
      </c>
      <c r="DG44" s="228">
        <v>-0.08</v>
      </c>
      <c r="DH44" s="228">
        <v>39.409999999999997</v>
      </c>
      <c r="DI44" s="228">
        <v>34.020000000000003</v>
      </c>
      <c r="DJ44" s="228">
        <v>5.39</v>
      </c>
      <c r="DK44" s="228">
        <v>5.39</v>
      </c>
      <c r="DL44" s="228">
        <v>40.24</v>
      </c>
      <c r="DM44" s="228">
        <v>35.57</v>
      </c>
      <c r="DN44" s="228">
        <v>4.67</v>
      </c>
      <c r="DO44" s="228">
        <v>4.67</v>
      </c>
      <c r="DP44" s="228">
        <v>0.74</v>
      </c>
      <c r="DQ44" s="228">
        <v>0.78</v>
      </c>
      <c r="DR44" s="228">
        <v>-0.04</v>
      </c>
      <c r="DS44" s="229">
        <v>-5.1299999999999998E-2</v>
      </c>
      <c r="DT44" s="228">
        <v>820</v>
      </c>
      <c r="DU44" s="228">
        <v>810</v>
      </c>
      <c r="DV44" s="228">
        <v>0.39</v>
      </c>
      <c r="DW44" s="228">
        <v>0.4</v>
      </c>
      <c r="DX44" s="228">
        <v>-0.01</v>
      </c>
      <c r="DY44" s="229">
        <v>-2.5000000000000001E-2</v>
      </c>
      <c r="DZ44" s="229">
        <v>0.4244</v>
      </c>
      <c r="EA44" s="230">
        <v>3809700</v>
      </c>
      <c r="EB44" s="229">
        <v>5.3E-3</v>
      </c>
      <c r="EC44" s="229">
        <v>0.4244</v>
      </c>
      <c r="ED44" s="228">
        <v>4.8099999999999996</v>
      </c>
      <c r="EE44" s="229">
        <v>5.7999999999999996E-3</v>
      </c>
      <c r="EF44" s="230">
        <v>1678812</v>
      </c>
      <c r="EG44" s="230">
        <v>2176756</v>
      </c>
      <c r="EH44" s="229">
        <v>-0.2288</v>
      </c>
      <c r="EI44" s="229">
        <v>0.40899999999999997</v>
      </c>
      <c r="EJ44" s="231">
        <v>196000.98</v>
      </c>
      <c r="EK44" s="231">
        <v>72375.11</v>
      </c>
      <c r="EL44" s="231">
        <v>116243.19</v>
      </c>
      <c r="EM44" s="231">
        <v>5957</v>
      </c>
      <c r="EN44" s="231">
        <v>384619.28</v>
      </c>
      <c r="EO44" s="231">
        <v>323423.08</v>
      </c>
      <c r="EP44" s="231">
        <v>61196.2</v>
      </c>
      <c r="EQ44" s="229">
        <v>0.18920000000000001</v>
      </c>
      <c r="ER44" s="231">
        <v>50154</v>
      </c>
      <c r="ES44" s="231">
        <v>35041</v>
      </c>
      <c r="ET44" s="231">
        <v>175666</v>
      </c>
      <c r="EU44" s="231">
        <v>103080397</v>
      </c>
      <c r="EV44" s="231">
        <v>260861</v>
      </c>
      <c r="EW44" s="231">
        <v>253510</v>
      </c>
      <c r="EX44" s="231">
        <v>7351</v>
      </c>
      <c r="EY44" s="229">
        <v>2.9000000000000001E-2</v>
      </c>
      <c r="EZ44" s="229">
        <v>0.30819999999999997</v>
      </c>
      <c r="FA44" s="227" t="s">
        <v>693</v>
      </c>
      <c r="FB44" s="161">
        <f t="shared" si="0"/>
        <v>8881650</v>
      </c>
    </row>
    <row r="45" spans="1:158" ht="17.25" thickBot="1" x14ac:dyDescent="0.3">
      <c r="A45" s="226">
        <v>46135</v>
      </c>
      <c r="B45" s="227" t="s">
        <v>175</v>
      </c>
      <c r="C45" s="227" t="s">
        <v>198</v>
      </c>
      <c r="D45" s="228">
        <v>625</v>
      </c>
      <c r="E45" s="231">
        <v>1541.3</v>
      </c>
      <c r="F45" s="231">
        <v>1565.9</v>
      </c>
      <c r="G45" s="228">
        <v>-24.6</v>
      </c>
      <c r="H45" s="229">
        <v>-1.5699999999999999E-2</v>
      </c>
      <c r="I45" s="231">
        <v>1543.4</v>
      </c>
      <c r="J45" s="231">
        <v>1565.6</v>
      </c>
      <c r="K45" s="228">
        <v>-22.2</v>
      </c>
      <c r="L45" s="229">
        <v>-1.4200000000000001E-2</v>
      </c>
      <c r="M45" s="231">
        <v>1541.3</v>
      </c>
      <c r="N45" s="231">
        <v>1565.9</v>
      </c>
      <c r="O45" s="228">
        <v>-24.6</v>
      </c>
      <c r="P45" s="229">
        <v>-1.5699999999999999E-2</v>
      </c>
      <c r="Q45" s="231">
        <v>1550</v>
      </c>
      <c r="R45" s="231">
        <v>1573.7</v>
      </c>
      <c r="S45" s="228">
        <v>-23.7</v>
      </c>
      <c r="T45" s="229">
        <v>-1.5100000000000001E-2</v>
      </c>
      <c r="U45" s="231">
        <v>1555.7</v>
      </c>
      <c r="V45" s="231">
        <v>1582.5</v>
      </c>
      <c r="W45" s="228">
        <v>-26.8</v>
      </c>
      <c r="X45" s="229">
        <v>-1.6899999999999998E-2</v>
      </c>
      <c r="Y45" s="228">
        <v>-2.1</v>
      </c>
      <c r="Z45" s="228">
        <v>0.3</v>
      </c>
      <c r="AA45" s="228">
        <v>-2.4</v>
      </c>
      <c r="AB45" s="229">
        <v>-1.4E-3</v>
      </c>
      <c r="AC45" s="228">
        <v>-2.1</v>
      </c>
      <c r="AD45" s="228">
        <v>0.3</v>
      </c>
      <c r="AE45" s="228">
        <v>-2.4</v>
      </c>
      <c r="AF45" s="229">
        <v>-1.4E-3</v>
      </c>
      <c r="AG45" s="228">
        <v>6.6</v>
      </c>
      <c r="AH45" s="228">
        <v>8.1</v>
      </c>
      <c r="AI45" s="228">
        <v>-1.5</v>
      </c>
      <c r="AJ45" s="229">
        <v>4.3E-3</v>
      </c>
      <c r="AK45" s="228">
        <v>12.3</v>
      </c>
      <c r="AL45" s="228">
        <v>16.899999999999999</v>
      </c>
      <c r="AM45" s="228">
        <v>-4.5999999999999996</v>
      </c>
      <c r="AN45" s="229">
        <v>8.0000000000000002E-3</v>
      </c>
      <c r="AO45" s="231">
        <v>1541.83</v>
      </c>
      <c r="AP45" s="231">
        <v>1550.47</v>
      </c>
      <c r="AQ45" s="228">
        <v>0</v>
      </c>
      <c r="AR45" s="230">
        <v>11696875</v>
      </c>
      <c r="AS45" s="230">
        <v>3105000</v>
      </c>
      <c r="AT45" s="230">
        <v>8591875</v>
      </c>
      <c r="AU45" s="229">
        <v>2.7671000000000001</v>
      </c>
      <c r="AV45" s="230">
        <v>6385625</v>
      </c>
      <c r="AW45" s="230">
        <v>2135000</v>
      </c>
      <c r="AX45" s="230">
        <v>4250625</v>
      </c>
      <c r="AY45" s="229">
        <v>1.9908999999999999</v>
      </c>
      <c r="AZ45" s="230">
        <v>5300625</v>
      </c>
      <c r="BA45" s="230">
        <v>960000</v>
      </c>
      <c r="BB45" s="230">
        <v>4340625</v>
      </c>
      <c r="BC45" s="229">
        <v>4.5214999999999996</v>
      </c>
      <c r="BD45" s="230">
        <v>10625</v>
      </c>
      <c r="BE45" s="230">
        <v>10000</v>
      </c>
      <c r="BF45" s="228">
        <v>625</v>
      </c>
      <c r="BG45" s="229">
        <v>6.25E-2</v>
      </c>
      <c r="BH45" s="230">
        <v>7789375</v>
      </c>
      <c r="BI45" s="230">
        <v>7201875</v>
      </c>
      <c r="BJ45" s="230">
        <v>587500</v>
      </c>
      <c r="BK45" s="229">
        <v>8.1600000000000006E-2</v>
      </c>
      <c r="BL45" s="230">
        <v>4436875</v>
      </c>
      <c r="BM45" s="230">
        <v>3546250</v>
      </c>
      <c r="BN45" s="230">
        <v>890625</v>
      </c>
      <c r="BO45" s="229">
        <v>0.25109999999999999</v>
      </c>
      <c r="BP45" s="230">
        <v>23923125</v>
      </c>
      <c r="BQ45" s="230">
        <v>13853125</v>
      </c>
      <c r="BR45" s="230">
        <v>10070000</v>
      </c>
      <c r="BS45" s="229">
        <v>0.72689999999999999</v>
      </c>
      <c r="BT45" s="230">
        <v>2406777</v>
      </c>
      <c r="BU45" s="230">
        <v>1761127</v>
      </c>
      <c r="BV45" s="230">
        <v>645650</v>
      </c>
      <c r="BW45" s="229">
        <v>0.36659999999999998</v>
      </c>
      <c r="BX45" s="230">
        <v>19493125</v>
      </c>
      <c r="BY45" s="230">
        <v>19401875</v>
      </c>
      <c r="BZ45" s="230">
        <v>91250</v>
      </c>
      <c r="CA45" s="229">
        <v>4.7000000000000002E-3</v>
      </c>
      <c r="CB45" s="230">
        <v>12688125</v>
      </c>
      <c r="CC45" s="230">
        <v>17179375</v>
      </c>
      <c r="CD45" s="230">
        <v>-4491250</v>
      </c>
      <c r="CE45" s="229">
        <v>-0.26140000000000002</v>
      </c>
      <c r="CF45" s="230">
        <v>6024375</v>
      </c>
      <c r="CG45" s="230">
        <v>1445000</v>
      </c>
      <c r="CH45" s="230">
        <v>4579375</v>
      </c>
      <c r="CI45" s="229">
        <v>3.1690999999999998</v>
      </c>
      <c r="CJ45" s="230">
        <v>780625</v>
      </c>
      <c r="CK45" s="230">
        <v>777500</v>
      </c>
      <c r="CL45" s="230">
        <v>3125</v>
      </c>
      <c r="CM45" s="229">
        <v>4.0000000000000001E-3</v>
      </c>
      <c r="CN45" s="230">
        <v>5450625</v>
      </c>
      <c r="CO45" s="230">
        <v>5735625</v>
      </c>
      <c r="CP45" s="230">
        <v>-285000</v>
      </c>
      <c r="CQ45" s="229">
        <v>-4.9700000000000001E-2</v>
      </c>
      <c r="CR45" s="230">
        <v>3868750</v>
      </c>
      <c r="CS45" s="230">
        <v>4066875</v>
      </c>
      <c r="CT45" s="230">
        <v>-198125</v>
      </c>
      <c r="CU45" s="229">
        <v>-4.87E-2</v>
      </c>
      <c r="CV45" s="230">
        <v>28812500</v>
      </c>
      <c r="CW45" s="230">
        <v>29204375</v>
      </c>
      <c r="CX45" s="230">
        <v>-391875</v>
      </c>
      <c r="CY45" s="229">
        <v>-1.34E-2</v>
      </c>
      <c r="CZ45" s="228">
        <v>34.6</v>
      </c>
      <c r="DA45" s="228">
        <v>33.39</v>
      </c>
      <c r="DB45" s="228">
        <v>1.21</v>
      </c>
      <c r="DC45" s="228">
        <v>1.21</v>
      </c>
      <c r="DD45" s="228">
        <v>40.74</v>
      </c>
      <c r="DE45" s="228">
        <v>40.799999999999997</v>
      </c>
      <c r="DF45" s="228">
        <v>-6.14</v>
      </c>
      <c r="DG45" s="228">
        <v>-0.06</v>
      </c>
      <c r="DH45" s="228">
        <v>34.270000000000003</v>
      </c>
      <c r="DI45" s="228">
        <v>32.53</v>
      </c>
      <c r="DJ45" s="228">
        <v>1.74</v>
      </c>
      <c r="DK45" s="228">
        <v>1.74</v>
      </c>
      <c r="DL45" s="228">
        <v>35.31</v>
      </c>
      <c r="DM45" s="228">
        <v>35.14</v>
      </c>
      <c r="DN45" s="228">
        <v>0.17</v>
      </c>
      <c r="DO45" s="228">
        <v>0.17</v>
      </c>
      <c r="DP45" s="228">
        <v>0.71</v>
      </c>
      <c r="DQ45" s="228">
        <v>0.71</v>
      </c>
      <c r="DR45" s="228">
        <v>0</v>
      </c>
      <c r="DS45" s="229">
        <v>0</v>
      </c>
      <c r="DT45" s="231">
        <v>1600</v>
      </c>
      <c r="DU45" s="231">
        <v>1500</v>
      </c>
      <c r="DV45" s="228">
        <v>0.56999999999999995</v>
      </c>
      <c r="DW45" s="228">
        <v>0.49</v>
      </c>
      <c r="DX45" s="228">
        <v>0.08</v>
      </c>
      <c r="DY45" s="229">
        <v>0.1633</v>
      </c>
      <c r="DZ45" s="229">
        <v>0.34910000000000002</v>
      </c>
      <c r="EA45" s="230">
        <v>2222500</v>
      </c>
      <c r="EB45" s="229">
        <v>5.5999999999999999E-3</v>
      </c>
      <c r="EC45" s="229">
        <v>0.34910000000000002</v>
      </c>
      <c r="ED45" s="228">
        <v>8.64</v>
      </c>
      <c r="EE45" s="229">
        <v>5.5999999999999999E-3</v>
      </c>
      <c r="EF45" s="230">
        <v>1630795</v>
      </c>
      <c r="EG45" s="230">
        <v>1212119</v>
      </c>
      <c r="EH45" s="229">
        <v>0.34539999999999998</v>
      </c>
      <c r="EI45" s="229">
        <v>0.67759999999999998</v>
      </c>
      <c r="EJ45" s="231">
        <v>125809.31</v>
      </c>
      <c r="EK45" s="231">
        <v>67919.240000000005</v>
      </c>
      <c r="EL45" s="231">
        <v>180806.18</v>
      </c>
      <c r="EM45" s="231">
        <v>4082</v>
      </c>
      <c r="EN45" s="231">
        <v>374534.73</v>
      </c>
      <c r="EO45" s="231">
        <v>221471.86</v>
      </c>
      <c r="EP45" s="231">
        <v>153062.87</v>
      </c>
      <c r="EQ45" s="229">
        <v>0.69110000000000005</v>
      </c>
      <c r="ER45" s="231">
        <v>85651</v>
      </c>
      <c r="ES45" s="231">
        <v>57378</v>
      </c>
      <c r="ET45" s="231">
        <v>301084</v>
      </c>
      <c r="EU45" s="231">
        <v>63646863</v>
      </c>
      <c r="EV45" s="231">
        <v>444113</v>
      </c>
      <c r="EW45" s="231">
        <v>455074</v>
      </c>
      <c r="EX45" s="231">
        <v>-10961</v>
      </c>
      <c r="EY45" s="229">
        <v>-2.41E-2</v>
      </c>
      <c r="EZ45" s="229">
        <v>0.45269999999999999</v>
      </c>
      <c r="FA45" s="227" t="s">
        <v>566</v>
      </c>
      <c r="FB45" s="161">
        <f t="shared" si="0"/>
        <v>6805000</v>
      </c>
    </row>
    <row r="46" spans="1:158" ht="17.25" thickBot="1" x14ac:dyDescent="0.3">
      <c r="A46" s="226">
        <v>46135</v>
      </c>
      <c r="B46" s="227" t="s">
        <v>170</v>
      </c>
      <c r="C46" s="227" t="s">
        <v>199</v>
      </c>
      <c r="D46" s="228">
        <v>375</v>
      </c>
      <c r="E46" s="231">
        <v>1304.7</v>
      </c>
      <c r="F46" s="231">
        <v>1238.4000000000001</v>
      </c>
      <c r="G46" s="228">
        <v>66.3</v>
      </c>
      <c r="H46" s="229">
        <v>5.3499999999999999E-2</v>
      </c>
      <c r="I46" s="231">
        <v>1305.9000000000001</v>
      </c>
      <c r="J46" s="231">
        <v>1236.3</v>
      </c>
      <c r="K46" s="228">
        <v>69.599999999999994</v>
      </c>
      <c r="L46" s="229">
        <v>5.6300000000000003E-2</v>
      </c>
      <c r="M46" s="231">
        <v>1304.7</v>
      </c>
      <c r="N46" s="231">
        <v>1238.4000000000001</v>
      </c>
      <c r="O46" s="228">
        <v>66.3</v>
      </c>
      <c r="P46" s="229">
        <v>5.3499999999999999E-2</v>
      </c>
      <c r="Q46" s="231">
        <v>1311.9</v>
      </c>
      <c r="R46" s="231">
        <v>1245</v>
      </c>
      <c r="S46" s="228">
        <v>66.900000000000006</v>
      </c>
      <c r="T46" s="229">
        <v>5.3699999999999998E-2</v>
      </c>
      <c r="U46" s="231">
        <v>1316.3</v>
      </c>
      <c r="V46" s="231">
        <v>1250.7</v>
      </c>
      <c r="W46" s="228">
        <v>65.599999999999994</v>
      </c>
      <c r="X46" s="229">
        <v>5.2499999999999998E-2</v>
      </c>
      <c r="Y46" s="228">
        <v>-1.2</v>
      </c>
      <c r="Z46" s="228">
        <v>2.1</v>
      </c>
      <c r="AA46" s="228">
        <v>-3.3</v>
      </c>
      <c r="AB46" s="229">
        <v>-8.9999999999999998E-4</v>
      </c>
      <c r="AC46" s="228">
        <v>-1.2</v>
      </c>
      <c r="AD46" s="228">
        <v>2.1</v>
      </c>
      <c r="AE46" s="228">
        <v>-3.3</v>
      </c>
      <c r="AF46" s="229">
        <v>-8.9999999999999998E-4</v>
      </c>
      <c r="AG46" s="228">
        <v>6</v>
      </c>
      <c r="AH46" s="228">
        <v>8.6999999999999993</v>
      </c>
      <c r="AI46" s="228">
        <v>-2.7</v>
      </c>
      <c r="AJ46" s="229">
        <v>4.5999999999999999E-3</v>
      </c>
      <c r="AK46" s="228">
        <v>10.4</v>
      </c>
      <c r="AL46" s="228">
        <v>14.4</v>
      </c>
      <c r="AM46" s="228">
        <v>-4</v>
      </c>
      <c r="AN46" s="229">
        <v>8.0000000000000002E-3</v>
      </c>
      <c r="AO46" s="231">
        <v>1284.27</v>
      </c>
      <c r="AP46" s="231">
        <v>1291.7</v>
      </c>
      <c r="AQ46" s="228">
        <v>0</v>
      </c>
      <c r="AR46" s="230">
        <v>12514500</v>
      </c>
      <c r="AS46" s="230">
        <v>1430250</v>
      </c>
      <c r="AT46" s="230">
        <v>11084250</v>
      </c>
      <c r="AU46" s="229">
        <v>7.7499000000000002</v>
      </c>
      <c r="AV46" s="230">
        <v>6681375</v>
      </c>
      <c r="AW46" s="230">
        <v>918750</v>
      </c>
      <c r="AX46" s="230">
        <v>5762625</v>
      </c>
      <c r="AY46" s="229">
        <v>6.2721999999999998</v>
      </c>
      <c r="AZ46" s="230">
        <v>5703750</v>
      </c>
      <c r="BA46" s="230">
        <v>478500</v>
      </c>
      <c r="BB46" s="230">
        <v>5225250</v>
      </c>
      <c r="BC46" s="229">
        <v>10.9201</v>
      </c>
      <c r="BD46" s="230">
        <v>129375</v>
      </c>
      <c r="BE46" s="230">
        <v>33000</v>
      </c>
      <c r="BF46" s="230">
        <v>96375</v>
      </c>
      <c r="BG46" s="229">
        <v>2.9205000000000001</v>
      </c>
      <c r="BH46" s="230">
        <v>55989375</v>
      </c>
      <c r="BI46" s="230">
        <v>4319250</v>
      </c>
      <c r="BJ46" s="230">
        <v>51670125</v>
      </c>
      <c r="BK46" s="229">
        <v>11.9628</v>
      </c>
      <c r="BL46" s="230">
        <v>14399250</v>
      </c>
      <c r="BM46" s="230">
        <v>1777875</v>
      </c>
      <c r="BN46" s="230">
        <v>12621375</v>
      </c>
      <c r="BO46" s="229">
        <v>7.0991</v>
      </c>
      <c r="BP46" s="230">
        <v>82903125</v>
      </c>
      <c r="BQ46" s="230">
        <v>7527375</v>
      </c>
      <c r="BR46" s="230">
        <v>75375750</v>
      </c>
      <c r="BS46" s="229">
        <v>10.0136</v>
      </c>
      <c r="BT46" s="230">
        <v>5598007</v>
      </c>
      <c r="BU46" s="230">
        <v>2237994</v>
      </c>
      <c r="BV46" s="230">
        <v>3360013</v>
      </c>
      <c r="BW46" s="229">
        <v>1.5014000000000001</v>
      </c>
      <c r="BX46" s="230">
        <v>15805875</v>
      </c>
      <c r="BY46" s="230">
        <v>16200750</v>
      </c>
      <c r="BZ46" s="230">
        <v>-394875</v>
      </c>
      <c r="CA46" s="229">
        <v>-2.4400000000000002E-2</v>
      </c>
      <c r="CB46" s="230">
        <v>7914750</v>
      </c>
      <c r="CC46" s="230">
        <v>12351000</v>
      </c>
      <c r="CD46" s="230">
        <v>-4436250</v>
      </c>
      <c r="CE46" s="229">
        <v>-0.35920000000000002</v>
      </c>
      <c r="CF46" s="230">
        <v>7728000</v>
      </c>
      <c r="CG46" s="230">
        <v>3704250</v>
      </c>
      <c r="CH46" s="230">
        <v>4023750</v>
      </c>
      <c r="CI46" s="229">
        <v>1.0863</v>
      </c>
      <c r="CJ46" s="230">
        <v>163125</v>
      </c>
      <c r="CK46" s="230">
        <v>145500</v>
      </c>
      <c r="CL46" s="230">
        <v>17625</v>
      </c>
      <c r="CM46" s="229">
        <v>0.1211</v>
      </c>
      <c r="CN46" s="230">
        <v>5112375</v>
      </c>
      <c r="CO46" s="230">
        <v>4523250</v>
      </c>
      <c r="CP46" s="230">
        <v>589125</v>
      </c>
      <c r="CQ46" s="229">
        <v>0.13020000000000001</v>
      </c>
      <c r="CR46" s="230">
        <v>4989000</v>
      </c>
      <c r="CS46" s="230">
        <v>3964125</v>
      </c>
      <c r="CT46" s="230">
        <v>1024875</v>
      </c>
      <c r="CU46" s="229">
        <v>0.25850000000000001</v>
      </c>
      <c r="CV46" s="230">
        <v>25907250</v>
      </c>
      <c r="CW46" s="230">
        <v>24688125</v>
      </c>
      <c r="CX46" s="230">
        <v>1219125</v>
      </c>
      <c r="CY46" s="229">
        <v>4.9399999999999999E-2</v>
      </c>
      <c r="CZ46" s="228">
        <v>27.36</v>
      </c>
      <c r="DA46" s="228">
        <v>22.32</v>
      </c>
      <c r="DB46" s="228">
        <v>5.04</v>
      </c>
      <c r="DC46" s="228">
        <v>5.04</v>
      </c>
      <c r="DD46" s="228">
        <v>25.85</v>
      </c>
      <c r="DE46" s="228">
        <v>24.9</v>
      </c>
      <c r="DF46" s="228">
        <v>1.51</v>
      </c>
      <c r="DG46" s="228">
        <v>0.95</v>
      </c>
      <c r="DH46" s="228">
        <v>27.16</v>
      </c>
      <c r="DI46" s="228">
        <v>21.58</v>
      </c>
      <c r="DJ46" s="228">
        <v>5.58</v>
      </c>
      <c r="DK46" s="228">
        <v>5.58</v>
      </c>
      <c r="DL46" s="228">
        <v>27.93</v>
      </c>
      <c r="DM46" s="228">
        <v>24.11</v>
      </c>
      <c r="DN46" s="228">
        <v>3.82</v>
      </c>
      <c r="DO46" s="228">
        <v>3.82</v>
      </c>
      <c r="DP46" s="228">
        <v>0.98</v>
      </c>
      <c r="DQ46" s="228">
        <v>0.88</v>
      </c>
      <c r="DR46" s="228">
        <v>0.1</v>
      </c>
      <c r="DS46" s="229">
        <v>0.11360000000000001</v>
      </c>
      <c r="DT46" s="231">
        <v>1280</v>
      </c>
      <c r="DU46" s="231">
        <v>1160</v>
      </c>
      <c r="DV46" s="228">
        <v>0.26</v>
      </c>
      <c r="DW46" s="228">
        <v>0.41</v>
      </c>
      <c r="DX46" s="228">
        <v>-0.15</v>
      </c>
      <c r="DY46" s="229">
        <v>-0.3659</v>
      </c>
      <c r="DZ46" s="229">
        <v>0.49930000000000002</v>
      </c>
      <c r="EA46" s="230">
        <v>3849750</v>
      </c>
      <c r="EB46" s="229">
        <v>5.4999999999999997E-3</v>
      </c>
      <c r="EC46" s="229">
        <v>0.49930000000000002</v>
      </c>
      <c r="ED46" s="228">
        <v>7.43</v>
      </c>
      <c r="EE46" s="229">
        <v>5.7999999999999996E-3</v>
      </c>
      <c r="EF46" s="230">
        <v>2233329</v>
      </c>
      <c r="EG46" s="230">
        <v>1811014</v>
      </c>
      <c r="EH46" s="229">
        <v>0.23319999999999999</v>
      </c>
      <c r="EI46" s="229">
        <v>0.39900000000000002</v>
      </c>
      <c r="EJ46" s="231">
        <v>736390.86</v>
      </c>
      <c r="EK46" s="231">
        <v>182175.94</v>
      </c>
      <c r="EL46" s="231">
        <v>161149.42000000001</v>
      </c>
      <c r="EM46" s="231">
        <v>5239</v>
      </c>
      <c r="EN46" s="231">
        <v>1079716.22</v>
      </c>
      <c r="EO46" s="231">
        <v>93899.4</v>
      </c>
      <c r="EP46" s="231">
        <v>985816.82</v>
      </c>
      <c r="EQ46" s="229">
        <v>10.4986</v>
      </c>
      <c r="ER46" s="231">
        <v>66589</v>
      </c>
      <c r="ES46" s="231">
        <v>60418</v>
      </c>
      <c r="ET46" s="231">
        <v>206795</v>
      </c>
      <c r="EU46" s="231">
        <v>76385219</v>
      </c>
      <c r="EV46" s="231">
        <v>333802</v>
      </c>
      <c r="EW46" s="231">
        <v>305718</v>
      </c>
      <c r="EX46" s="231">
        <v>28084</v>
      </c>
      <c r="EY46" s="229">
        <v>9.1899999999999996E-2</v>
      </c>
      <c r="EZ46" s="229">
        <v>0.3392</v>
      </c>
      <c r="FA46" s="227" t="s">
        <v>693</v>
      </c>
      <c r="FB46" s="161">
        <f t="shared" si="0"/>
        <v>7891125</v>
      </c>
    </row>
    <row r="47" spans="1:158" ht="17.25" thickBot="1" x14ac:dyDescent="0.3">
      <c r="A47" s="226">
        <v>46135</v>
      </c>
      <c r="B47" s="227" t="s">
        <v>227</v>
      </c>
      <c r="C47" s="227" t="s">
        <v>200</v>
      </c>
      <c r="D47" s="228">
        <v>1350</v>
      </c>
      <c r="E47" s="228">
        <v>452.2</v>
      </c>
      <c r="F47" s="228">
        <v>445.25</v>
      </c>
      <c r="G47" s="228">
        <v>6.95</v>
      </c>
      <c r="H47" s="229">
        <v>1.5599999999999999E-2</v>
      </c>
      <c r="I47" s="228">
        <v>450.65</v>
      </c>
      <c r="J47" s="228">
        <v>444.15</v>
      </c>
      <c r="K47" s="228">
        <v>6.5</v>
      </c>
      <c r="L47" s="229">
        <v>1.46E-2</v>
      </c>
      <c r="M47" s="228">
        <v>452.2</v>
      </c>
      <c r="N47" s="228">
        <v>445.25</v>
      </c>
      <c r="O47" s="228">
        <v>6.95</v>
      </c>
      <c r="P47" s="229">
        <v>1.5599999999999999E-2</v>
      </c>
      <c r="Q47" s="228">
        <v>448.5</v>
      </c>
      <c r="R47" s="228">
        <v>442.45</v>
      </c>
      <c r="S47" s="228">
        <v>6.05</v>
      </c>
      <c r="T47" s="229">
        <v>1.37E-2</v>
      </c>
      <c r="U47" s="228">
        <v>445.95</v>
      </c>
      <c r="V47" s="228">
        <v>441.4</v>
      </c>
      <c r="W47" s="228">
        <v>4.55</v>
      </c>
      <c r="X47" s="229">
        <v>1.03E-2</v>
      </c>
      <c r="Y47" s="228">
        <v>1.55</v>
      </c>
      <c r="Z47" s="228">
        <v>1.1000000000000001</v>
      </c>
      <c r="AA47" s="228">
        <v>0.45</v>
      </c>
      <c r="AB47" s="229">
        <v>3.3999999999999998E-3</v>
      </c>
      <c r="AC47" s="228">
        <v>1.55</v>
      </c>
      <c r="AD47" s="228">
        <v>1.1000000000000001</v>
      </c>
      <c r="AE47" s="228">
        <v>0.45</v>
      </c>
      <c r="AF47" s="229">
        <v>3.3999999999999998E-3</v>
      </c>
      <c r="AG47" s="228">
        <v>-2.15</v>
      </c>
      <c r="AH47" s="228">
        <v>-1.7</v>
      </c>
      <c r="AI47" s="228">
        <v>-0.45</v>
      </c>
      <c r="AJ47" s="229">
        <v>-4.7999999999999996E-3</v>
      </c>
      <c r="AK47" s="228">
        <v>-4.7</v>
      </c>
      <c r="AL47" s="228">
        <v>-2.75</v>
      </c>
      <c r="AM47" s="228">
        <v>-1.95</v>
      </c>
      <c r="AN47" s="229">
        <v>-1.04E-2</v>
      </c>
      <c r="AO47" s="228">
        <v>449.16</v>
      </c>
      <c r="AP47" s="228">
        <v>445.01</v>
      </c>
      <c r="AQ47" s="228">
        <v>0</v>
      </c>
      <c r="AR47" s="230">
        <v>51857550</v>
      </c>
      <c r="AS47" s="230">
        <v>11281950</v>
      </c>
      <c r="AT47" s="230">
        <v>40575600</v>
      </c>
      <c r="AU47" s="229">
        <v>3.5964999999999998</v>
      </c>
      <c r="AV47" s="230">
        <v>27417150</v>
      </c>
      <c r="AW47" s="230">
        <v>7028100</v>
      </c>
      <c r="AX47" s="230">
        <v>20389050</v>
      </c>
      <c r="AY47" s="229">
        <v>2.9011</v>
      </c>
      <c r="AZ47" s="230">
        <v>24063750</v>
      </c>
      <c r="BA47" s="230">
        <v>4013550</v>
      </c>
      <c r="BB47" s="230">
        <v>20050200</v>
      </c>
      <c r="BC47" s="229">
        <v>4.9955999999999996</v>
      </c>
      <c r="BD47" s="230">
        <v>376650</v>
      </c>
      <c r="BE47" s="230">
        <v>240300</v>
      </c>
      <c r="BF47" s="230">
        <v>136350</v>
      </c>
      <c r="BG47" s="229">
        <v>0.56740000000000002</v>
      </c>
      <c r="BH47" s="230">
        <v>67590450</v>
      </c>
      <c r="BI47" s="230">
        <v>58530600</v>
      </c>
      <c r="BJ47" s="230">
        <v>9059850</v>
      </c>
      <c r="BK47" s="229">
        <v>0.15479999999999999</v>
      </c>
      <c r="BL47" s="230">
        <v>39067650</v>
      </c>
      <c r="BM47" s="230">
        <v>32147550</v>
      </c>
      <c r="BN47" s="230">
        <v>6920100</v>
      </c>
      <c r="BO47" s="229">
        <v>0.21529999999999999</v>
      </c>
      <c r="BP47" s="230">
        <v>158515650</v>
      </c>
      <c r="BQ47" s="230">
        <v>101960100</v>
      </c>
      <c r="BR47" s="230">
        <v>56555550</v>
      </c>
      <c r="BS47" s="229">
        <v>0.55469999999999997</v>
      </c>
      <c r="BT47" s="230">
        <v>9176692</v>
      </c>
      <c r="BU47" s="230">
        <v>7386423</v>
      </c>
      <c r="BV47" s="230">
        <v>1790269</v>
      </c>
      <c r="BW47" s="229">
        <v>0.2424</v>
      </c>
      <c r="BX47" s="230">
        <v>64818900</v>
      </c>
      <c r="BY47" s="230">
        <v>72878400</v>
      </c>
      <c r="BZ47" s="230">
        <v>-8059500</v>
      </c>
      <c r="CA47" s="229">
        <v>-0.1106</v>
      </c>
      <c r="CB47" s="230">
        <v>40689000</v>
      </c>
      <c r="CC47" s="230">
        <v>61182000</v>
      </c>
      <c r="CD47" s="230">
        <v>-20493000</v>
      </c>
      <c r="CE47" s="229">
        <v>-0.33500000000000002</v>
      </c>
      <c r="CF47" s="230">
        <v>23086350</v>
      </c>
      <c r="CG47" s="230">
        <v>10712250</v>
      </c>
      <c r="CH47" s="230">
        <v>12374100</v>
      </c>
      <c r="CI47" s="229">
        <v>1.1551</v>
      </c>
      <c r="CJ47" s="230">
        <v>1043550</v>
      </c>
      <c r="CK47" s="230">
        <v>984150</v>
      </c>
      <c r="CL47" s="230">
        <v>59400</v>
      </c>
      <c r="CM47" s="229">
        <v>6.0400000000000002E-2</v>
      </c>
      <c r="CN47" s="230">
        <v>39000150</v>
      </c>
      <c r="CO47" s="230">
        <v>42925950</v>
      </c>
      <c r="CP47" s="230">
        <v>-3925800</v>
      </c>
      <c r="CQ47" s="229">
        <v>-9.1499999999999998E-2</v>
      </c>
      <c r="CR47" s="230">
        <v>26557200</v>
      </c>
      <c r="CS47" s="230">
        <v>26715150</v>
      </c>
      <c r="CT47" s="230">
        <v>-157950</v>
      </c>
      <c r="CU47" s="229">
        <v>-5.8999999999999999E-3</v>
      </c>
      <c r="CV47" s="230">
        <v>130376250</v>
      </c>
      <c r="CW47" s="230">
        <v>142519500</v>
      </c>
      <c r="CX47" s="230">
        <v>-12143250</v>
      </c>
      <c r="CY47" s="229">
        <v>-8.5199999999999998E-2</v>
      </c>
      <c r="CZ47" s="228">
        <v>28.1</v>
      </c>
      <c r="DA47" s="228">
        <v>27.25</v>
      </c>
      <c r="DB47" s="228">
        <v>0.85</v>
      </c>
      <c r="DC47" s="228">
        <v>0.85</v>
      </c>
      <c r="DD47" s="228">
        <v>30.81</v>
      </c>
      <c r="DE47" s="228">
        <v>30.82</v>
      </c>
      <c r="DF47" s="228">
        <v>-2.71</v>
      </c>
      <c r="DG47" s="228">
        <v>-0.01</v>
      </c>
      <c r="DH47" s="228">
        <v>28.31</v>
      </c>
      <c r="DI47" s="228">
        <v>27.18</v>
      </c>
      <c r="DJ47" s="228">
        <v>1.1299999999999999</v>
      </c>
      <c r="DK47" s="228">
        <v>1.1299999999999999</v>
      </c>
      <c r="DL47" s="228">
        <v>27.82</v>
      </c>
      <c r="DM47" s="228">
        <v>27.37</v>
      </c>
      <c r="DN47" s="228">
        <v>0.45</v>
      </c>
      <c r="DO47" s="228">
        <v>0.45</v>
      </c>
      <c r="DP47" s="228">
        <v>0.68</v>
      </c>
      <c r="DQ47" s="228">
        <v>0.62</v>
      </c>
      <c r="DR47" s="228">
        <v>0.06</v>
      </c>
      <c r="DS47" s="229">
        <v>9.6799999999999997E-2</v>
      </c>
      <c r="DT47" s="228">
        <v>460</v>
      </c>
      <c r="DU47" s="228">
        <v>400</v>
      </c>
      <c r="DV47" s="228">
        <v>0.57999999999999996</v>
      </c>
      <c r="DW47" s="228">
        <v>0.55000000000000004</v>
      </c>
      <c r="DX47" s="228">
        <v>0.03</v>
      </c>
      <c r="DY47" s="229">
        <v>5.45E-2</v>
      </c>
      <c r="DZ47" s="229">
        <v>0.37230000000000002</v>
      </c>
      <c r="EA47" s="230">
        <v>11696400</v>
      </c>
      <c r="EB47" s="229">
        <v>-8.2000000000000007E-3</v>
      </c>
      <c r="EC47" s="229">
        <v>0.37230000000000002</v>
      </c>
      <c r="ED47" s="228">
        <v>-4.1500000000000004</v>
      </c>
      <c r="EE47" s="229">
        <v>-9.1999999999999998E-3</v>
      </c>
      <c r="EF47" s="230">
        <v>5255644</v>
      </c>
      <c r="EG47" s="230">
        <v>3849608</v>
      </c>
      <c r="EH47" s="229">
        <v>0.36520000000000002</v>
      </c>
      <c r="EI47" s="229">
        <v>0.57269999999999999</v>
      </c>
      <c r="EJ47" s="231">
        <v>312137.90000000002</v>
      </c>
      <c r="EK47" s="231">
        <v>173336.93</v>
      </c>
      <c r="EL47" s="231">
        <v>231902.44</v>
      </c>
      <c r="EM47" s="231">
        <v>7282</v>
      </c>
      <c r="EN47" s="231">
        <v>717377.27</v>
      </c>
      <c r="EO47" s="231">
        <v>460589.23</v>
      </c>
      <c r="EP47" s="231">
        <v>256788.04</v>
      </c>
      <c r="EQ47" s="229">
        <v>0.5575</v>
      </c>
      <c r="ER47" s="231">
        <v>182386</v>
      </c>
      <c r="ES47" s="231">
        <v>114107</v>
      </c>
      <c r="ET47" s="231">
        <v>292192</v>
      </c>
      <c r="EU47" s="231">
        <v>320531323</v>
      </c>
      <c r="EV47" s="231">
        <v>588684</v>
      </c>
      <c r="EW47" s="231">
        <v>638645</v>
      </c>
      <c r="EX47" s="231">
        <v>-49961</v>
      </c>
      <c r="EY47" s="229">
        <v>-7.8200000000000006E-2</v>
      </c>
      <c r="EZ47" s="229">
        <v>0.40679999999999999</v>
      </c>
      <c r="FA47" s="227" t="s">
        <v>693</v>
      </c>
      <c r="FB47" s="161">
        <f t="shared" si="0"/>
        <v>24129900</v>
      </c>
    </row>
    <row r="48" spans="1:158" ht="17.25" thickBot="1" x14ac:dyDescent="0.3">
      <c r="A48" s="226">
        <v>46135</v>
      </c>
      <c r="B48" s="227" t="s">
        <v>215</v>
      </c>
      <c r="C48" s="227" t="s">
        <v>696</v>
      </c>
      <c r="D48" s="228">
        <v>400</v>
      </c>
      <c r="E48" s="231">
        <v>1593.5</v>
      </c>
      <c r="F48" s="231">
        <v>1584.5</v>
      </c>
      <c r="G48" s="228">
        <v>9</v>
      </c>
      <c r="H48" s="229">
        <v>5.7000000000000002E-3</v>
      </c>
      <c r="I48" s="231">
        <v>1592.8</v>
      </c>
      <c r="J48" s="231">
        <v>1583.1</v>
      </c>
      <c r="K48" s="228">
        <v>9.6999999999999993</v>
      </c>
      <c r="L48" s="229">
        <v>6.1000000000000004E-3</v>
      </c>
      <c r="M48" s="231">
        <v>1593.5</v>
      </c>
      <c r="N48" s="231">
        <v>1584.5</v>
      </c>
      <c r="O48" s="228">
        <v>9</v>
      </c>
      <c r="P48" s="229">
        <v>5.7000000000000002E-3</v>
      </c>
      <c r="Q48" s="231">
        <v>1594.1</v>
      </c>
      <c r="R48" s="231">
        <v>1589.5</v>
      </c>
      <c r="S48" s="228">
        <v>4.5999999999999996</v>
      </c>
      <c r="T48" s="229">
        <v>2.8999999999999998E-3</v>
      </c>
      <c r="U48" s="231">
        <v>1592.9</v>
      </c>
      <c r="V48" s="231">
        <v>1593</v>
      </c>
      <c r="W48" s="228">
        <v>-0.1</v>
      </c>
      <c r="X48" s="229">
        <v>-1E-4</v>
      </c>
      <c r="Y48" s="228">
        <v>0.7</v>
      </c>
      <c r="Z48" s="228">
        <v>1.4</v>
      </c>
      <c r="AA48" s="228">
        <v>-0.7</v>
      </c>
      <c r="AB48" s="229">
        <v>4.0000000000000002E-4</v>
      </c>
      <c r="AC48" s="228">
        <v>0.7</v>
      </c>
      <c r="AD48" s="228">
        <v>1.4</v>
      </c>
      <c r="AE48" s="228">
        <v>-0.7</v>
      </c>
      <c r="AF48" s="229">
        <v>4.0000000000000002E-4</v>
      </c>
      <c r="AG48" s="228">
        <v>1.3</v>
      </c>
      <c r="AH48" s="228">
        <v>6.4</v>
      </c>
      <c r="AI48" s="228">
        <v>-5.0999999999999996</v>
      </c>
      <c r="AJ48" s="229">
        <v>8.0000000000000004E-4</v>
      </c>
      <c r="AK48" s="228">
        <v>0.1</v>
      </c>
      <c r="AL48" s="228">
        <v>9.9</v>
      </c>
      <c r="AM48" s="228">
        <v>-9.8000000000000007</v>
      </c>
      <c r="AN48" s="229">
        <v>1E-4</v>
      </c>
      <c r="AO48" s="231">
        <v>1597.06</v>
      </c>
      <c r="AP48" s="231">
        <v>1599.04</v>
      </c>
      <c r="AQ48" s="228">
        <v>0</v>
      </c>
      <c r="AR48" s="230">
        <v>1590000</v>
      </c>
      <c r="AS48" s="230">
        <v>804400</v>
      </c>
      <c r="AT48" s="230">
        <v>785600</v>
      </c>
      <c r="AU48" s="229">
        <v>0.97660000000000002</v>
      </c>
      <c r="AV48" s="230">
        <v>803600</v>
      </c>
      <c r="AW48" s="230">
        <v>538800</v>
      </c>
      <c r="AX48" s="230">
        <v>264800</v>
      </c>
      <c r="AY48" s="229">
        <v>0.49149999999999999</v>
      </c>
      <c r="AZ48" s="230">
        <v>772400</v>
      </c>
      <c r="BA48" s="230">
        <v>256800</v>
      </c>
      <c r="BB48" s="230">
        <v>515600</v>
      </c>
      <c r="BC48" s="229">
        <v>2.0078</v>
      </c>
      <c r="BD48" s="230">
        <v>14000</v>
      </c>
      <c r="BE48" s="230">
        <v>8800</v>
      </c>
      <c r="BF48" s="230">
        <v>5200</v>
      </c>
      <c r="BG48" s="229">
        <v>0.59089999999999998</v>
      </c>
      <c r="BH48" s="230">
        <v>3620800</v>
      </c>
      <c r="BI48" s="230">
        <v>2308000</v>
      </c>
      <c r="BJ48" s="230">
        <v>1312800</v>
      </c>
      <c r="BK48" s="229">
        <v>0.56879999999999997</v>
      </c>
      <c r="BL48" s="230">
        <v>1037600</v>
      </c>
      <c r="BM48" s="230">
        <v>640400</v>
      </c>
      <c r="BN48" s="230">
        <v>397200</v>
      </c>
      <c r="BO48" s="229">
        <v>0.62019999999999997</v>
      </c>
      <c r="BP48" s="230">
        <v>6248400</v>
      </c>
      <c r="BQ48" s="230">
        <v>3752800</v>
      </c>
      <c r="BR48" s="230">
        <v>2495600</v>
      </c>
      <c r="BS48" s="229">
        <v>0.66500000000000004</v>
      </c>
      <c r="BT48" s="230">
        <v>2196390</v>
      </c>
      <c r="BU48" s="230">
        <v>1732569</v>
      </c>
      <c r="BV48" s="230">
        <v>463821</v>
      </c>
      <c r="BW48" s="229">
        <v>0.26769999999999999</v>
      </c>
      <c r="BX48" s="230">
        <v>2020800</v>
      </c>
      <c r="BY48" s="230">
        <v>2026800</v>
      </c>
      <c r="BZ48" s="230">
        <v>-6000</v>
      </c>
      <c r="CA48" s="229">
        <v>-3.0000000000000001E-3</v>
      </c>
      <c r="CB48" s="230">
        <v>1122400</v>
      </c>
      <c r="CC48" s="230">
        <v>1429200</v>
      </c>
      <c r="CD48" s="230">
        <v>-306800</v>
      </c>
      <c r="CE48" s="229">
        <v>-0.2147</v>
      </c>
      <c r="CF48" s="230">
        <v>864000</v>
      </c>
      <c r="CG48" s="230">
        <v>560400</v>
      </c>
      <c r="CH48" s="230">
        <v>303600</v>
      </c>
      <c r="CI48" s="229">
        <v>0.54179999999999995</v>
      </c>
      <c r="CJ48" s="230">
        <v>34400</v>
      </c>
      <c r="CK48" s="230">
        <v>37200</v>
      </c>
      <c r="CL48" s="230">
        <v>-2800</v>
      </c>
      <c r="CM48" s="229">
        <v>-7.5300000000000006E-2</v>
      </c>
      <c r="CN48" s="230">
        <v>1111600</v>
      </c>
      <c r="CO48" s="230">
        <v>1202800</v>
      </c>
      <c r="CP48" s="230">
        <v>-91200</v>
      </c>
      <c r="CQ48" s="229">
        <v>-7.5800000000000006E-2</v>
      </c>
      <c r="CR48" s="230">
        <v>749200</v>
      </c>
      <c r="CS48" s="230">
        <v>752800</v>
      </c>
      <c r="CT48" s="230">
        <v>-3600</v>
      </c>
      <c r="CU48" s="229">
        <v>-4.7999999999999996E-3</v>
      </c>
      <c r="CV48" s="230">
        <v>3881600</v>
      </c>
      <c r="CW48" s="230">
        <v>3982400</v>
      </c>
      <c r="CX48" s="230">
        <v>-100800</v>
      </c>
      <c r="CY48" s="229">
        <v>-2.53E-2</v>
      </c>
      <c r="CZ48" s="228">
        <v>53.48</v>
      </c>
      <c r="DA48" s="228">
        <v>52.95</v>
      </c>
      <c r="DB48" s="228">
        <v>0.53</v>
      </c>
      <c r="DC48" s="228">
        <v>0.53</v>
      </c>
      <c r="DD48" s="228">
        <v>54.45</v>
      </c>
      <c r="DE48" s="228">
        <v>54.58</v>
      </c>
      <c r="DF48" s="228">
        <v>-0.97</v>
      </c>
      <c r="DG48" s="228">
        <v>-0.13</v>
      </c>
      <c r="DH48" s="228">
        <v>53.29</v>
      </c>
      <c r="DI48" s="228">
        <v>52.58</v>
      </c>
      <c r="DJ48" s="228">
        <v>0.71</v>
      </c>
      <c r="DK48" s="228">
        <v>0.71</v>
      </c>
      <c r="DL48" s="228">
        <v>53.98</v>
      </c>
      <c r="DM48" s="228">
        <v>54.28</v>
      </c>
      <c r="DN48" s="228">
        <v>-0.3</v>
      </c>
      <c r="DO48" s="228">
        <v>-0.3</v>
      </c>
      <c r="DP48" s="228">
        <v>0.67</v>
      </c>
      <c r="DQ48" s="228">
        <v>0.63</v>
      </c>
      <c r="DR48" s="228">
        <v>0.04</v>
      </c>
      <c r="DS48" s="229">
        <v>6.3500000000000001E-2</v>
      </c>
      <c r="DT48" s="231">
        <v>1600</v>
      </c>
      <c r="DU48" s="231">
        <v>1420</v>
      </c>
      <c r="DV48" s="228">
        <v>0.28999999999999998</v>
      </c>
      <c r="DW48" s="228">
        <v>0.28000000000000003</v>
      </c>
      <c r="DX48" s="228">
        <v>0.01</v>
      </c>
      <c r="DY48" s="229">
        <v>3.5700000000000003E-2</v>
      </c>
      <c r="DZ48" s="229">
        <v>0.4446</v>
      </c>
      <c r="EA48" s="230">
        <v>597600</v>
      </c>
      <c r="EB48" s="229">
        <v>4.0000000000000002E-4</v>
      </c>
      <c r="EC48" s="229">
        <v>0.4446</v>
      </c>
      <c r="ED48" s="228">
        <v>1.98</v>
      </c>
      <c r="EE48" s="229">
        <v>1.1999999999999999E-3</v>
      </c>
      <c r="EF48" s="230">
        <v>582744</v>
      </c>
      <c r="EG48" s="230">
        <v>515809</v>
      </c>
      <c r="EH48" s="229">
        <v>0.1298</v>
      </c>
      <c r="EI48" s="229">
        <v>0.26529999999999998</v>
      </c>
      <c r="EJ48" s="231">
        <v>59891.02</v>
      </c>
      <c r="EK48" s="231">
        <v>15784.27</v>
      </c>
      <c r="EL48" s="231">
        <v>25409.24</v>
      </c>
      <c r="EM48" s="231">
        <v>2715</v>
      </c>
      <c r="EN48" s="231">
        <v>101084.53</v>
      </c>
      <c r="EO48" s="231">
        <v>60261.81</v>
      </c>
      <c r="EP48" s="231">
        <v>40822.720000000001</v>
      </c>
      <c r="EQ48" s="229">
        <v>0.6774</v>
      </c>
      <c r="ER48" s="231">
        <v>17412</v>
      </c>
      <c r="ES48" s="231">
        <v>10662</v>
      </c>
      <c r="ET48" s="231">
        <v>32206</v>
      </c>
      <c r="EU48" s="231">
        <v>12661431</v>
      </c>
      <c r="EV48" s="231">
        <v>60280</v>
      </c>
      <c r="EW48" s="231">
        <v>61432</v>
      </c>
      <c r="EX48" s="231">
        <v>-1152</v>
      </c>
      <c r="EY48" s="229">
        <v>-1.8800000000000001E-2</v>
      </c>
      <c r="EZ48" s="229">
        <v>0.30659999999999998</v>
      </c>
      <c r="FA48" s="227" t="s">
        <v>693</v>
      </c>
      <c r="FB48" s="161">
        <f t="shared" si="0"/>
        <v>898400</v>
      </c>
    </row>
    <row r="49" spans="1:158" ht="17.25" thickBot="1" x14ac:dyDescent="0.3">
      <c r="A49" s="226">
        <v>46135</v>
      </c>
      <c r="B49" s="227" t="s">
        <v>221</v>
      </c>
      <c r="C49" s="227" t="s">
        <v>470</v>
      </c>
      <c r="D49" s="228">
        <v>375</v>
      </c>
      <c r="E49" s="231">
        <v>1219.5</v>
      </c>
      <c r="F49" s="231">
        <v>1240.9000000000001</v>
      </c>
      <c r="G49" s="228">
        <v>-21.4</v>
      </c>
      <c r="H49" s="229">
        <v>-1.72E-2</v>
      </c>
      <c r="I49" s="231">
        <v>1220.5999999999999</v>
      </c>
      <c r="J49" s="231">
        <v>1235.8</v>
      </c>
      <c r="K49" s="228">
        <v>-15.2</v>
      </c>
      <c r="L49" s="229">
        <v>-1.23E-2</v>
      </c>
      <c r="M49" s="231">
        <v>1219.5</v>
      </c>
      <c r="N49" s="231">
        <v>1240.9000000000001</v>
      </c>
      <c r="O49" s="228">
        <v>-21.4</v>
      </c>
      <c r="P49" s="229">
        <v>-1.72E-2</v>
      </c>
      <c r="Q49" s="231">
        <v>1222.4000000000001</v>
      </c>
      <c r="R49" s="231">
        <v>1241.7</v>
      </c>
      <c r="S49" s="228">
        <v>-19.3</v>
      </c>
      <c r="T49" s="229">
        <v>-1.55E-2</v>
      </c>
      <c r="U49" s="231">
        <v>1229.4000000000001</v>
      </c>
      <c r="V49" s="231">
        <v>1249.2</v>
      </c>
      <c r="W49" s="228">
        <v>-19.8</v>
      </c>
      <c r="X49" s="229">
        <v>-1.5900000000000001E-2</v>
      </c>
      <c r="Y49" s="228">
        <v>-1.1000000000000001</v>
      </c>
      <c r="Z49" s="228">
        <v>5.0999999999999996</v>
      </c>
      <c r="AA49" s="228">
        <v>-6.2</v>
      </c>
      <c r="AB49" s="229">
        <v>-8.9999999999999998E-4</v>
      </c>
      <c r="AC49" s="228">
        <v>-1.1000000000000001</v>
      </c>
      <c r="AD49" s="228">
        <v>5.0999999999999996</v>
      </c>
      <c r="AE49" s="228">
        <v>-6.2</v>
      </c>
      <c r="AF49" s="229">
        <v>-8.9999999999999998E-4</v>
      </c>
      <c r="AG49" s="228">
        <v>1.8</v>
      </c>
      <c r="AH49" s="228">
        <v>5.9</v>
      </c>
      <c r="AI49" s="228">
        <v>-4.0999999999999996</v>
      </c>
      <c r="AJ49" s="229">
        <v>1.5E-3</v>
      </c>
      <c r="AK49" s="228">
        <v>8.8000000000000007</v>
      </c>
      <c r="AL49" s="228">
        <v>13.4</v>
      </c>
      <c r="AM49" s="228">
        <v>-4.5999999999999996</v>
      </c>
      <c r="AN49" s="229">
        <v>7.1999999999999998E-3</v>
      </c>
      <c r="AO49" s="231">
        <v>1230.6400000000001</v>
      </c>
      <c r="AP49" s="231">
        <v>1233.69</v>
      </c>
      <c r="AQ49" s="228">
        <v>0</v>
      </c>
      <c r="AR49" s="230">
        <v>12265500</v>
      </c>
      <c r="AS49" s="230">
        <v>7164750</v>
      </c>
      <c r="AT49" s="230">
        <v>5100750</v>
      </c>
      <c r="AU49" s="229">
        <v>0.71189999999999998</v>
      </c>
      <c r="AV49" s="230">
        <v>6169875</v>
      </c>
      <c r="AW49" s="230">
        <v>4142625</v>
      </c>
      <c r="AX49" s="230">
        <v>2027250</v>
      </c>
      <c r="AY49" s="229">
        <v>0.4894</v>
      </c>
      <c r="AZ49" s="230">
        <v>6054000</v>
      </c>
      <c r="BA49" s="230">
        <v>2873250</v>
      </c>
      <c r="BB49" s="230">
        <v>3180750</v>
      </c>
      <c r="BC49" s="229">
        <v>1.107</v>
      </c>
      <c r="BD49" s="230">
        <v>41625</v>
      </c>
      <c r="BE49" s="230">
        <v>148875</v>
      </c>
      <c r="BF49" s="230">
        <v>-107250</v>
      </c>
      <c r="BG49" s="229">
        <v>-0.72040000000000004</v>
      </c>
      <c r="BH49" s="230">
        <v>9830250</v>
      </c>
      <c r="BI49" s="230">
        <v>22878375</v>
      </c>
      <c r="BJ49" s="230">
        <v>-13048125</v>
      </c>
      <c r="BK49" s="229">
        <v>-0.57030000000000003</v>
      </c>
      <c r="BL49" s="230">
        <v>5528625</v>
      </c>
      <c r="BM49" s="230">
        <v>14221875</v>
      </c>
      <c r="BN49" s="230">
        <v>-8693250</v>
      </c>
      <c r="BO49" s="229">
        <v>-0.61129999999999995</v>
      </c>
      <c r="BP49" s="230">
        <v>27624375</v>
      </c>
      <c r="BQ49" s="230">
        <v>44265000</v>
      </c>
      <c r="BR49" s="230">
        <v>-16640625</v>
      </c>
      <c r="BS49" s="229">
        <v>-0.37590000000000001</v>
      </c>
      <c r="BT49" s="230">
        <v>2239646</v>
      </c>
      <c r="BU49" s="230">
        <v>6574411</v>
      </c>
      <c r="BV49" s="230">
        <v>-4334765</v>
      </c>
      <c r="BW49" s="229">
        <v>-0.6593</v>
      </c>
      <c r="BX49" s="230">
        <v>20197125</v>
      </c>
      <c r="BY49" s="230">
        <v>20083875</v>
      </c>
      <c r="BZ49" s="230">
        <v>113250</v>
      </c>
      <c r="CA49" s="229">
        <v>5.5999999999999999E-3</v>
      </c>
      <c r="CB49" s="230">
        <v>11949375</v>
      </c>
      <c r="CC49" s="230">
        <v>16598625</v>
      </c>
      <c r="CD49" s="230">
        <v>-4649250</v>
      </c>
      <c r="CE49" s="229">
        <v>-0.28010000000000002</v>
      </c>
      <c r="CF49" s="230">
        <v>8047125</v>
      </c>
      <c r="CG49" s="230">
        <v>3297000</v>
      </c>
      <c r="CH49" s="230">
        <v>4750125</v>
      </c>
      <c r="CI49" s="229">
        <v>1.4407000000000001</v>
      </c>
      <c r="CJ49" s="230">
        <v>200625</v>
      </c>
      <c r="CK49" s="230">
        <v>188250</v>
      </c>
      <c r="CL49" s="230">
        <v>12375</v>
      </c>
      <c r="CM49" s="229">
        <v>6.5699999999999995E-2</v>
      </c>
      <c r="CN49" s="230">
        <v>9695250</v>
      </c>
      <c r="CO49" s="230">
        <v>9345750</v>
      </c>
      <c r="CP49" s="230">
        <v>349500</v>
      </c>
      <c r="CQ49" s="229">
        <v>3.7400000000000003E-2</v>
      </c>
      <c r="CR49" s="230">
        <v>5221500</v>
      </c>
      <c r="CS49" s="230">
        <v>5397750</v>
      </c>
      <c r="CT49" s="230">
        <v>-176250</v>
      </c>
      <c r="CU49" s="229">
        <v>-3.27E-2</v>
      </c>
      <c r="CV49" s="230">
        <v>35113875</v>
      </c>
      <c r="CW49" s="230">
        <v>34827375</v>
      </c>
      <c r="CX49" s="230">
        <v>286500</v>
      </c>
      <c r="CY49" s="229">
        <v>8.2000000000000007E-3</v>
      </c>
      <c r="CZ49" s="228">
        <v>49.18</v>
      </c>
      <c r="DA49" s="228">
        <v>44.39</v>
      </c>
      <c r="DB49" s="228">
        <v>4.79</v>
      </c>
      <c r="DC49" s="228">
        <v>4.79</v>
      </c>
      <c r="DD49" s="228">
        <v>43.34</v>
      </c>
      <c r="DE49" s="228">
        <v>43.41</v>
      </c>
      <c r="DF49" s="228">
        <v>5.84</v>
      </c>
      <c r="DG49" s="228">
        <v>-7.0000000000000007E-2</v>
      </c>
      <c r="DH49" s="228">
        <v>49.1</v>
      </c>
      <c r="DI49" s="228">
        <v>44.92</v>
      </c>
      <c r="DJ49" s="228">
        <v>4.18</v>
      </c>
      <c r="DK49" s="228">
        <v>4.18</v>
      </c>
      <c r="DL49" s="228">
        <v>49.35</v>
      </c>
      <c r="DM49" s="228">
        <v>43.53</v>
      </c>
      <c r="DN49" s="228">
        <v>5.82</v>
      </c>
      <c r="DO49" s="228">
        <v>5.82</v>
      </c>
      <c r="DP49" s="228">
        <v>0.54</v>
      </c>
      <c r="DQ49" s="228">
        <v>0.57999999999999996</v>
      </c>
      <c r="DR49" s="228">
        <v>-0.04</v>
      </c>
      <c r="DS49" s="229">
        <v>-6.9000000000000006E-2</v>
      </c>
      <c r="DT49" s="231">
        <v>1300</v>
      </c>
      <c r="DU49" s="231">
        <v>1100</v>
      </c>
      <c r="DV49" s="228">
        <v>0.56000000000000005</v>
      </c>
      <c r="DW49" s="228">
        <v>0.62</v>
      </c>
      <c r="DX49" s="228">
        <v>-0.06</v>
      </c>
      <c r="DY49" s="229">
        <v>-9.6799999999999997E-2</v>
      </c>
      <c r="DZ49" s="229">
        <v>0.40839999999999999</v>
      </c>
      <c r="EA49" s="230">
        <v>3485250</v>
      </c>
      <c r="EB49" s="229">
        <v>2.3999999999999998E-3</v>
      </c>
      <c r="EC49" s="229">
        <v>0.40839999999999999</v>
      </c>
      <c r="ED49" s="228">
        <v>3.05</v>
      </c>
      <c r="EE49" s="229">
        <v>2.5000000000000001E-3</v>
      </c>
      <c r="EF49" s="230">
        <v>993218</v>
      </c>
      <c r="EG49" s="230">
        <v>3138548</v>
      </c>
      <c r="EH49" s="229">
        <v>-0.6835</v>
      </c>
      <c r="EI49" s="229">
        <v>0.44350000000000001</v>
      </c>
      <c r="EJ49" s="231">
        <v>128615.81</v>
      </c>
      <c r="EK49" s="231">
        <v>67009</v>
      </c>
      <c r="EL49" s="231">
        <v>151132.17000000001</v>
      </c>
      <c r="EM49" s="231">
        <v>9809</v>
      </c>
      <c r="EN49" s="231">
        <v>346756.98</v>
      </c>
      <c r="EO49" s="231">
        <v>565848.81999999995</v>
      </c>
      <c r="EP49" s="231">
        <v>-219091.84</v>
      </c>
      <c r="EQ49" s="229">
        <v>-0.38719999999999999</v>
      </c>
      <c r="ER49" s="231">
        <v>123215</v>
      </c>
      <c r="ES49" s="231">
        <v>62735</v>
      </c>
      <c r="ET49" s="231">
        <v>246557</v>
      </c>
      <c r="EU49" s="231">
        <v>50256271</v>
      </c>
      <c r="EV49" s="231">
        <v>432507</v>
      </c>
      <c r="EW49" s="231">
        <v>432929</v>
      </c>
      <c r="EX49" s="228">
        <v>-422</v>
      </c>
      <c r="EY49" s="229">
        <v>-1E-3</v>
      </c>
      <c r="EZ49" s="229">
        <v>0.69869999999999999</v>
      </c>
      <c r="FA49" s="227" t="s">
        <v>566</v>
      </c>
      <c r="FB49" s="161">
        <f t="shared" si="0"/>
        <v>8247750</v>
      </c>
    </row>
    <row r="50" spans="1:158" ht="17.25" thickBot="1" x14ac:dyDescent="0.3">
      <c r="A50" s="226">
        <v>46135</v>
      </c>
      <c r="B50" s="227" t="s">
        <v>168</v>
      </c>
      <c r="C50" s="227" t="s">
        <v>201</v>
      </c>
      <c r="D50" s="228">
        <v>225</v>
      </c>
      <c r="E50" s="231">
        <v>2148.4</v>
      </c>
      <c r="F50" s="231">
        <v>2105.6</v>
      </c>
      <c r="G50" s="228">
        <v>42.8</v>
      </c>
      <c r="H50" s="229">
        <v>2.0299999999999999E-2</v>
      </c>
      <c r="I50" s="231">
        <v>2150.1999999999998</v>
      </c>
      <c r="J50" s="231">
        <v>2118.3000000000002</v>
      </c>
      <c r="K50" s="228">
        <v>31.9</v>
      </c>
      <c r="L50" s="229">
        <v>1.5100000000000001E-2</v>
      </c>
      <c r="M50" s="231">
        <v>2148.4</v>
      </c>
      <c r="N50" s="231">
        <v>2105.6</v>
      </c>
      <c r="O50" s="228">
        <v>42.8</v>
      </c>
      <c r="P50" s="229">
        <v>2.0299999999999999E-2</v>
      </c>
      <c r="Q50" s="231">
        <v>2135.6</v>
      </c>
      <c r="R50" s="231">
        <v>2097.3000000000002</v>
      </c>
      <c r="S50" s="228">
        <v>38.299999999999997</v>
      </c>
      <c r="T50" s="229">
        <v>1.83E-2</v>
      </c>
      <c r="U50" s="231">
        <v>2138.3000000000002</v>
      </c>
      <c r="V50" s="231">
        <v>2102.6</v>
      </c>
      <c r="W50" s="228">
        <v>35.700000000000003</v>
      </c>
      <c r="X50" s="229">
        <v>1.7000000000000001E-2</v>
      </c>
      <c r="Y50" s="228">
        <v>-1.8</v>
      </c>
      <c r="Z50" s="228">
        <v>-12.7</v>
      </c>
      <c r="AA50" s="228">
        <v>10.9</v>
      </c>
      <c r="AB50" s="229">
        <v>-8.0000000000000004E-4</v>
      </c>
      <c r="AC50" s="228">
        <v>-1.8</v>
      </c>
      <c r="AD50" s="228">
        <v>-12.7</v>
      </c>
      <c r="AE50" s="228">
        <v>10.9</v>
      </c>
      <c r="AF50" s="229">
        <v>-8.0000000000000004E-4</v>
      </c>
      <c r="AG50" s="228">
        <v>-14.6</v>
      </c>
      <c r="AH50" s="228">
        <v>-21</v>
      </c>
      <c r="AI50" s="228">
        <v>6.4</v>
      </c>
      <c r="AJ50" s="229">
        <v>-6.7999999999999996E-3</v>
      </c>
      <c r="AK50" s="228">
        <v>-11.9</v>
      </c>
      <c r="AL50" s="228">
        <v>-15.7</v>
      </c>
      <c r="AM50" s="228">
        <v>3.8</v>
      </c>
      <c r="AN50" s="229">
        <v>-5.4999999999999997E-3</v>
      </c>
      <c r="AO50" s="231">
        <v>2104.23</v>
      </c>
      <c r="AP50" s="231">
        <v>2094.2600000000002</v>
      </c>
      <c r="AQ50" s="228">
        <v>0</v>
      </c>
      <c r="AR50" s="230">
        <v>4619250</v>
      </c>
      <c r="AS50" s="230">
        <v>1564200</v>
      </c>
      <c r="AT50" s="230">
        <v>3055050</v>
      </c>
      <c r="AU50" s="229">
        <v>1.9531000000000001</v>
      </c>
      <c r="AV50" s="230">
        <v>2412450</v>
      </c>
      <c r="AW50" s="230">
        <v>1183725</v>
      </c>
      <c r="AX50" s="230">
        <v>1228725</v>
      </c>
      <c r="AY50" s="229">
        <v>1.038</v>
      </c>
      <c r="AZ50" s="230">
        <v>2173950</v>
      </c>
      <c r="BA50" s="230">
        <v>362700</v>
      </c>
      <c r="BB50" s="230">
        <v>1811250</v>
      </c>
      <c r="BC50" s="229">
        <v>4.9938000000000002</v>
      </c>
      <c r="BD50" s="230">
        <v>32850</v>
      </c>
      <c r="BE50" s="230">
        <v>17775</v>
      </c>
      <c r="BF50" s="230">
        <v>15075</v>
      </c>
      <c r="BG50" s="229">
        <v>0.84809999999999997</v>
      </c>
      <c r="BH50" s="230">
        <v>4649175</v>
      </c>
      <c r="BI50" s="230">
        <v>3787425</v>
      </c>
      <c r="BJ50" s="230">
        <v>861750</v>
      </c>
      <c r="BK50" s="229">
        <v>0.22750000000000001</v>
      </c>
      <c r="BL50" s="230">
        <v>2370600</v>
      </c>
      <c r="BM50" s="230">
        <v>1617750</v>
      </c>
      <c r="BN50" s="230">
        <v>752850</v>
      </c>
      <c r="BO50" s="229">
        <v>0.46539999999999998</v>
      </c>
      <c r="BP50" s="230">
        <v>11639025</v>
      </c>
      <c r="BQ50" s="230">
        <v>6969375</v>
      </c>
      <c r="BR50" s="230">
        <v>4669650</v>
      </c>
      <c r="BS50" s="229">
        <v>0.67</v>
      </c>
      <c r="BT50" s="230">
        <v>669661</v>
      </c>
      <c r="BU50" s="230">
        <v>462529</v>
      </c>
      <c r="BV50" s="230">
        <v>207132</v>
      </c>
      <c r="BW50" s="229">
        <v>0.44779999999999998</v>
      </c>
      <c r="BX50" s="230">
        <v>5360175</v>
      </c>
      <c r="BY50" s="230">
        <v>5751900</v>
      </c>
      <c r="BZ50" s="230">
        <v>-391725</v>
      </c>
      <c r="CA50" s="229">
        <v>-6.8099999999999994E-2</v>
      </c>
      <c r="CB50" s="230">
        <v>3547125</v>
      </c>
      <c r="CC50" s="230">
        <v>5039325</v>
      </c>
      <c r="CD50" s="230">
        <v>-1492200</v>
      </c>
      <c r="CE50" s="229">
        <v>-0.29609999999999997</v>
      </c>
      <c r="CF50" s="230">
        <v>1755675</v>
      </c>
      <c r="CG50" s="230">
        <v>665100</v>
      </c>
      <c r="CH50" s="230">
        <v>1090575</v>
      </c>
      <c r="CI50" s="229">
        <v>1.6396999999999999</v>
      </c>
      <c r="CJ50" s="230">
        <v>57375</v>
      </c>
      <c r="CK50" s="230">
        <v>47475</v>
      </c>
      <c r="CL50" s="230">
        <v>9900</v>
      </c>
      <c r="CM50" s="229">
        <v>0.20849999999999999</v>
      </c>
      <c r="CN50" s="230">
        <v>2547000</v>
      </c>
      <c r="CO50" s="230">
        <v>2543175</v>
      </c>
      <c r="CP50" s="230">
        <v>3825</v>
      </c>
      <c r="CQ50" s="229">
        <v>1.5E-3</v>
      </c>
      <c r="CR50" s="230">
        <v>1850850</v>
      </c>
      <c r="CS50" s="230">
        <v>1733850</v>
      </c>
      <c r="CT50" s="230">
        <v>117000</v>
      </c>
      <c r="CU50" s="229">
        <v>6.7500000000000004E-2</v>
      </c>
      <c r="CV50" s="230">
        <v>9758025</v>
      </c>
      <c r="CW50" s="230">
        <v>10028925</v>
      </c>
      <c r="CX50" s="230">
        <v>-270900</v>
      </c>
      <c r="CY50" s="229">
        <v>-2.7E-2</v>
      </c>
      <c r="CZ50" s="228">
        <v>32.200000000000003</v>
      </c>
      <c r="DA50" s="228">
        <v>31.51</v>
      </c>
      <c r="DB50" s="228">
        <v>0.69</v>
      </c>
      <c r="DC50" s="228">
        <v>0.69</v>
      </c>
      <c r="DD50" s="228">
        <v>30.6</v>
      </c>
      <c r="DE50" s="228">
        <v>30.55</v>
      </c>
      <c r="DF50" s="228">
        <v>1.6</v>
      </c>
      <c r="DG50" s="228">
        <v>0.05</v>
      </c>
      <c r="DH50" s="228">
        <v>32.22</v>
      </c>
      <c r="DI50" s="228">
        <v>30.98</v>
      </c>
      <c r="DJ50" s="228">
        <v>1.24</v>
      </c>
      <c r="DK50" s="228">
        <v>1.24</v>
      </c>
      <c r="DL50" s="228">
        <v>32.08</v>
      </c>
      <c r="DM50" s="228">
        <v>32.74</v>
      </c>
      <c r="DN50" s="228">
        <v>-0.66</v>
      </c>
      <c r="DO50" s="228">
        <v>-0.66</v>
      </c>
      <c r="DP50" s="228">
        <v>0.73</v>
      </c>
      <c r="DQ50" s="228">
        <v>0.68</v>
      </c>
      <c r="DR50" s="228">
        <v>0.05</v>
      </c>
      <c r="DS50" s="229">
        <v>7.3499999999999996E-2</v>
      </c>
      <c r="DT50" s="231">
        <v>2200</v>
      </c>
      <c r="DU50" s="231">
        <v>2100</v>
      </c>
      <c r="DV50" s="228">
        <v>0.51</v>
      </c>
      <c r="DW50" s="228">
        <v>0.43</v>
      </c>
      <c r="DX50" s="228">
        <v>0.08</v>
      </c>
      <c r="DY50" s="229">
        <v>0.186</v>
      </c>
      <c r="DZ50" s="229">
        <v>0.3382</v>
      </c>
      <c r="EA50" s="230">
        <v>712575</v>
      </c>
      <c r="EB50" s="229">
        <v>-6.0000000000000001E-3</v>
      </c>
      <c r="EC50" s="229">
        <v>0.3382</v>
      </c>
      <c r="ED50" s="228">
        <v>-9.9700000000000006</v>
      </c>
      <c r="EE50" s="229">
        <v>-4.7000000000000002E-3</v>
      </c>
      <c r="EF50" s="230">
        <v>180247</v>
      </c>
      <c r="EG50" s="230">
        <v>245837</v>
      </c>
      <c r="EH50" s="229">
        <v>-0.26679999999999998</v>
      </c>
      <c r="EI50" s="229">
        <v>0.26919999999999999</v>
      </c>
      <c r="EJ50" s="231">
        <v>102087.42</v>
      </c>
      <c r="EK50" s="231">
        <v>49233.94</v>
      </c>
      <c r="EL50" s="231">
        <v>96979.88</v>
      </c>
      <c r="EM50" s="231">
        <v>7540</v>
      </c>
      <c r="EN50" s="231">
        <v>248301.24</v>
      </c>
      <c r="EO50" s="231">
        <v>148853.53</v>
      </c>
      <c r="EP50" s="231">
        <v>99447.71</v>
      </c>
      <c r="EQ50" s="229">
        <v>0.66810000000000003</v>
      </c>
      <c r="ER50" s="231">
        <v>54292</v>
      </c>
      <c r="ES50" s="231">
        <v>36915</v>
      </c>
      <c r="ET50" s="231">
        <v>114927</v>
      </c>
      <c r="EU50" s="231">
        <v>19054573</v>
      </c>
      <c r="EV50" s="231">
        <v>206135</v>
      </c>
      <c r="EW50" s="231">
        <v>209309</v>
      </c>
      <c r="EX50" s="231">
        <v>-3174</v>
      </c>
      <c r="EY50" s="229">
        <v>-1.52E-2</v>
      </c>
      <c r="EZ50" s="229">
        <v>0.5121</v>
      </c>
      <c r="FA50" s="227" t="s">
        <v>693</v>
      </c>
      <c r="FB50" s="161">
        <f t="shared" si="0"/>
        <v>1813050</v>
      </c>
    </row>
    <row r="51" spans="1:158" ht="17.25" thickBot="1" x14ac:dyDescent="0.3">
      <c r="A51" s="226">
        <v>46135</v>
      </c>
      <c r="B51" s="227" t="s">
        <v>215</v>
      </c>
      <c r="C51" s="227" t="s">
        <v>202</v>
      </c>
      <c r="D51" s="228">
        <v>1250</v>
      </c>
      <c r="E51" s="228">
        <v>504.3</v>
      </c>
      <c r="F51" s="228">
        <v>515.1</v>
      </c>
      <c r="G51" s="228">
        <v>-10.8</v>
      </c>
      <c r="H51" s="229">
        <v>-2.1000000000000001E-2</v>
      </c>
      <c r="I51" s="228">
        <v>505.05</v>
      </c>
      <c r="J51" s="228">
        <v>515.70000000000005</v>
      </c>
      <c r="K51" s="228">
        <v>-10.65</v>
      </c>
      <c r="L51" s="229">
        <v>-2.07E-2</v>
      </c>
      <c r="M51" s="228">
        <v>504.3</v>
      </c>
      <c r="N51" s="228">
        <v>515.1</v>
      </c>
      <c r="O51" s="228">
        <v>-10.8</v>
      </c>
      <c r="P51" s="229">
        <v>-2.1000000000000001E-2</v>
      </c>
      <c r="Q51" s="228">
        <v>507.15</v>
      </c>
      <c r="R51" s="228">
        <v>518.20000000000005</v>
      </c>
      <c r="S51" s="228">
        <v>-11.05</v>
      </c>
      <c r="T51" s="229">
        <v>-2.1299999999999999E-2</v>
      </c>
      <c r="U51" s="228">
        <v>509.6</v>
      </c>
      <c r="V51" s="228">
        <v>520.85</v>
      </c>
      <c r="W51" s="228">
        <v>-11.25</v>
      </c>
      <c r="X51" s="229">
        <v>-2.1600000000000001E-2</v>
      </c>
      <c r="Y51" s="228">
        <v>-0.75</v>
      </c>
      <c r="Z51" s="228">
        <v>-0.6</v>
      </c>
      <c r="AA51" s="228">
        <v>-0.15</v>
      </c>
      <c r="AB51" s="229">
        <v>-1.5E-3</v>
      </c>
      <c r="AC51" s="228">
        <v>-0.75</v>
      </c>
      <c r="AD51" s="228">
        <v>-0.6</v>
      </c>
      <c r="AE51" s="228">
        <v>-0.15</v>
      </c>
      <c r="AF51" s="229">
        <v>-1.5E-3</v>
      </c>
      <c r="AG51" s="228">
        <v>2.1</v>
      </c>
      <c r="AH51" s="228">
        <v>2.5</v>
      </c>
      <c r="AI51" s="228">
        <v>-0.4</v>
      </c>
      <c r="AJ51" s="229">
        <v>4.1999999999999997E-3</v>
      </c>
      <c r="AK51" s="228">
        <v>4.55</v>
      </c>
      <c r="AL51" s="228">
        <v>5.15</v>
      </c>
      <c r="AM51" s="228">
        <v>-0.6</v>
      </c>
      <c r="AN51" s="229">
        <v>8.9999999999999993E-3</v>
      </c>
      <c r="AO51" s="228">
        <v>507.36</v>
      </c>
      <c r="AP51" s="228">
        <v>510.18</v>
      </c>
      <c r="AQ51" s="228">
        <v>0</v>
      </c>
      <c r="AR51" s="230">
        <v>11988750</v>
      </c>
      <c r="AS51" s="230">
        <v>4207500</v>
      </c>
      <c r="AT51" s="230">
        <v>7781250</v>
      </c>
      <c r="AU51" s="229">
        <v>1.8493999999999999</v>
      </c>
      <c r="AV51" s="230">
        <v>6075000</v>
      </c>
      <c r="AW51" s="230">
        <v>2687500</v>
      </c>
      <c r="AX51" s="230">
        <v>3387500</v>
      </c>
      <c r="AY51" s="229">
        <v>1.2605</v>
      </c>
      <c r="AZ51" s="230">
        <v>5827500</v>
      </c>
      <c r="BA51" s="230">
        <v>1473750</v>
      </c>
      <c r="BB51" s="230">
        <v>4353750</v>
      </c>
      <c r="BC51" s="229">
        <v>2.9542000000000002</v>
      </c>
      <c r="BD51" s="230">
        <v>86250</v>
      </c>
      <c r="BE51" s="230">
        <v>46250</v>
      </c>
      <c r="BF51" s="230">
        <v>40000</v>
      </c>
      <c r="BG51" s="229">
        <v>0.8649</v>
      </c>
      <c r="BH51" s="230">
        <v>8693750</v>
      </c>
      <c r="BI51" s="230">
        <v>16185000</v>
      </c>
      <c r="BJ51" s="230">
        <v>-7491250</v>
      </c>
      <c r="BK51" s="229">
        <v>-0.46289999999999998</v>
      </c>
      <c r="BL51" s="230">
        <v>3028750</v>
      </c>
      <c r="BM51" s="230">
        <v>2962500</v>
      </c>
      <c r="BN51" s="230">
        <v>66250</v>
      </c>
      <c r="BO51" s="229">
        <v>2.24E-2</v>
      </c>
      <c r="BP51" s="230">
        <v>23711250</v>
      </c>
      <c r="BQ51" s="230">
        <v>23355000</v>
      </c>
      <c r="BR51" s="230">
        <v>356250</v>
      </c>
      <c r="BS51" s="229">
        <v>1.5299999999999999E-2</v>
      </c>
      <c r="BT51" s="230">
        <v>1109133</v>
      </c>
      <c r="BU51" s="230">
        <v>1324490</v>
      </c>
      <c r="BV51" s="230">
        <v>-215357</v>
      </c>
      <c r="BW51" s="229">
        <v>-0.16259999999999999</v>
      </c>
      <c r="BX51" s="230">
        <v>25723750</v>
      </c>
      <c r="BY51" s="230">
        <v>25705000</v>
      </c>
      <c r="BZ51" s="230">
        <v>18750</v>
      </c>
      <c r="CA51" s="229">
        <v>6.9999999999999999E-4</v>
      </c>
      <c r="CB51" s="230">
        <v>17386250</v>
      </c>
      <c r="CC51" s="230">
        <v>21971250</v>
      </c>
      <c r="CD51" s="230">
        <v>-4585000</v>
      </c>
      <c r="CE51" s="229">
        <v>-0.2087</v>
      </c>
      <c r="CF51" s="230">
        <v>8113750</v>
      </c>
      <c r="CG51" s="230">
        <v>3570000</v>
      </c>
      <c r="CH51" s="230">
        <v>4543750</v>
      </c>
      <c r="CI51" s="229">
        <v>1.2727999999999999</v>
      </c>
      <c r="CJ51" s="230">
        <v>223750</v>
      </c>
      <c r="CK51" s="230">
        <v>163750</v>
      </c>
      <c r="CL51" s="230">
        <v>60000</v>
      </c>
      <c r="CM51" s="229">
        <v>0.3664</v>
      </c>
      <c r="CN51" s="230">
        <v>8092500</v>
      </c>
      <c r="CO51" s="230">
        <v>8445000</v>
      </c>
      <c r="CP51" s="230">
        <v>-352500</v>
      </c>
      <c r="CQ51" s="229">
        <v>-4.1700000000000001E-2</v>
      </c>
      <c r="CR51" s="230">
        <v>5395000</v>
      </c>
      <c r="CS51" s="230">
        <v>5393750</v>
      </c>
      <c r="CT51" s="230">
        <v>1250</v>
      </c>
      <c r="CU51" s="229">
        <v>2.0000000000000001E-4</v>
      </c>
      <c r="CV51" s="230">
        <v>39211250</v>
      </c>
      <c r="CW51" s="230">
        <v>39543750</v>
      </c>
      <c r="CX51" s="230">
        <v>-332500</v>
      </c>
      <c r="CY51" s="229">
        <v>-8.3999999999999995E-3</v>
      </c>
      <c r="CZ51" s="228">
        <v>33.86</v>
      </c>
      <c r="DA51" s="228">
        <v>34.229999999999997</v>
      </c>
      <c r="DB51" s="228">
        <v>-0.37</v>
      </c>
      <c r="DC51" s="228">
        <v>-0.37</v>
      </c>
      <c r="DD51" s="228">
        <v>34.909999999999997</v>
      </c>
      <c r="DE51" s="228">
        <v>34.880000000000003</v>
      </c>
      <c r="DF51" s="228">
        <v>-1.05</v>
      </c>
      <c r="DG51" s="228">
        <v>0.03</v>
      </c>
      <c r="DH51" s="228">
        <v>33.85</v>
      </c>
      <c r="DI51" s="228">
        <v>33.799999999999997</v>
      </c>
      <c r="DJ51" s="228">
        <v>0.05</v>
      </c>
      <c r="DK51" s="228">
        <v>0.05</v>
      </c>
      <c r="DL51" s="228">
        <v>33.869999999999997</v>
      </c>
      <c r="DM51" s="228">
        <v>36.57</v>
      </c>
      <c r="DN51" s="228">
        <v>-2.7</v>
      </c>
      <c r="DO51" s="228">
        <v>-2.7</v>
      </c>
      <c r="DP51" s="228">
        <v>0.67</v>
      </c>
      <c r="DQ51" s="228">
        <v>0.64</v>
      </c>
      <c r="DR51" s="228">
        <v>0.03</v>
      </c>
      <c r="DS51" s="229">
        <v>4.6899999999999997E-2</v>
      </c>
      <c r="DT51" s="228">
        <v>530</v>
      </c>
      <c r="DU51" s="228">
        <v>500</v>
      </c>
      <c r="DV51" s="228">
        <v>0.35</v>
      </c>
      <c r="DW51" s="228">
        <v>0.18</v>
      </c>
      <c r="DX51" s="228">
        <v>0.17</v>
      </c>
      <c r="DY51" s="229">
        <v>0.94440000000000002</v>
      </c>
      <c r="DZ51" s="229">
        <v>0.3241</v>
      </c>
      <c r="EA51" s="230">
        <v>3733750</v>
      </c>
      <c r="EB51" s="229">
        <v>5.7000000000000002E-3</v>
      </c>
      <c r="EC51" s="229">
        <v>0.3241</v>
      </c>
      <c r="ED51" s="228">
        <v>2.82</v>
      </c>
      <c r="EE51" s="229">
        <v>5.5999999999999999E-3</v>
      </c>
      <c r="EF51" s="230">
        <v>494948</v>
      </c>
      <c r="EG51" s="230">
        <v>615677</v>
      </c>
      <c r="EH51" s="229">
        <v>-0.1961</v>
      </c>
      <c r="EI51" s="229">
        <v>0.44619999999999999</v>
      </c>
      <c r="EJ51" s="231">
        <v>46120.04</v>
      </c>
      <c r="EK51" s="231">
        <v>15708.25</v>
      </c>
      <c r="EL51" s="231">
        <v>60994.67</v>
      </c>
      <c r="EM51" s="231">
        <v>2926</v>
      </c>
      <c r="EN51" s="231">
        <v>122822.96</v>
      </c>
      <c r="EO51" s="231">
        <v>122070.75</v>
      </c>
      <c r="EP51" s="228">
        <v>752.21</v>
      </c>
      <c r="EQ51" s="229">
        <v>6.1999999999999998E-3</v>
      </c>
      <c r="ER51" s="231">
        <v>41257</v>
      </c>
      <c r="ES51" s="231">
        <v>26111</v>
      </c>
      <c r="ET51" s="231">
        <v>129968</v>
      </c>
      <c r="EU51" s="231">
        <v>51639257</v>
      </c>
      <c r="EV51" s="231">
        <v>197336</v>
      </c>
      <c r="EW51" s="231">
        <v>201641</v>
      </c>
      <c r="EX51" s="231">
        <v>-4305</v>
      </c>
      <c r="EY51" s="229">
        <v>-2.1299999999999999E-2</v>
      </c>
      <c r="EZ51" s="229">
        <v>0.75929999999999997</v>
      </c>
      <c r="FA51" s="227" t="s">
        <v>566</v>
      </c>
      <c r="FB51" s="161">
        <f t="shared" si="0"/>
        <v>8337500</v>
      </c>
    </row>
    <row r="52" spans="1:158" ht="17.25" thickBot="1" x14ac:dyDescent="0.3">
      <c r="A52" s="226">
        <v>46135</v>
      </c>
      <c r="B52" s="227" t="s">
        <v>184</v>
      </c>
      <c r="C52" s="227" t="s">
        <v>523</v>
      </c>
      <c r="D52" s="228">
        <v>1800</v>
      </c>
      <c r="E52" s="228">
        <v>253.05</v>
      </c>
      <c r="F52" s="228">
        <v>260.85000000000002</v>
      </c>
      <c r="G52" s="228">
        <v>-7.8</v>
      </c>
      <c r="H52" s="229">
        <v>-2.9899999999999999E-2</v>
      </c>
      <c r="I52" s="228">
        <v>253.39</v>
      </c>
      <c r="J52" s="228">
        <v>261.37</v>
      </c>
      <c r="K52" s="228">
        <v>-7.98</v>
      </c>
      <c r="L52" s="229">
        <v>-3.0499999999999999E-2</v>
      </c>
      <c r="M52" s="228">
        <v>253.05</v>
      </c>
      <c r="N52" s="228">
        <v>260.85000000000002</v>
      </c>
      <c r="O52" s="228">
        <v>-7.8</v>
      </c>
      <c r="P52" s="229">
        <v>-2.9899999999999999E-2</v>
      </c>
      <c r="Q52" s="228">
        <v>254.51</v>
      </c>
      <c r="R52" s="228">
        <v>262.14</v>
      </c>
      <c r="S52" s="228">
        <v>-7.63</v>
      </c>
      <c r="T52" s="229">
        <v>-2.9100000000000001E-2</v>
      </c>
      <c r="U52" s="228">
        <v>256.01</v>
      </c>
      <c r="V52" s="228">
        <v>265</v>
      </c>
      <c r="W52" s="228">
        <v>-8.99</v>
      </c>
      <c r="X52" s="229">
        <v>-3.39E-2</v>
      </c>
      <c r="Y52" s="228">
        <v>-0.34</v>
      </c>
      <c r="Z52" s="228">
        <v>-0.52</v>
      </c>
      <c r="AA52" s="228">
        <v>0.18</v>
      </c>
      <c r="AB52" s="229">
        <v>-1.2999999999999999E-3</v>
      </c>
      <c r="AC52" s="228">
        <v>-0.34</v>
      </c>
      <c r="AD52" s="228">
        <v>-0.52</v>
      </c>
      <c r="AE52" s="228">
        <v>0.18</v>
      </c>
      <c r="AF52" s="229">
        <v>-1.2999999999999999E-3</v>
      </c>
      <c r="AG52" s="228">
        <v>1.1200000000000001</v>
      </c>
      <c r="AH52" s="228">
        <v>0.77</v>
      </c>
      <c r="AI52" s="228">
        <v>0.35</v>
      </c>
      <c r="AJ52" s="229">
        <v>4.4000000000000003E-3</v>
      </c>
      <c r="AK52" s="228">
        <v>2.62</v>
      </c>
      <c r="AL52" s="228">
        <v>3.63</v>
      </c>
      <c r="AM52" s="228">
        <v>-1.01</v>
      </c>
      <c r="AN52" s="229">
        <v>1.03E-2</v>
      </c>
      <c r="AO52" s="228">
        <v>254.1</v>
      </c>
      <c r="AP52" s="228">
        <v>255.58</v>
      </c>
      <c r="AQ52" s="228">
        <v>0</v>
      </c>
      <c r="AR52" s="230">
        <v>36063000</v>
      </c>
      <c r="AS52" s="230">
        <v>5695200</v>
      </c>
      <c r="AT52" s="230">
        <v>30367800</v>
      </c>
      <c r="AU52" s="229">
        <v>5.3322000000000003</v>
      </c>
      <c r="AV52" s="230">
        <v>19359000</v>
      </c>
      <c r="AW52" s="230">
        <v>4005000</v>
      </c>
      <c r="AX52" s="230">
        <v>15354000</v>
      </c>
      <c r="AY52" s="229">
        <v>3.8336999999999999</v>
      </c>
      <c r="AZ52" s="230">
        <v>16547400</v>
      </c>
      <c r="BA52" s="230">
        <v>1648800</v>
      </c>
      <c r="BB52" s="230">
        <v>14898600</v>
      </c>
      <c r="BC52" s="229">
        <v>9.0359999999999996</v>
      </c>
      <c r="BD52" s="230">
        <v>156600</v>
      </c>
      <c r="BE52" s="230">
        <v>41400</v>
      </c>
      <c r="BF52" s="230">
        <v>115200</v>
      </c>
      <c r="BG52" s="229">
        <v>2.7826</v>
      </c>
      <c r="BH52" s="230">
        <v>21915000</v>
      </c>
      <c r="BI52" s="230">
        <v>11260800</v>
      </c>
      <c r="BJ52" s="230">
        <v>10654200</v>
      </c>
      <c r="BK52" s="229">
        <v>0.94610000000000005</v>
      </c>
      <c r="BL52" s="230">
        <v>12038400</v>
      </c>
      <c r="BM52" s="230">
        <v>3663000</v>
      </c>
      <c r="BN52" s="230">
        <v>8375400</v>
      </c>
      <c r="BO52" s="229">
        <v>2.2865000000000002</v>
      </c>
      <c r="BP52" s="230">
        <v>70016400</v>
      </c>
      <c r="BQ52" s="230">
        <v>20619000</v>
      </c>
      <c r="BR52" s="230">
        <v>49397400</v>
      </c>
      <c r="BS52" s="229">
        <v>2.3957000000000002</v>
      </c>
      <c r="BT52" s="230">
        <v>5474382</v>
      </c>
      <c r="BU52" s="230">
        <v>3090394</v>
      </c>
      <c r="BV52" s="230">
        <v>2383988</v>
      </c>
      <c r="BW52" s="229">
        <v>0.77139999999999997</v>
      </c>
      <c r="BX52" s="230">
        <v>44362800</v>
      </c>
      <c r="BY52" s="230">
        <v>45156600</v>
      </c>
      <c r="BZ52" s="230">
        <v>-793800</v>
      </c>
      <c r="CA52" s="229">
        <v>-1.7600000000000001E-2</v>
      </c>
      <c r="CB52" s="230">
        <v>27073800</v>
      </c>
      <c r="CC52" s="230">
        <v>41596200</v>
      </c>
      <c r="CD52" s="230">
        <v>-14522400</v>
      </c>
      <c r="CE52" s="229">
        <v>-0.34910000000000002</v>
      </c>
      <c r="CF52" s="230">
        <v>17017200</v>
      </c>
      <c r="CG52" s="230">
        <v>3353400</v>
      </c>
      <c r="CH52" s="230">
        <v>13663800</v>
      </c>
      <c r="CI52" s="229">
        <v>4.0746000000000002</v>
      </c>
      <c r="CJ52" s="230">
        <v>271800</v>
      </c>
      <c r="CK52" s="230">
        <v>207000</v>
      </c>
      <c r="CL52" s="230">
        <v>64800</v>
      </c>
      <c r="CM52" s="229">
        <v>0.313</v>
      </c>
      <c r="CN52" s="230">
        <v>12659400</v>
      </c>
      <c r="CO52" s="230">
        <v>14472000</v>
      </c>
      <c r="CP52" s="230">
        <v>-1812600</v>
      </c>
      <c r="CQ52" s="229">
        <v>-0.12520000000000001</v>
      </c>
      <c r="CR52" s="230">
        <v>7462800</v>
      </c>
      <c r="CS52" s="230">
        <v>8276400</v>
      </c>
      <c r="CT52" s="230">
        <v>-813600</v>
      </c>
      <c r="CU52" s="229">
        <v>-9.8299999999999998E-2</v>
      </c>
      <c r="CV52" s="230">
        <v>64485000</v>
      </c>
      <c r="CW52" s="230">
        <v>67905000</v>
      </c>
      <c r="CX52" s="230">
        <v>-3420000</v>
      </c>
      <c r="CY52" s="229">
        <v>-5.04E-2</v>
      </c>
      <c r="CZ52" s="228">
        <v>40.6</v>
      </c>
      <c r="DA52" s="228">
        <v>39.229999999999997</v>
      </c>
      <c r="DB52" s="228">
        <v>1.37</v>
      </c>
      <c r="DC52" s="228">
        <v>1.37</v>
      </c>
      <c r="DD52" s="228">
        <v>35.4</v>
      </c>
      <c r="DE52" s="228">
        <v>35.25</v>
      </c>
      <c r="DF52" s="228">
        <v>5.2</v>
      </c>
      <c r="DG52" s="228">
        <v>0.15</v>
      </c>
      <c r="DH52" s="228">
        <v>40.659999999999997</v>
      </c>
      <c r="DI52" s="228">
        <v>38.4</v>
      </c>
      <c r="DJ52" s="228">
        <v>2.2599999999999998</v>
      </c>
      <c r="DK52" s="228">
        <v>2.2599999999999998</v>
      </c>
      <c r="DL52" s="228">
        <v>40.340000000000003</v>
      </c>
      <c r="DM52" s="228">
        <v>41.78</v>
      </c>
      <c r="DN52" s="228">
        <v>-1.44</v>
      </c>
      <c r="DO52" s="228">
        <v>-1.44</v>
      </c>
      <c r="DP52" s="228">
        <v>0.59</v>
      </c>
      <c r="DQ52" s="228">
        <v>0.56999999999999995</v>
      </c>
      <c r="DR52" s="228">
        <v>0.02</v>
      </c>
      <c r="DS52" s="229">
        <v>3.5099999999999999E-2</v>
      </c>
      <c r="DT52" s="228">
        <v>260</v>
      </c>
      <c r="DU52" s="228">
        <v>220</v>
      </c>
      <c r="DV52" s="228">
        <v>0.55000000000000004</v>
      </c>
      <c r="DW52" s="228">
        <v>0.33</v>
      </c>
      <c r="DX52" s="228">
        <v>0.22</v>
      </c>
      <c r="DY52" s="229">
        <v>0.66669999999999996</v>
      </c>
      <c r="DZ52" s="229">
        <v>0.38969999999999999</v>
      </c>
      <c r="EA52" s="230">
        <v>3560400</v>
      </c>
      <c r="EB52" s="229">
        <v>5.7999999999999996E-3</v>
      </c>
      <c r="EC52" s="229">
        <v>0.38969999999999999</v>
      </c>
      <c r="ED52" s="228">
        <v>1.48</v>
      </c>
      <c r="EE52" s="229">
        <v>5.7999999999999996E-3</v>
      </c>
      <c r="EF52" s="230">
        <v>1932756</v>
      </c>
      <c r="EG52" s="230">
        <v>1645039</v>
      </c>
      <c r="EH52" s="229">
        <v>0.1749</v>
      </c>
      <c r="EI52" s="229">
        <v>0.35310000000000002</v>
      </c>
      <c r="EJ52" s="231">
        <v>59071.53</v>
      </c>
      <c r="EK52" s="231">
        <v>30102.33</v>
      </c>
      <c r="EL52" s="231">
        <v>91883.63</v>
      </c>
      <c r="EM52" s="231">
        <v>3576</v>
      </c>
      <c r="EN52" s="231">
        <v>181057.49</v>
      </c>
      <c r="EO52" s="231">
        <v>54578.19</v>
      </c>
      <c r="EP52" s="231">
        <v>126479.3</v>
      </c>
      <c r="EQ52" s="229">
        <v>2.3174000000000001</v>
      </c>
      <c r="ER52" s="231">
        <v>33402</v>
      </c>
      <c r="ES52" s="231">
        <v>18397</v>
      </c>
      <c r="ET52" s="231">
        <v>112517</v>
      </c>
      <c r="EU52" s="231">
        <v>96587231</v>
      </c>
      <c r="EV52" s="231">
        <v>164315</v>
      </c>
      <c r="EW52" s="231">
        <v>176551</v>
      </c>
      <c r="EX52" s="231">
        <v>-12236</v>
      </c>
      <c r="EY52" s="229">
        <v>-6.93E-2</v>
      </c>
      <c r="EZ52" s="229">
        <v>0.66759999999999997</v>
      </c>
      <c r="FA52" s="227" t="s">
        <v>567</v>
      </c>
      <c r="FB52" s="161">
        <f t="shared" si="0"/>
        <v>17289000</v>
      </c>
    </row>
    <row r="53" spans="1:158" ht="17.25" thickBot="1" x14ac:dyDescent="0.3">
      <c r="A53" s="226">
        <v>46135</v>
      </c>
      <c r="B53" s="227" t="s">
        <v>184</v>
      </c>
      <c r="C53" s="227" t="s">
        <v>203</v>
      </c>
      <c r="D53" s="228">
        <v>200</v>
      </c>
      <c r="E53" s="231">
        <v>5170.2</v>
      </c>
      <c r="F53" s="231">
        <v>5219.6000000000004</v>
      </c>
      <c r="G53" s="228">
        <v>-49.4</v>
      </c>
      <c r="H53" s="229">
        <v>-9.4999999999999998E-3</v>
      </c>
      <c r="I53" s="231">
        <v>5176.8999999999996</v>
      </c>
      <c r="J53" s="231">
        <v>5211.8</v>
      </c>
      <c r="K53" s="228">
        <v>-34.9</v>
      </c>
      <c r="L53" s="229">
        <v>-6.7000000000000002E-3</v>
      </c>
      <c r="M53" s="231">
        <v>5170.2</v>
      </c>
      <c r="N53" s="231">
        <v>5219.6000000000004</v>
      </c>
      <c r="O53" s="228">
        <v>-49.4</v>
      </c>
      <c r="P53" s="229">
        <v>-9.4999999999999998E-3</v>
      </c>
      <c r="Q53" s="231">
        <v>5194.8999999999996</v>
      </c>
      <c r="R53" s="231">
        <v>5247</v>
      </c>
      <c r="S53" s="228">
        <v>-52.1</v>
      </c>
      <c r="T53" s="229">
        <v>-9.9000000000000008E-3</v>
      </c>
      <c r="U53" s="231">
        <v>5221.5</v>
      </c>
      <c r="V53" s="231">
        <v>5265.3</v>
      </c>
      <c r="W53" s="228">
        <v>-43.8</v>
      </c>
      <c r="X53" s="229">
        <v>-8.3000000000000001E-3</v>
      </c>
      <c r="Y53" s="228">
        <v>-6.7</v>
      </c>
      <c r="Z53" s="228">
        <v>7.8</v>
      </c>
      <c r="AA53" s="228">
        <v>-14.5</v>
      </c>
      <c r="AB53" s="229">
        <v>-1.2999999999999999E-3</v>
      </c>
      <c r="AC53" s="228">
        <v>-6.7</v>
      </c>
      <c r="AD53" s="228">
        <v>7.8</v>
      </c>
      <c r="AE53" s="228">
        <v>-14.5</v>
      </c>
      <c r="AF53" s="229">
        <v>-1.2999999999999999E-3</v>
      </c>
      <c r="AG53" s="228">
        <v>18</v>
      </c>
      <c r="AH53" s="228">
        <v>35.200000000000003</v>
      </c>
      <c r="AI53" s="228">
        <v>-17.2</v>
      </c>
      <c r="AJ53" s="229">
        <v>3.5000000000000001E-3</v>
      </c>
      <c r="AK53" s="228">
        <v>44.6</v>
      </c>
      <c r="AL53" s="228">
        <v>53.5</v>
      </c>
      <c r="AM53" s="228">
        <v>-8.9</v>
      </c>
      <c r="AN53" s="229">
        <v>8.6E-3</v>
      </c>
      <c r="AO53" s="231">
        <v>5217.84</v>
      </c>
      <c r="AP53" s="231">
        <v>5243.21</v>
      </c>
      <c r="AQ53" s="228">
        <v>0</v>
      </c>
      <c r="AR53" s="230">
        <v>2693200</v>
      </c>
      <c r="AS53" s="230">
        <v>1295400</v>
      </c>
      <c r="AT53" s="230">
        <v>1397800</v>
      </c>
      <c r="AU53" s="229">
        <v>1.079</v>
      </c>
      <c r="AV53" s="230">
        <v>1385400</v>
      </c>
      <c r="AW53" s="230">
        <v>859200</v>
      </c>
      <c r="AX53" s="230">
        <v>526200</v>
      </c>
      <c r="AY53" s="229">
        <v>0.61240000000000006</v>
      </c>
      <c r="AZ53" s="230">
        <v>1294600</v>
      </c>
      <c r="BA53" s="230">
        <v>430400</v>
      </c>
      <c r="BB53" s="230">
        <v>864200</v>
      </c>
      <c r="BC53" s="229">
        <v>2.0078999999999998</v>
      </c>
      <c r="BD53" s="230">
        <v>13200</v>
      </c>
      <c r="BE53" s="230">
        <v>5800</v>
      </c>
      <c r="BF53" s="230">
        <v>7400</v>
      </c>
      <c r="BG53" s="229">
        <v>1.2759</v>
      </c>
      <c r="BH53" s="230">
        <v>2607400</v>
      </c>
      <c r="BI53" s="230">
        <v>5417800</v>
      </c>
      <c r="BJ53" s="230">
        <v>-2810400</v>
      </c>
      <c r="BK53" s="229">
        <v>-0.51870000000000005</v>
      </c>
      <c r="BL53" s="230">
        <v>3204400</v>
      </c>
      <c r="BM53" s="230">
        <v>2828000</v>
      </c>
      <c r="BN53" s="230">
        <v>376400</v>
      </c>
      <c r="BO53" s="229">
        <v>0.1331</v>
      </c>
      <c r="BP53" s="230">
        <v>8505000</v>
      </c>
      <c r="BQ53" s="230">
        <v>9541200</v>
      </c>
      <c r="BR53" s="230">
        <v>-1036200</v>
      </c>
      <c r="BS53" s="229">
        <v>-0.1086</v>
      </c>
      <c r="BT53" s="230">
        <v>505751</v>
      </c>
      <c r="BU53" s="230">
        <v>516893</v>
      </c>
      <c r="BV53" s="230">
        <v>-11142</v>
      </c>
      <c r="BW53" s="229">
        <v>-2.1600000000000001E-2</v>
      </c>
      <c r="BX53" s="230">
        <v>4126800</v>
      </c>
      <c r="BY53" s="230">
        <v>4146400</v>
      </c>
      <c r="BZ53" s="230">
        <v>-19600</v>
      </c>
      <c r="CA53" s="229">
        <v>-4.7000000000000002E-3</v>
      </c>
      <c r="CB53" s="230">
        <v>2434400</v>
      </c>
      <c r="CC53" s="230">
        <v>3425000</v>
      </c>
      <c r="CD53" s="230">
        <v>-990600</v>
      </c>
      <c r="CE53" s="229">
        <v>-0.28920000000000001</v>
      </c>
      <c r="CF53" s="230">
        <v>1432200</v>
      </c>
      <c r="CG53" s="230">
        <v>468800</v>
      </c>
      <c r="CH53" s="230">
        <v>963400</v>
      </c>
      <c r="CI53" s="229">
        <v>2.0550000000000002</v>
      </c>
      <c r="CJ53" s="230">
        <v>260200</v>
      </c>
      <c r="CK53" s="230">
        <v>252600</v>
      </c>
      <c r="CL53" s="230">
        <v>7600</v>
      </c>
      <c r="CM53" s="229">
        <v>3.0099999999999998E-2</v>
      </c>
      <c r="CN53" s="230">
        <v>1370600</v>
      </c>
      <c r="CO53" s="230">
        <v>1444800</v>
      </c>
      <c r="CP53" s="230">
        <v>-74200</v>
      </c>
      <c r="CQ53" s="229">
        <v>-5.1400000000000001E-2</v>
      </c>
      <c r="CR53" s="230">
        <v>1030600</v>
      </c>
      <c r="CS53" s="230">
        <v>1051600</v>
      </c>
      <c r="CT53" s="230">
        <v>-21000</v>
      </c>
      <c r="CU53" s="229">
        <v>-0.02</v>
      </c>
      <c r="CV53" s="230">
        <v>6528000</v>
      </c>
      <c r="CW53" s="230">
        <v>6642800</v>
      </c>
      <c r="CX53" s="230">
        <v>-114800</v>
      </c>
      <c r="CY53" s="229">
        <v>-1.7299999999999999E-2</v>
      </c>
      <c r="CZ53" s="228">
        <v>34.39</v>
      </c>
      <c r="DA53" s="228">
        <v>34.520000000000003</v>
      </c>
      <c r="DB53" s="228">
        <v>-0.13</v>
      </c>
      <c r="DC53" s="228">
        <v>-0.13</v>
      </c>
      <c r="DD53" s="228">
        <v>36.03</v>
      </c>
      <c r="DE53" s="228">
        <v>36.11</v>
      </c>
      <c r="DF53" s="228">
        <v>-1.64</v>
      </c>
      <c r="DG53" s="228">
        <v>-0.08</v>
      </c>
      <c r="DH53" s="228">
        <v>33.83</v>
      </c>
      <c r="DI53" s="228">
        <v>29.69</v>
      </c>
      <c r="DJ53" s="228">
        <v>4.1399999999999997</v>
      </c>
      <c r="DK53" s="228">
        <v>4.1399999999999997</v>
      </c>
      <c r="DL53" s="228">
        <v>35.229999999999997</v>
      </c>
      <c r="DM53" s="228">
        <v>43.79</v>
      </c>
      <c r="DN53" s="228">
        <v>-8.56</v>
      </c>
      <c r="DO53" s="228">
        <v>-8.56</v>
      </c>
      <c r="DP53" s="228">
        <v>0.75</v>
      </c>
      <c r="DQ53" s="228">
        <v>0.73</v>
      </c>
      <c r="DR53" s="228">
        <v>0.02</v>
      </c>
      <c r="DS53" s="229">
        <v>2.7400000000000001E-2</v>
      </c>
      <c r="DT53" s="231">
        <v>5200</v>
      </c>
      <c r="DU53" s="231">
        <v>4700</v>
      </c>
      <c r="DV53" s="228">
        <v>1.23</v>
      </c>
      <c r="DW53" s="228">
        <v>0.52</v>
      </c>
      <c r="DX53" s="228">
        <v>0.71</v>
      </c>
      <c r="DY53" s="229">
        <v>1.3653999999999999</v>
      </c>
      <c r="DZ53" s="229">
        <v>0.41010000000000002</v>
      </c>
      <c r="EA53" s="230">
        <v>721400</v>
      </c>
      <c r="EB53" s="229">
        <v>4.7999999999999996E-3</v>
      </c>
      <c r="EC53" s="229">
        <v>0.41010000000000002</v>
      </c>
      <c r="ED53" s="228">
        <v>25.37</v>
      </c>
      <c r="EE53" s="229">
        <v>4.8999999999999998E-3</v>
      </c>
      <c r="EF53" s="230">
        <v>282524</v>
      </c>
      <c r="EG53" s="230">
        <v>267551</v>
      </c>
      <c r="EH53" s="229">
        <v>5.6000000000000001E-2</v>
      </c>
      <c r="EI53" s="229">
        <v>0.55859999999999999</v>
      </c>
      <c r="EJ53" s="231">
        <v>140211.28</v>
      </c>
      <c r="EK53" s="231">
        <v>155349.01999999999</v>
      </c>
      <c r="EL53" s="231">
        <v>140862.6</v>
      </c>
      <c r="EM53" s="231">
        <v>5093</v>
      </c>
      <c r="EN53" s="231">
        <v>436422.9</v>
      </c>
      <c r="EO53" s="231">
        <v>493417.74</v>
      </c>
      <c r="EP53" s="231">
        <v>-56994.84</v>
      </c>
      <c r="EQ53" s="229">
        <v>-0.11550000000000001</v>
      </c>
      <c r="ER53" s="231">
        <v>70597</v>
      </c>
      <c r="ES53" s="231">
        <v>49528</v>
      </c>
      <c r="ET53" s="231">
        <v>213851</v>
      </c>
      <c r="EU53" s="231">
        <v>20374200</v>
      </c>
      <c r="EV53" s="231">
        <v>333976</v>
      </c>
      <c r="EW53" s="231">
        <v>341418</v>
      </c>
      <c r="EX53" s="231">
        <v>-7442</v>
      </c>
      <c r="EY53" s="229">
        <v>-2.18E-2</v>
      </c>
      <c r="EZ53" s="229">
        <v>0.32040000000000002</v>
      </c>
      <c r="FA53" s="227" t="s">
        <v>567</v>
      </c>
      <c r="FB53" s="161">
        <f t="shared" si="0"/>
        <v>1692400</v>
      </c>
    </row>
    <row r="54" spans="1:158" ht="17.25" thickBot="1" x14ac:dyDescent="0.3">
      <c r="A54" s="226">
        <v>46135</v>
      </c>
      <c r="B54" s="227" t="s">
        <v>168</v>
      </c>
      <c r="C54" s="227" t="s">
        <v>204</v>
      </c>
      <c r="D54" s="228">
        <v>1250</v>
      </c>
      <c r="E54" s="228">
        <v>459.5</v>
      </c>
      <c r="F54" s="228">
        <v>459.7</v>
      </c>
      <c r="G54" s="228">
        <v>-0.2</v>
      </c>
      <c r="H54" s="229">
        <v>-4.0000000000000002E-4</v>
      </c>
      <c r="I54" s="228">
        <v>460</v>
      </c>
      <c r="J54" s="228">
        <v>460</v>
      </c>
      <c r="K54" s="228">
        <v>0</v>
      </c>
      <c r="L54" s="229">
        <v>0</v>
      </c>
      <c r="M54" s="228">
        <v>459.5</v>
      </c>
      <c r="N54" s="228">
        <v>459.7</v>
      </c>
      <c r="O54" s="228">
        <v>-0.2</v>
      </c>
      <c r="P54" s="229">
        <v>-4.0000000000000002E-4</v>
      </c>
      <c r="Q54" s="228">
        <v>461.9</v>
      </c>
      <c r="R54" s="228">
        <v>461.9</v>
      </c>
      <c r="S54" s="228">
        <v>0</v>
      </c>
      <c r="T54" s="229">
        <v>0</v>
      </c>
      <c r="U54" s="228">
        <v>464.6</v>
      </c>
      <c r="V54" s="228">
        <v>465.2</v>
      </c>
      <c r="W54" s="228">
        <v>-0.6</v>
      </c>
      <c r="X54" s="229">
        <v>-1.2999999999999999E-3</v>
      </c>
      <c r="Y54" s="228">
        <v>-0.5</v>
      </c>
      <c r="Z54" s="228">
        <v>-0.3</v>
      </c>
      <c r="AA54" s="228">
        <v>-0.2</v>
      </c>
      <c r="AB54" s="229">
        <v>-1.1000000000000001E-3</v>
      </c>
      <c r="AC54" s="228">
        <v>-0.5</v>
      </c>
      <c r="AD54" s="228">
        <v>-0.3</v>
      </c>
      <c r="AE54" s="228">
        <v>-0.2</v>
      </c>
      <c r="AF54" s="229">
        <v>-1.1000000000000001E-3</v>
      </c>
      <c r="AG54" s="228">
        <v>1.9</v>
      </c>
      <c r="AH54" s="228">
        <v>1.9</v>
      </c>
      <c r="AI54" s="228">
        <v>0</v>
      </c>
      <c r="AJ54" s="229">
        <v>4.1000000000000003E-3</v>
      </c>
      <c r="AK54" s="228">
        <v>4.5999999999999996</v>
      </c>
      <c r="AL54" s="228">
        <v>5.2</v>
      </c>
      <c r="AM54" s="228">
        <v>-0.6</v>
      </c>
      <c r="AN54" s="229">
        <v>0.01</v>
      </c>
      <c r="AO54" s="228">
        <v>457.22</v>
      </c>
      <c r="AP54" s="228">
        <v>459.62</v>
      </c>
      <c r="AQ54" s="228">
        <v>0</v>
      </c>
      <c r="AR54" s="230">
        <v>19298750</v>
      </c>
      <c r="AS54" s="230">
        <v>5185000</v>
      </c>
      <c r="AT54" s="230">
        <v>14113750</v>
      </c>
      <c r="AU54" s="229">
        <v>2.722</v>
      </c>
      <c r="AV54" s="230">
        <v>9811250</v>
      </c>
      <c r="AW54" s="230">
        <v>3612500</v>
      </c>
      <c r="AX54" s="230">
        <v>6198750</v>
      </c>
      <c r="AY54" s="229">
        <v>1.7159</v>
      </c>
      <c r="AZ54" s="230">
        <v>9433750</v>
      </c>
      <c r="BA54" s="230">
        <v>1483750</v>
      </c>
      <c r="BB54" s="230">
        <v>7950000</v>
      </c>
      <c r="BC54" s="229">
        <v>5.3579999999999997</v>
      </c>
      <c r="BD54" s="230">
        <v>53750</v>
      </c>
      <c r="BE54" s="230">
        <v>88750</v>
      </c>
      <c r="BF54" s="230">
        <v>-35000</v>
      </c>
      <c r="BG54" s="229">
        <v>-0.39439999999999997</v>
      </c>
      <c r="BH54" s="230">
        <v>10513750</v>
      </c>
      <c r="BI54" s="230">
        <v>27761250</v>
      </c>
      <c r="BJ54" s="230">
        <v>-17247500</v>
      </c>
      <c r="BK54" s="229">
        <v>-0.62129999999999996</v>
      </c>
      <c r="BL54" s="230">
        <v>4500000</v>
      </c>
      <c r="BM54" s="230">
        <v>10005000</v>
      </c>
      <c r="BN54" s="230">
        <v>-5505000</v>
      </c>
      <c r="BO54" s="229">
        <v>-0.55020000000000002</v>
      </c>
      <c r="BP54" s="230">
        <v>34312500</v>
      </c>
      <c r="BQ54" s="230">
        <v>42951250</v>
      </c>
      <c r="BR54" s="230">
        <v>-8638750</v>
      </c>
      <c r="BS54" s="229">
        <v>-0.2011</v>
      </c>
      <c r="BT54" s="230">
        <v>1442820</v>
      </c>
      <c r="BU54" s="230">
        <v>2517019</v>
      </c>
      <c r="BV54" s="230">
        <v>-1074199</v>
      </c>
      <c r="BW54" s="229">
        <v>-0.42680000000000001</v>
      </c>
      <c r="BX54" s="230">
        <v>30071250</v>
      </c>
      <c r="BY54" s="230">
        <v>29608750</v>
      </c>
      <c r="BZ54" s="230">
        <v>462500</v>
      </c>
      <c r="CA54" s="229">
        <v>1.5599999999999999E-2</v>
      </c>
      <c r="CB54" s="230">
        <v>19536250</v>
      </c>
      <c r="CC54" s="230">
        <v>27043750</v>
      </c>
      <c r="CD54" s="230">
        <v>-7507500</v>
      </c>
      <c r="CE54" s="229">
        <v>-0.27760000000000001</v>
      </c>
      <c r="CF54" s="230">
        <v>10231250</v>
      </c>
      <c r="CG54" s="230">
        <v>2272500</v>
      </c>
      <c r="CH54" s="230">
        <v>7958750</v>
      </c>
      <c r="CI54" s="229">
        <v>3.5022000000000002</v>
      </c>
      <c r="CJ54" s="230">
        <v>303750</v>
      </c>
      <c r="CK54" s="230">
        <v>292500</v>
      </c>
      <c r="CL54" s="230">
        <v>11250</v>
      </c>
      <c r="CM54" s="229">
        <v>3.85E-2</v>
      </c>
      <c r="CN54" s="230">
        <v>10115000</v>
      </c>
      <c r="CO54" s="230">
        <v>10671250</v>
      </c>
      <c r="CP54" s="230">
        <v>-556250</v>
      </c>
      <c r="CQ54" s="229">
        <v>-5.21E-2</v>
      </c>
      <c r="CR54" s="230">
        <v>8886250</v>
      </c>
      <c r="CS54" s="230">
        <v>8597500</v>
      </c>
      <c r="CT54" s="230">
        <v>288750</v>
      </c>
      <c r="CU54" s="229">
        <v>3.3599999999999998E-2</v>
      </c>
      <c r="CV54" s="230">
        <v>49072500</v>
      </c>
      <c r="CW54" s="230">
        <v>48877500</v>
      </c>
      <c r="CX54" s="230">
        <v>195000</v>
      </c>
      <c r="CY54" s="229">
        <v>4.0000000000000001E-3</v>
      </c>
      <c r="CZ54" s="228">
        <v>29.14</v>
      </c>
      <c r="DA54" s="228">
        <v>28.08</v>
      </c>
      <c r="DB54" s="228">
        <v>1.06</v>
      </c>
      <c r="DC54" s="228">
        <v>1.06</v>
      </c>
      <c r="DD54" s="228">
        <v>27.27</v>
      </c>
      <c r="DE54" s="228">
        <v>27.34</v>
      </c>
      <c r="DF54" s="228">
        <v>1.87</v>
      </c>
      <c r="DG54" s="228">
        <v>-7.0000000000000007E-2</v>
      </c>
      <c r="DH54" s="228">
        <v>28.93</v>
      </c>
      <c r="DI54" s="228">
        <v>27.2</v>
      </c>
      <c r="DJ54" s="228">
        <v>1.73</v>
      </c>
      <c r="DK54" s="228">
        <v>1.73</v>
      </c>
      <c r="DL54" s="228">
        <v>29.59</v>
      </c>
      <c r="DM54" s="228">
        <v>30.52</v>
      </c>
      <c r="DN54" s="228">
        <v>-0.93</v>
      </c>
      <c r="DO54" s="228">
        <v>-0.93</v>
      </c>
      <c r="DP54" s="228">
        <v>0.88</v>
      </c>
      <c r="DQ54" s="228">
        <v>0.81</v>
      </c>
      <c r="DR54" s="228">
        <v>7.0000000000000007E-2</v>
      </c>
      <c r="DS54" s="229">
        <v>8.6400000000000005E-2</v>
      </c>
      <c r="DT54" s="228">
        <v>480</v>
      </c>
      <c r="DU54" s="228">
        <v>440</v>
      </c>
      <c r="DV54" s="228">
        <v>0.43</v>
      </c>
      <c r="DW54" s="228">
        <v>0.36</v>
      </c>
      <c r="DX54" s="228">
        <v>7.0000000000000007E-2</v>
      </c>
      <c r="DY54" s="229">
        <v>0.19439999999999999</v>
      </c>
      <c r="DZ54" s="229">
        <v>0.3503</v>
      </c>
      <c r="EA54" s="230">
        <v>2565000</v>
      </c>
      <c r="EB54" s="229">
        <v>5.1999999999999998E-3</v>
      </c>
      <c r="EC54" s="229">
        <v>0.3503</v>
      </c>
      <c r="ED54" s="228">
        <v>2.4</v>
      </c>
      <c r="EE54" s="229">
        <v>5.1999999999999998E-3</v>
      </c>
      <c r="EF54" s="230">
        <v>653476</v>
      </c>
      <c r="EG54" s="230">
        <v>1047609</v>
      </c>
      <c r="EH54" s="229">
        <v>-0.37619999999999998</v>
      </c>
      <c r="EI54" s="229">
        <v>0.45290000000000002</v>
      </c>
      <c r="EJ54" s="231">
        <v>49864.54</v>
      </c>
      <c r="EK54" s="231">
        <v>20138.830000000002</v>
      </c>
      <c r="EL54" s="231">
        <v>88467.199999999997</v>
      </c>
      <c r="EM54" s="231">
        <v>5226</v>
      </c>
      <c r="EN54" s="231">
        <v>158470.57</v>
      </c>
      <c r="EO54" s="231">
        <v>199992.3</v>
      </c>
      <c r="EP54" s="231">
        <v>-41521.730000000003</v>
      </c>
      <c r="EQ54" s="229">
        <v>-0.20760000000000001</v>
      </c>
      <c r="ER54" s="231">
        <v>46877</v>
      </c>
      <c r="ES54" s="231">
        <v>37745</v>
      </c>
      <c r="ET54" s="231">
        <v>138438</v>
      </c>
      <c r="EU54" s="231">
        <v>76827821</v>
      </c>
      <c r="EV54" s="231">
        <v>223061</v>
      </c>
      <c r="EW54" s="231">
        <v>222042</v>
      </c>
      <c r="EX54" s="231">
        <v>1019</v>
      </c>
      <c r="EY54" s="229">
        <v>4.5999999999999999E-3</v>
      </c>
      <c r="EZ54" s="229">
        <v>0.63870000000000005</v>
      </c>
      <c r="FA54" s="227" t="s">
        <v>566</v>
      </c>
      <c r="FB54" s="161">
        <f t="shared" si="0"/>
        <v>10535000</v>
      </c>
    </row>
    <row r="55" spans="1:158" ht="17.25" thickBot="1" x14ac:dyDescent="0.3">
      <c r="A55" s="226">
        <v>46135</v>
      </c>
      <c r="B55" s="227" t="s">
        <v>157</v>
      </c>
      <c r="C55" s="227" t="s">
        <v>524</v>
      </c>
      <c r="D55" s="228">
        <v>325</v>
      </c>
      <c r="E55" s="231">
        <v>1955.6</v>
      </c>
      <c r="F55" s="231">
        <v>1990.6</v>
      </c>
      <c r="G55" s="228">
        <v>-35</v>
      </c>
      <c r="H55" s="229">
        <v>-1.7600000000000001E-2</v>
      </c>
      <c r="I55" s="231">
        <v>1958.8</v>
      </c>
      <c r="J55" s="231">
        <v>1992.8</v>
      </c>
      <c r="K55" s="228">
        <v>-34</v>
      </c>
      <c r="L55" s="229">
        <v>-1.7100000000000001E-2</v>
      </c>
      <c r="M55" s="231">
        <v>1955.6</v>
      </c>
      <c r="N55" s="231">
        <v>1990.6</v>
      </c>
      <c r="O55" s="228">
        <v>-35</v>
      </c>
      <c r="P55" s="229">
        <v>-1.7600000000000001E-2</v>
      </c>
      <c r="Q55" s="231">
        <v>1967</v>
      </c>
      <c r="R55" s="231">
        <v>1998.8</v>
      </c>
      <c r="S55" s="228">
        <v>-31.8</v>
      </c>
      <c r="T55" s="229">
        <v>-1.5900000000000001E-2</v>
      </c>
      <c r="U55" s="231">
        <v>1968.4</v>
      </c>
      <c r="V55" s="231">
        <v>1997.3</v>
      </c>
      <c r="W55" s="228">
        <v>-28.9</v>
      </c>
      <c r="X55" s="229">
        <v>-1.4500000000000001E-2</v>
      </c>
      <c r="Y55" s="228">
        <v>-3.2</v>
      </c>
      <c r="Z55" s="228">
        <v>-2.2000000000000002</v>
      </c>
      <c r="AA55" s="228">
        <v>-1</v>
      </c>
      <c r="AB55" s="229">
        <v>-1.6000000000000001E-3</v>
      </c>
      <c r="AC55" s="228">
        <v>-3.2</v>
      </c>
      <c r="AD55" s="228">
        <v>-2.2000000000000002</v>
      </c>
      <c r="AE55" s="228">
        <v>-1</v>
      </c>
      <c r="AF55" s="229">
        <v>-1.6000000000000001E-3</v>
      </c>
      <c r="AG55" s="228">
        <v>8.1999999999999993</v>
      </c>
      <c r="AH55" s="228">
        <v>6</v>
      </c>
      <c r="AI55" s="228">
        <v>2.2000000000000002</v>
      </c>
      <c r="AJ55" s="229">
        <v>4.1999999999999997E-3</v>
      </c>
      <c r="AK55" s="228">
        <v>9.6</v>
      </c>
      <c r="AL55" s="228">
        <v>4.5</v>
      </c>
      <c r="AM55" s="228">
        <v>5.0999999999999996</v>
      </c>
      <c r="AN55" s="229">
        <v>4.8999999999999998E-3</v>
      </c>
      <c r="AO55" s="231">
        <v>1957.01</v>
      </c>
      <c r="AP55" s="231">
        <v>1967.32</v>
      </c>
      <c r="AQ55" s="228">
        <v>0</v>
      </c>
      <c r="AR55" s="230">
        <v>2589275</v>
      </c>
      <c r="AS55" s="230">
        <v>476125</v>
      </c>
      <c r="AT55" s="230">
        <v>2113150</v>
      </c>
      <c r="AU55" s="229">
        <v>4.4382000000000001</v>
      </c>
      <c r="AV55" s="230">
        <v>1414400</v>
      </c>
      <c r="AW55" s="230">
        <v>366275</v>
      </c>
      <c r="AX55" s="230">
        <v>1048125</v>
      </c>
      <c r="AY55" s="229">
        <v>2.8616000000000001</v>
      </c>
      <c r="AZ55" s="230">
        <v>1172925</v>
      </c>
      <c r="BA55" s="230">
        <v>108550</v>
      </c>
      <c r="BB55" s="230">
        <v>1064375</v>
      </c>
      <c r="BC55" s="229">
        <v>9.8054000000000006</v>
      </c>
      <c r="BD55" s="230">
        <v>1950</v>
      </c>
      <c r="BE55" s="230">
        <v>1300</v>
      </c>
      <c r="BF55" s="228">
        <v>650</v>
      </c>
      <c r="BG55" s="229">
        <v>0.5</v>
      </c>
      <c r="BH55" s="230">
        <v>1268475</v>
      </c>
      <c r="BI55" s="230">
        <v>1025050</v>
      </c>
      <c r="BJ55" s="230">
        <v>243425</v>
      </c>
      <c r="BK55" s="229">
        <v>0.23749999999999999</v>
      </c>
      <c r="BL55" s="230">
        <v>910975</v>
      </c>
      <c r="BM55" s="230">
        <v>484575</v>
      </c>
      <c r="BN55" s="230">
        <v>426400</v>
      </c>
      <c r="BO55" s="229">
        <v>0.87990000000000002</v>
      </c>
      <c r="BP55" s="230">
        <v>4768725</v>
      </c>
      <c r="BQ55" s="230">
        <v>1985750</v>
      </c>
      <c r="BR55" s="230">
        <v>2782975</v>
      </c>
      <c r="BS55" s="229">
        <v>1.4015</v>
      </c>
      <c r="BT55" s="230">
        <v>158849</v>
      </c>
      <c r="BU55" s="230">
        <v>143014</v>
      </c>
      <c r="BV55" s="230">
        <v>15835</v>
      </c>
      <c r="BW55" s="229">
        <v>0.11070000000000001</v>
      </c>
      <c r="BX55" s="230">
        <v>2453750</v>
      </c>
      <c r="BY55" s="230">
        <v>2495675</v>
      </c>
      <c r="BZ55" s="230">
        <v>-41925</v>
      </c>
      <c r="CA55" s="229">
        <v>-1.6799999999999999E-2</v>
      </c>
      <c r="CB55" s="230">
        <v>1431950</v>
      </c>
      <c r="CC55" s="230">
        <v>2361775</v>
      </c>
      <c r="CD55" s="230">
        <v>-929825</v>
      </c>
      <c r="CE55" s="229">
        <v>-0.39369999999999999</v>
      </c>
      <c r="CF55" s="230">
        <v>1018550</v>
      </c>
      <c r="CG55" s="230">
        <v>131300</v>
      </c>
      <c r="CH55" s="230">
        <v>887250</v>
      </c>
      <c r="CI55" s="229">
        <v>6.7573999999999996</v>
      </c>
      <c r="CJ55" s="230">
        <v>3250</v>
      </c>
      <c r="CK55" s="230">
        <v>2600</v>
      </c>
      <c r="CL55" s="228">
        <v>650</v>
      </c>
      <c r="CM55" s="229">
        <v>0.25</v>
      </c>
      <c r="CN55" s="230">
        <v>1191775</v>
      </c>
      <c r="CO55" s="230">
        <v>1202175</v>
      </c>
      <c r="CP55" s="230">
        <v>-10400</v>
      </c>
      <c r="CQ55" s="229">
        <v>-8.6999999999999994E-3</v>
      </c>
      <c r="CR55" s="230">
        <v>880750</v>
      </c>
      <c r="CS55" s="230">
        <v>1058200</v>
      </c>
      <c r="CT55" s="230">
        <v>-177450</v>
      </c>
      <c r="CU55" s="229">
        <v>-0.16769999999999999</v>
      </c>
      <c r="CV55" s="230">
        <v>4526275</v>
      </c>
      <c r="CW55" s="230">
        <v>4756050</v>
      </c>
      <c r="CX55" s="230">
        <v>-229775</v>
      </c>
      <c r="CY55" s="229">
        <v>-4.8300000000000003E-2</v>
      </c>
      <c r="CZ55" s="228">
        <v>33.11</v>
      </c>
      <c r="DA55" s="228">
        <v>35.25</v>
      </c>
      <c r="DB55" s="228">
        <v>-2.14</v>
      </c>
      <c r="DC55" s="228">
        <v>-2.14</v>
      </c>
      <c r="DD55" s="228">
        <v>33.9</v>
      </c>
      <c r="DE55" s="228">
        <v>33.9</v>
      </c>
      <c r="DF55" s="228">
        <v>-0.79</v>
      </c>
      <c r="DG55" s="228">
        <v>0</v>
      </c>
      <c r="DH55" s="228">
        <v>32.44</v>
      </c>
      <c r="DI55" s="228">
        <v>31.99</v>
      </c>
      <c r="DJ55" s="228">
        <v>0.45</v>
      </c>
      <c r="DK55" s="228">
        <v>0.45</v>
      </c>
      <c r="DL55" s="228">
        <v>35.979999999999997</v>
      </c>
      <c r="DM55" s="228">
        <v>42.13</v>
      </c>
      <c r="DN55" s="228">
        <v>-6.15</v>
      </c>
      <c r="DO55" s="228">
        <v>-6.15</v>
      </c>
      <c r="DP55" s="228">
        <v>0.74</v>
      </c>
      <c r="DQ55" s="228">
        <v>0.88</v>
      </c>
      <c r="DR55" s="228">
        <v>-0.14000000000000001</v>
      </c>
      <c r="DS55" s="229">
        <v>-0.15909999999999999</v>
      </c>
      <c r="DT55" s="231">
        <v>2000</v>
      </c>
      <c r="DU55" s="231">
        <v>1800</v>
      </c>
      <c r="DV55" s="228">
        <v>0.72</v>
      </c>
      <c r="DW55" s="228">
        <v>0.47</v>
      </c>
      <c r="DX55" s="228">
        <v>0.25</v>
      </c>
      <c r="DY55" s="229">
        <v>0.53190000000000004</v>
      </c>
      <c r="DZ55" s="229">
        <v>0.41639999999999999</v>
      </c>
      <c r="EA55" s="230">
        <v>133900</v>
      </c>
      <c r="EB55" s="229">
        <v>5.7999999999999996E-3</v>
      </c>
      <c r="EC55" s="229">
        <v>0.41639999999999999</v>
      </c>
      <c r="ED55" s="228">
        <v>10.31</v>
      </c>
      <c r="EE55" s="229">
        <v>5.3E-3</v>
      </c>
      <c r="EF55" s="230">
        <v>70603</v>
      </c>
      <c r="EG55" s="230">
        <v>77377</v>
      </c>
      <c r="EH55" s="229">
        <v>-8.7499999999999994E-2</v>
      </c>
      <c r="EI55" s="229">
        <v>0.44450000000000001</v>
      </c>
      <c r="EJ55" s="231">
        <v>26164.21</v>
      </c>
      <c r="EK55" s="231">
        <v>17815.77</v>
      </c>
      <c r="EL55" s="231">
        <v>50793.55</v>
      </c>
      <c r="EM55" s="231">
        <v>1444</v>
      </c>
      <c r="EN55" s="231">
        <v>94773.53</v>
      </c>
      <c r="EO55" s="231">
        <v>39628.9</v>
      </c>
      <c r="EP55" s="231">
        <v>55144.63</v>
      </c>
      <c r="EQ55" s="229">
        <v>1.3915</v>
      </c>
      <c r="ER55" s="231">
        <v>24269</v>
      </c>
      <c r="ES55" s="231">
        <v>16228</v>
      </c>
      <c r="ET55" s="231">
        <v>48102</v>
      </c>
      <c r="EU55" s="231">
        <v>12425160</v>
      </c>
      <c r="EV55" s="231">
        <v>88599</v>
      </c>
      <c r="EW55" s="231">
        <v>93995</v>
      </c>
      <c r="EX55" s="231">
        <v>-5396</v>
      </c>
      <c r="EY55" s="229">
        <v>-5.74E-2</v>
      </c>
      <c r="EZ55" s="229">
        <v>0.36430000000000001</v>
      </c>
      <c r="FA55" s="227" t="s">
        <v>567</v>
      </c>
      <c r="FB55" s="161">
        <f t="shared" si="0"/>
        <v>1021800</v>
      </c>
    </row>
    <row r="56" spans="1:158" ht="17.25" thickBot="1" x14ac:dyDescent="0.3">
      <c r="A56" s="226">
        <v>46135</v>
      </c>
      <c r="B56" s="227" t="s">
        <v>614</v>
      </c>
      <c r="C56" s="227" t="s">
        <v>599</v>
      </c>
      <c r="D56" s="228">
        <v>2075</v>
      </c>
      <c r="E56" s="228">
        <v>450.35</v>
      </c>
      <c r="F56" s="228">
        <v>462.55</v>
      </c>
      <c r="G56" s="228">
        <v>-12.2</v>
      </c>
      <c r="H56" s="229">
        <v>-2.64E-2</v>
      </c>
      <c r="I56" s="228">
        <v>449.4</v>
      </c>
      <c r="J56" s="228">
        <v>462.7</v>
      </c>
      <c r="K56" s="228">
        <v>-13.3</v>
      </c>
      <c r="L56" s="229">
        <v>-2.87E-2</v>
      </c>
      <c r="M56" s="228">
        <v>450.35</v>
      </c>
      <c r="N56" s="228">
        <v>462.55</v>
      </c>
      <c r="O56" s="228">
        <v>-12.2</v>
      </c>
      <c r="P56" s="229">
        <v>-2.64E-2</v>
      </c>
      <c r="Q56" s="228">
        <v>452.7</v>
      </c>
      <c r="R56" s="228">
        <v>464.85</v>
      </c>
      <c r="S56" s="228">
        <v>-12.15</v>
      </c>
      <c r="T56" s="229">
        <v>-2.6100000000000002E-2</v>
      </c>
      <c r="U56" s="228">
        <v>454.8</v>
      </c>
      <c r="V56" s="228">
        <v>467</v>
      </c>
      <c r="W56" s="228">
        <v>-12.2</v>
      </c>
      <c r="X56" s="229">
        <v>-2.6100000000000002E-2</v>
      </c>
      <c r="Y56" s="228">
        <v>0.95</v>
      </c>
      <c r="Z56" s="228">
        <v>-0.15</v>
      </c>
      <c r="AA56" s="228">
        <v>1.1000000000000001</v>
      </c>
      <c r="AB56" s="229">
        <v>2.0999999999999999E-3</v>
      </c>
      <c r="AC56" s="228">
        <v>0.95</v>
      </c>
      <c r="AD56" s="228">
        <v>-0.15</v>
      </c>
      <c r="AE56" s="228">
        <v>1.1000000000000001</v>
      </c>
      <c r="AF56" s="229">
        <v>2.0999999999999999E-3</v>
      </c>
      <c r="AG56" s="228">
        <v>3.3</v>
      </c>
      <c r="AH56" s="228">
        <v>2.15</v>
      </c>
      <c r="AI56" s="228">
        <v>1.1499999999999999</v>
      </c>
      <c r="AJ56" s="229">
        <v>7.3000000000000001E-3</v>
      </c>
      <c r="AK56" s="228">
        <v>5.4</v>
      </c>
      <c r="AL56" s="228">
        <v>4.3</v>
      </c>
      <c r="AM56" s="228">
        <v>1.1000000000000001</v>
      </c>
      <c r="AN56" s="229">
        <v>1.2E-2</v>
      </c>
      <c r="AO56" s="228">
        <v>453.51</v>
      </c>
      <c r="AP56" s="228">
        <v>456.02</v>
      </c>
      <c r="AQ56" s="228">
        <v>0</v>
      </c>
      <c r="AR56" s="230">
        <v>21158775</v>
      </c>
      <c r="AS56" s="230">
        <v>18021375</v>
      </c>
      <c r="AT56" s="230">
        <v>3137400</v>
      </c>
      <c r="AU56" s="229">
        <v>0.1741</v>
      </c>
      <c r="AV56" s="230">
        <v>11159350</v>
      </c>
      <c r="AW56" s="230">
        <v>13286225</v>
      </c>
      <c r="AX56" s="230">
        <v>-2126875</v>
      </c>
      <c r="AY56" s="229">
        <v>-0.16009999999999999</v>
      </c>
      <c r="AZ56" s="230">
        <v>9922650</v>
      </c>
      <c r="BA56" s="230">
        <v>4695725</v>
      </c>
      <c r="BB56" s="230">
        <v>5226925</v>
      </c>
      <c r="BC56" s="229">
        <v>1.1131</v>
      </c>
      <c r="BD56" s="230">
        <v>76775</v>
      </c>
      <c r="BE56" s="230">
        <v>39425</v>
      </c>
      <c r="BF56" s="230">
        <v>37350</v>
      </c>
      <c r="BG56" s="229">
        <v>0.94740000000000002</v>
      </c>
      <c r="BH56" s="230">
        <v>18560875</v>
      </c>
      <c r="BI56" s="230">
        <v>32758025</v>
      </c>
      <c r="BJ56" s="230">
        <v>-14197150</v>
      </c>
      <c r="BK56" s="229">
        <v>-0.43340000000000001</v>
      </c>
      <c r="BL56" s="230">
        <v>6515500</v>
      </c>
      <c r="BM56" s="230">
        <v>18753850</v>
      </c>
      <c r="BN56" s="230">
        <v>-12238350</v>
      </c>
      <c r="BO56" s="229">
        <v>-0.65259999999999996</v>
      </c>
      <c r="BP56" s="230">
        <v>46235150</v>
      </c>
      <c r="BQ56" s="230">
        <v>69533250</v>
      </c>
      <c r="BR56" s="230">
        <v>-23298100</v>
      </c>
      <c r="BS56" s="229">
        <v>-0.33510000000000001</v>
      </c>
      <c r="BT56" s="230">
        <v>3290980</v>
      </c>
      <c r="BU56" s="230">
        <v>4647115</v>
      </c>
      <c r="BV56" s="230">
        <v>-1356135</v>
      </c>
      <c r="BW56" s="229">
        <v>-0.2918</v>
      </c>
      <c r="BX56" s="230">
        <v>31942550</v>
      </c>
      <c r="BY56" s="230">
        <v>31641675</v>
      </c>
      <c r="BZ56" s="230">
        <v>300875</v>
      </c>
      <c r="CA56" s="229">
        <v>9.4999999999999998E-3</v>
      </c>
      <c r="CB56" s="230">
        <v>21165000</v>
      </c>
      <c r="CC56" s="230">
        <v>28458625</v>
      </c>
      <c r="CD56" s="230">
        <v>-7293625</v>
      </c>
      <c r="CE56" s="229">
        <v>-0.25629999999999997</v>
      </c>
      <c r="CF56" s="230">
        <v>10582500</v>
      </c>
      <c r="CG56" s="230">
        <v>3029500</v>
      </c>
      <c r="CH56" s="230">
        <v>7553000</v>
      </c>
      <c r="CI56" s="229">
        <v>2.4931999999999999</v>
      </c>
      <c r="CJ56" s="230">
        <v>195050</v>
      </c>
      <c r="CK56" s="230">
        <v>153550</v>
      </c>
      <c r="CL56" s="230">
        <v>41500</v>
      </c>
      <c r="CM56" s="229">
        <v>0.27029999999999998</v>
      </c>
      <c r="CN56" s="230">
        <v>15004325</v>
      </c>
      <c r="CO56" s="230">
        <v>16361375</v>
      </c>
      <c r="CP56" s="230">
        <v>-1357050</v>
      </c>
      <c r="CQ56" s="229">
        <v>-8.2900000000000001E-2</v>
      </c>
      <c r="CR56" s="230">
        <v>5930350</v>
      </c>
      <c r="CS56" s="230">
        <v>6245750</v>
      </c>
      <c r="CT56" s="230">
        <v>-315400</v>
      </c>
      <c r="CU56" s="229">
        <v>-5.0500000000000003E-2</v>
      </c>
      <c r="CV56" s="230">
        <v>52877225</v>
      </c>
      <c r="CW56" s="230">
        <v>54248800</v>
      </c>
      <c r="CX56" s="230">
        <v>-1371575</v>
      </c>
      <c r="CY56" s="229">
        <v>-2.53E-2</v>
      </c>
      <c r="CZ56" s="228">
        <v>38.369999999999997</v>
      </c>
      <c r="DA56" s="228">
        <v>36.97</v>
      </c>
      <c r="DB56" s="228">
        <v>1.4</v>
      </c>
      <c r="DC56" s="228">
        <v>1.4</v>
      </c>
      <c r="DD56" s="228">
        <v>39.39</v>
      </c>
      <c r="DE56" s="228">
        <v>39.32</v>
      </c>
      <c r="DF56" s="228">
        <v>-1.02</v>
      </c>
      <c r="DG56" s="228">
        <v>7.0000000000000007E-2</v>
      </c>
      <c r="DH56" s="228">
        <v>38.200000000000003</v>
      </c>
      <c r="DI56" s="228">
        <v>37.28</v>
      </c>
      <c r="DJ56" s="228">
        <v>0.92</v>
      </c>
      <c r="DK56" s="228">
        <v>0.92</v>
      </c>
      <c r="DL56" s="228">
        <v>38.71</v>
      </c>
      <c r="DM56" s="228">
        <v>36.44</v>
      </c>
      <c r="DN56" s="228">
        <v>2.27</v>
      </c>
      <c r="DO56" s="228">
        <v>2.27</v>
      </c>
      <c r="DP56" s="228">
        <v>0.4</v>
      </c>
      <c r="DQ56" s="228">
        <v>0.38</v>
      </c>
      <c r="DR56" s="228">
        <v>0.02</v>
      </c>
      <c r="DS56" s="229">
        <v>5.2600000000000001E-2</v>
      </c>
      <c r="DT56" s="228">
        <v>470</v>
      </c>
      <c r="DU56" s="228">
        <v>450</v>
      </c>
      <c r="DV56" s="228">
        <v>0.35</v>
      </c>
      <c r="DW56" s="228">
        <v>0.56999999999999995</v>
      </c>
      <c r="DX56" s="228">
        <v>-0.22</v>
      </c>
      <c r="DY56" s="229">
        <v>-0.38600000000000001</v>
      </c>
      <c r="DZ56" s="229">
        <v>0.33739999999999998</v>
      </c>
      <c r="EA56" s="230">
        <v>3183050</v>
      </c>
      <c r="EB56" s="229">
        <v>5.1999999999999998E-3</v>
      </c>
      <c r="EC56" s="229">
        <v>0.33739999999999998</v>
      </c>
      <c r="ED56" s="228">
        <v>2.5099999999999998</v>
      </c>
      <c r="EE56" s="229">
        <v>5.4999999999999997E-3</v>
      </c>
      <c r="EF56" s="230">
        <v>1868251</v>
      </c>
      <c r="EG56" s="230">
        <v>2099499</v>
      </c>
      <c r="EH56" s="229">
        <v>-0.1101</v>
      </c>
      <c r="EI56" s="229">
        <v>0.56769999999999998</v>
      </c>
      <c r="EJ56" s="231">
        <v>88726.19</v>
      </c>
      <c r="EK56" s="231">
        <v>29713.08</v>
      </c>
      <c r="EL56" s="231">
        <v>96209.02</v>
      </c>
      <c r="EM56" s="231">
        <v>4437</v>
      </c>
      <c r="EN56" s="231">
        <v>214648.29</v>
      </c>
      <c r="EO56" s="231">
        <v>328699.77</v>
      </c>
      <c r="EP56" s="231">
        <v>-114051.48</v>
      </c>
      <c r="EQ56" s="229">
        <v>-0.34699999999999998</v>
      </c>
      <c r="ER56" s="231">
        <v>71811</v>
      </c>
      <c r="ES56" s="231">
        <v>26120</v>
      </c>
      <c r="ET56" s="231">
        <v>144111</v>
      </c>
      <c r="EU56" s="231">
        <v>83072620</v>
      </c>
      <c r="EV56" s="231">
        <v>242042</v>
      </c>
      <c r="EW56" s="231">
        <v>252470</v>
      </c>
      <c r="EX56" s="231">
        <v>-10428</v>
      </c>
      <c r="EY56" s="229">
        <v>-4.1300000000000003E-2</v>
      </c>
      <c r="EZ56" s="229">
        <v>0.63649999999999995</v>
      </c>
      <c r="FA56" s="227" t="s">
        <v>566</v>
      </c>
      <c r="FB56" s="161">
        <f t="shared" si="0"/>
        <v>10777550</v>
      </c>
    </row>
    <row r="57" spans="1:158" ht="17.25" thickBot="1" x14ac:dyDescent="0.3">
      <c r="A57" s="226">
        <v>46135</v>
      </c>
      <c r="B57" s="227" t="s">
        <v>170</v>
      </c>
      <c r="C57" s="227" t="s">
        <v>205</v>
      </c>
      <c r="D57" s="228">
        <v>100</v>
      </c>
      <c r="E57" s="231">
        <v>6369.5</v>
      </c>
      <c r="F57" s="231">
        <v>6286.5</v>
      </c>
      <c r="G57" s="228">
        <v>83</v>
      </c>
      <c r="H57" s="229">
        <v>1.32E-2</v>
      </c>
      <c r="I57" s="231">
        <v>6378.5</v>
      </c>
      <c r="J57" s="231">
        <v>6285.5</v>
      </c>
      <c r="K57" s="228">
        <v>93</v>
      </c>
      <c r="L57" s="229">
        <v>1.4800000000000001E-2</v>
      </c>
      <c r="M57" s="231">
        <v>6369.5</v>
      </c>
      <c r="N57" s="231">
        <v>6286.5</v>
      </c>
      <c r="O57" s="228">
        <v>83</v>
      </c>
      <c r="P57" s="229">
        <v>1.32E-2</v>
      </c>
      <c r="Q57" s="231">
        <v>6405</v>
      </c>
      <c r="R57" s="231">
        <v>6318.5</v>
      </c>
      <c r="S57" s="228">
        <v>86.5</v>
      </c>
      <c r="T57" s="229">
        <v>1.37E-2</v>
      </c>
      <c r="U57" s="231">
        <v>6455</v>
      </c>
      <c r="V57" s="231">
        <v>6355</v>
      </c>
      <c r="W57" s="228">
        <v>100</v>
      </c>
      <c r="X57" s="229">
        <v>1.5699999999999999E-2</v>
      </c>
      <c r="Y57" s="228">
        <v>-9</v>
      </c>
      <c r="Z57" s="228">
        <v>1</v>
      </c>
      <c r="AA57" s="228">
        <v>-10</v>
      </c>
      <c r="AB57" s="229">
        <v>-1.4E-3</v>
      </c>
      <c r="AC57" s="228">
        <v>-9</v>
      </c>
      <c r="AD57" s="228">
        <v>1</v>
      </c>
      <c r="AE57" s="228">
        <v>-10</v>
      </c>
      <c r="AF57" s="229">
        <v>-1.4E-3</v>
      </c>
      <c r="AG57" s="228">
        <v>26.5</v>
      </c>
      <c r="AH57" s="228">
        <v>33</v>
      </c>
      <c r="AI57" s="228">
        <v>-6.5</v>
      </c>
      <c r="AJ57" s="229">
        <v>4.1999999999999997E-3</v>
      </c>
      <c r="AK57" s="228">
        <v>76.5</v>
      </c>
      <c r="AL57" s="228">
        <v>69.5</v>
      </c>
      <c r="AM57" s="228">
        <v>7</v>
      </c>
      <c r="AN57" s="229">
        <v>1.2E-2</v>
      </c>
      <c r="AO57" s="231">
        <v>6381.43</v>
      </c>
      <c r="AP57" s="231">
        <v>6416.34</v>
      </c>
      <c r="AQ57" s="228">
        <v>0</v>
      </c>
      <c r="AR57" s="230">
        <v>1744600</v>
      </c>
      <c r="AS57" s="230">
        <v>778400</v>
      </c>
      <c r="AT57" s="230">
        <v>966200</v>
      </c>
      <c r="AU57" s="229">
        <v>1.2413000000000001</v>
      </c>
      <c r="AV57" s="230">
        <v>941100</v>
      </c>
      <c r="AW57" s="230">
        <v>433200</v>
      </c>
      <c r="AX57" s="230">
        <v>507900</v>
      </c>
      <c r="AY57" s="229">
        <v>1.1724000000000001</v>
      </c>
      <c r="AZ57" s="230">
        <v>745300</v>
      </c>
      <c r="BA57" s="230">
        <v>112100</v>
      </c>
      <c r="BB57" s="230">
        <v>633200</v>
      </c>
      <c r="BC57" s="229">
        <v>5.6485000000000003</v>
      </c>
      <c r="BD57" s="230">
        <v>58200</v>
      </c>
      <c r="BE57" s="230">
        <v>233100</v>
      </c>
      <c r="BF57" s="230">
        <v>-174900</v>
      </c>
      <c r="BG57" s="229">
        <v>-0.75029999999999997</v>
      </c>
      <c r="BH57" s="230">
        <v>4723100</v>
      </c>
      <c r="BI57" s="230">
        <v>1060200</v>
      </c>
      <c r="BJ57" s="230">
        <v>3662900</v>
      </c>
      <c r="BK57" s="229">
        <v>3.4548999999999999</v>
      </c>
      <c r="BL57" s="230">
        <v>1188000</v>
      </c>
      <c r="BM57" s="230">
        <v>546700</v>
      </c>
      <c r="BN57" s="230">
        <v>641300</v>
      </c>
      <c r="BO57" s="229">
        <v>1.173</v>
      </c>
      <c r="BP57" s="230">
        <v>7655700</v>
      </c>
      <c r="BQ57" s="230">
        <v>2385300</v>
      </c>
      <c r="BR57" s="230">
        <v>5270400</v>
      </c>
      <c r="BS57" s="229">
        <v>2.2094999999999998</v>
      </c>
      <c r="BT57" s="230">
        <v>419696</v>
      </c>
      <c r="BU57" s="230">
        <v>231535</v>
      </c>
      <c r="BV57" s="230">
        <v>188161</v>
      </c>
      <c r="BW57" s="229">
        <v>0.81269999999999998</v>
      </c>
      <c r="BX57" s="230">
        <v>2713700</v>
      </c>
      <c r="BY57" s="230">
        <v>2777700</v>
      </c>
      <c r="BZ57" s="230">
        <v>-64000</v>
      </c>
      <c r="CA57" s="229">
        <v>-2.3E-2</v>
      </c>
      <c r="CB57" s="230">
        <v>1577200</v>
      </c>
      <c r="CC57" s="230">
        <v>2308700</v>
      </c>
      <c r="CD57" s="230">
        <v>-731500</v>
      </c>
      <c r="CE57" s="229">
        <v>-0.31680000000000003</v>
      </c>
      <c r="CF57" s="230">
        <v>853600</v>
      </c>
      <c r="CG57" s="230">
        <v>234400</v>
      </c>
      <c r="CH57" s="230">
        <v>619200</v>
      </c>
      <c r="CI57" s="229">
        <v>2.6415999999999999</v>
      </c>
      <c r="CJ57" s="230">
        <v>282900</v>
      </c>
      <c r="CK57" s="230">
        <v>234600</v>
      </c>
      <c r="CL57" s="230">
        <v>48300</v>
      </c>
      <c r="CM57" s="229">
        <v>0.2059</v>
      </c>
      <c r="CN57" s="230">
        <v>815900</v>
      </c>
      <c r="CO57" s="230">
        <v>764200</v>
      </c>
      <c r="CP57" s="230">
        <v>51700</v>
      </c>
      <c r="CQ57" s="229">
        <v>6.7699999999999996E-2</v>
      </c>
      <c r="CR57" s="230">
        <v>873600</v>
      </c>
      <c r="CS57" s="230">
        <v>838000</v>
      </c>
      <c r="CT57" s="230">
        <v>35600</v>
      </c>
      <c r="CU57" s="229">
        <v>4.2500000000000003E-2</v>
      </c>
      <c r="CV57" s="230">
        <v>4403200</v>
      </c>
      <c r="CW57" s="230">
        <v>4379900</v>
      </c>
      <c r="CX57" s="230">
        <v>23300</v>
      </c>
      <c r="CY57" s="229">
        <v>5.3E-3</v>
      </c>
      <c r="CZ57" s="228">
        <v>27.71</v>
      </c>
      <c r="DA57" s="228">
        <v>23.37</v>
      </c>
      <c r="DB57" s="228">
        <v>4.34</v>
      </c>
      <c r="DC57" s="228">
        <v>4.34</v>
      </c>
      <c r="DD57" s="228">
        <v>29.54</v>
      </c>
      <c r="DE57" s="228">
        <v>29.54</v>
      </c>
      <c r="DF57" s="228">
        <v>-1.83</v>
      </c>
      <c r="DG57" s="228">
        <v>0</v>
      </c>
      <c r="DH57" s="228">
        <v>27.47</v>
      </c>
      <c r="DI57" s="228">
        <v>22.61</v>
      </c>
      <c r="DJ57" s="228">
        <v>4.8600000000000003</v>
      </c>
      <c r="DK57" s="228">
        <v>4.8600000000000003</v>
      </c>
      <c r="DL57" s="228">
        <v>28.55</v>
      </c>
      <c r="DM57" s="228">
        <v>24.86</v>
      </c>
      <c r="DN57" s="228">
        <v>3.69</v>
      </c>
      <c r="DO57" s="228">
        <v>3.69</v>
      </c>
      <c r="DP57" s="228">
        <v>1.07</v>
      </c>
      <c r="DQ57" s="228">
        <v>1.1000000000000001</v>
      </c>
      <c r="DR57" s="228">
        <v>-0.03</v>
      </c>
      <c r="DS57" s="229">
        <v>-2.7300000000000001E-2</v>
      </c>
      <c r="DT57" s="231">
        <v>6450</v>
      </c>
      <c r="DU57" s="231">
        <v>6000</v>
      </c>
      <c r="DV57" s="228">
        <v>0.25</v>
      </c>
      <c r="DW57" s="228">
        <v>0.52</v>
      </c>
      <c r="DX57" s="228">
        <v>-0.27</v>
      </c>
      <c r="DY57" s="229">
        <v>-0.51919999999999999</v>
      </c>
      <c r="DZ57" s="229">
        <v>0.41880000000000001</v>
      </c>
      <c r="EA57" s="230">
        <v>469000</v>
      </c>
      <c r="EB57" s="229">
        <v>5.5999999999999999E-3</v>
      </c>
      <c r="EC57" s="229">
        <v>0.41880000000000001</v>
      </c>
      <c r="ED57" s="228">
        <v>34.909999999999997</v>
      </c>
      <c r="EE57" s="229">
        <v>5.4999999999999997E-3</v>
      </c>
      <c r="EF57" s="230">
        <v>195312</v>
      </c>
      <c r="EG57" s="230">
        <v>126497</v>
      </c>
      <c r="EH57" s="229">
        <v>0.54400000000000004</v>
      </c>
      <c r="EI57" s="229">
        <v>0.46539999999999998</v>
      </c>
      <c r="EJ57" s="231">
        <v>309910.39</v>
      </c>
      <c r="EK57" s="231">
        <v>74006.28</v>
      </c>
      <c r="EL57" s="231">
        <v>111629.43</v>
      </c>
      <c r="EM57" s="231">
        <v>3551</v>
      </c>
      <c r="EN57" s="231">
        <v>495546.1</v>
      </c>
      <c r="EO57" s="231">
        <v>151020.78</v>
      </c>
      <c r="EP57" s="231">
        <v>344525.32</v>
      </c>
      <c r="EQ57" s="229">
        <v>2.2812999999999999</v>
      </c>
      <c r="ER57" s="231">
        <v>51866</v>
      </c>
      <c r="ES57" s="231">
        <v>51061</v>
      </c>
      <c r="ET57" s="231">
        <v>173394</v>
      </c>
      <c r="EU57" s="231">
        <v>15815194</v>
      </c>
      <c r="EV57" s="231">
        <v>276320</v>
      </c>
      <c r="EW57" s="231">
        <v>271985</v>
      </c>
      <c r="EX57" s="231">
        <v>4335</v>
      </c>
      <c r="EY57" s="229">
        <v>1.5900000000000001E-2</v>
      </c>
      <c r="EZ57" s="229">
        <v>0.27839999999999998</v>
      </c>
      <c r="FA57" s="227" t="s">
        <v>693</v>
      </c>
      <c r="FB57" s="161">
        <f t="shared" si="0"/>
        <v>1136500</v>
      </c>
    </row>
    <row r="58" spans="1:158" ht="17.25" thickBot="1" x14ac:dyDescent="0.3">
      <c r="A58" s="226">
        <v>46135</v>
      </c>
      <c r="B58" s="227" t="s">
        <v>184</v>
      </c>
      <c r="C58" s="227" t="s">
        <v>512</v>
      </c>
      <c r="D58" s="228">
        <v>50</v>
      </c>
      <c r="E58" s="231">
        <v>10827.5</v>
      </c>
      <c r="F58" s="231">
        <v>11279</v>
      </c>
      <c r="G58" s="228">
        <v>-451.5</v>
      </c>
      <c r="H58" s="229">
        <v>-0.04</v>
      </c>
      <c r="I58" s="231">
        <v>10866.5</v>
      </c>
      <c r="J58" s="231">
        <v>11267</v>
      </c>
      <c r="K58" s="228">
        <v>-400.5</v>
      </c>
      <c r="L58" s="229">
        <v>-3.5499999999999997E-2</v>
      </c>
      <c r="M58" s="231">
        <v>10827.5</v>
      </c>
      <c r="N58" s="231">
        <v>11279</v>
      </c>
      <c r="O58" s="228">
        <v>-451.5</v>
      </c>
      <c r="P58" s="229">
        <v>-0.04</v>
      </c>
      <c r="Q58" s="231">
        <v>10662</v>
      </c>
      <c r="R58" s="231">
        <v>11184.5</v>
      </c>
      <c r="S58" s="228">
        <v>-522.5</v>
      </c>
      <c r="T58" s="229">
        <v>-4.6699999999999998E-2</v>
      </c>
      <c r="U58" s="231">
        <v>10604</v>
      </c>
      <c r="V58" s="231">
        <v>11159</v>
      </c>
      <c r="W58" s="228">
        <v>-555</v>
      </c>
      <c r="X58" s="229">
        <v>-4.9700000000000001E-2</v>
      </c>
      <c r="Y58" s="228">
        <v>-39</v>
      </c>
      <c r="Z58" s="228">
        <v>12</v>
      </c>
      <c r="AA58" s="228">
        <v>-51</v>
      </c>
      <c r="AB58" s="229">
        <v>-3.5999999999999999E-3</v>
      </c>
      <c r="AC58" s="228">
        <v>-39</v>
      </c>
      <c r="AD58" s="228">
        <v>12</v>
      </c>
      <c r="AE58" s="228">
        <v>-51</v>
      </c>
      <c r="AF58" s="229">
        <v>-3.5999999999999999E-3</v>
      </c>
      <c r="AG58" s="228">
        <v>-204.5</v>
      </c>
      <c r="AH58" s="228">
        <v>-82.5</v>
      </c>
      <c r="AI58" s="228">
        <v>-122</v>
      </c>
      <c r="AJ58" s="229">
        <v>-1.8800000000000001E-2</v>
      </c>
      <c r="AK58" s="228">
        <v>-262.5</v>
      </c>
      <c r="AL58" s="228">
        <v>-108</v>
      </c>
      <c r="AM58" s="228">
        <v>-154.5</v>
      </c>
      <c r="AN58" s="229">
        <v>-2.4199999999999999E-2</v>
      </c>
      <c r="AO58" s="231">
        <v>10919.84</v>
      </c>
      <c r="AP58" s="231">
        <v>10767.34</v>
      </c>
      <c r="AQ58" s="228">
        <v>0</v>
      </c>
      <c r="AR58" s="230">
        <v>2790700</v>
      </c>
      <c r="AS58" s="230">
        <v>856500</v>
      </c>
      <c r="AT58" s="230">
        <v>1934200</v>
      </c>
      <c r="AU58" s="229">
        <v>2.2583000000000002</v>
      </c>
      <c r="AV58" s="230">
        <v>1400600</v>
      </c>
      <c r="AW58" s="230">
        <v>523200</v>
      </c>
      <c r="AX58" s="230">
        <v>877400</v>
      </c>
      <c r="AY58" s="229">
        <v>1.677</v>
      </c>
      <c r="AZ58" s="230">
        <v>1337100</v>
      </c>
      <c r="BA58" s="230">
        <v>321650</v>
      </c>
      <c r="BB58" s="230">
        <v>1015450</v>
      </c>
      <c r="BC58" s="229">
        <v>3.157</v>
      </c>
      <c r="BD58" s="230">
        <v>53000</v>
      </c>
      <c r="BE58" s="230">
        <v>11650</v>
      </c>
      <c r="BF58" s="230">
        <v>41350</v>
      </c>
      <c r="BG58" s="229">
        <v>3.5493999999999999</v>
      </c>
      <c r="BH58" s="230">
        <v>3942900</v>
      </c>
      <c r="BI58" s="230">
        <v>2240900</v>
      </c>
      <c r="BJ58" s="230">
        <v>1702000</v>
      </c>
      <c r="BK58" s="229">
        <v>0.75949999999999995</v>
      </c>
      <c r="BL58" s="230">
        <v>2544700</v>
      </c>
      <c r="BM58" s="230">
        <v>1348300</v>
      </c>
      <c r="BN58" s="230">
        <v>1196400</v>
      </c>
      <c r="BO58" s="229">
        <v>0.88729999999999998</v>
      </c>
      <c r="BP58" s="230">
        <v>9278300</v>
      </c>
      <c r="BQ58" s="230">
        <v>4445700</v>
      </c>
      <c r="BR58" s="230">
        <v>4832600</v>
      </c>
      <c r="BS58" s="229">
        <v>1.087</v>
      </c>
      <c r="BT58" s="230">
        <v>802896</v>
      </c>
      <c r="BU58" s="230">
        <v>516764</v>
      </c>
      <c r="BV58" s="230">
        <v>286132</v>
      </c>
      <c r="BW58" s="229">
        <v>0.55369999999999997</v>
      </c>
      <c r="BX58" s="230">
        <v>2910150</v>
      </c>
      <c r="BY58" s="230">
        <v>3040700</v>
      </c>
      <c r="BZ58" s="230">
        <v>-130550</v>
      </c>
      <c r="CA58" s="229">
        <v>-4.2900000000000001E-2</v>
      </c>
      <c r="CB58" s="230">
        <v>1379600</v>
      </c>
      <c r="CC58" s="230">
        <v>2273350</v>
      </c>
      <c r="CD58" s="230">
        <v>-893750</v>
      </c>
      <c r="CE58" s="229">
        <v>-0.3931</v>
      </c>
      <c r="CF58" s="230">
        <v>1437750</v>
      </c>
      <c r="CG58" s="230">
        <v>704000</v>
      </c>
      <c r="CH58" s="230">
        <v>733750</v>
      </c>
      <c r="CI58" s="229">
        <v>1.0423</v>
      </c>
      <c r="CJ58" s="230">
        <v>92800</v>
      </c>
      <c r="CK58" s="230">
        <v>63350</v>
      </c>
      <c r="CL58" s="230">
        <v>29450</v>
      </c>
      <c r="CM58" s="229">
        <v>0.46489999999999998</v>
      </c>
      <c r="CN58" s="230">
        <v>2159950</v>
      </c>
      <c r="CO58" s="230">
        <v>2021800</v>
      </c>
      <c r="CP58" s="230">
        <v>138150</v>
      </c>
      <c r="CQ58" s="229">
        <v>6.83E-2</v>
      </c>
      <c r="CR58" s="230">
        <v>1514600</v>
      </c>
      <c r="CS58" s="230">
        <v>1522150</v>
      </c>
      <c r="CT58" s="230">
        <v>-7550</v>
      </c>
      <c r="CU58" s="229">
        <v>-5.0000000000000001E-3</v>
      </c>
      <c r="CV58" s="230">
        <v>6584700</v>
      </c>
      <c r="CW58" s="230">
        <v>6584650</v>
      </c>
      <c r="CX58" s="228">
        <v>50</v>
      </c>
      <c r="CY58" s="229">
        <v>0</v>
      </c>
      <c r="CZ58" s="228">
        <v>51.63</v>
      </c>
      <c r="DA58" s="228">
        <v>44.39</v>
      </c>
      <c r="DB58" s="228">
        <v>7.24</v>
      </c>
      <c r="DC58" s="228">
        <v>7.24</v>
      </c>
      <c r="DD58" s="228">
        <v>49.22</v>
      </c>
      <c r="DE58" s="228">
        <v>49.03</v>
      </c>
      <c r="DF58" s="228">
        <v>2.41</v>
      </c>
      <c r="DG58" s="228">
        <v>0.19</v>
      </c>
      <c r="DH58" s="228">
        <v>51.63</v>
      </c>
      <c r="DI58" s="228">
        <v>43.13</v>
      </c>
      <c r="DJ58" s="228">
        <v>8.5</v>
      </c>
      <c r="DK58" s="228">
        <v>8.5</v>
      </c>
      <c r="DL58" s="228">
        <v>51.62</v>
      </c>
      <c r="DM58" s="228">
        <v>46.49</v>
      </c>
      <c r="DN58" s="228">
        <v>5.13</v>
      </c>
      <c r="DO58" s="228">
        <v>5.13</v>
      </c>
      <c r="DP58" s="228">
        <v>0.7</v>
      </c>
      <c r="DQ58" s="228">
        <v>0.75</v>
      </c>
      <c r="DR58" s="228">
        <v>-0.05</v>
      </c>
      <c r="DS58" s="229">
        <v>-6.6699999999999995E-2</v>
      </c>
      <c r="DT58" s="231">
        <v>12000</v>
      </c>
      <c r="DU58" s="231">
        <v>10000</v>
      </c>
      <c r="DV58" s="228">
        <v>0.65</v>
      </c>
      <c r="DW58" s="228">
        <v>0.6</v>
      </c>
      <c r="DX58" s="228">
        <v>0.05</v>
      </c>
      <c r="DY58" s="229">
        <v>8.3299999999999999E-2</v>
      </c>
      <c r="DZ58" s="229">
        <v>0.52590000000000003</v>
      </c>
      <c r="EA58" s="230">
        <v>767350</v>
      </c>
      <c r="EB58" s="229">
        <v>-1.5299999999999999E-2</v>
      </c>
      <c r="EC58" s="229">
        <v>0.52590000000000003</v>
      </c>
      <c r="ED58" s="228">
        <v>-152.5</v>
      </c>
      <c r="EE58" s="229">
        <v>-1.4E-2</v>
      </c>
      <c r="EF58" s="230">
        <v>293392</v>
      </c>
      <c r="EG58" s="230">
        <v>154322</v>
      </c>
      <c r="EH58" s="229">
        <v>0.9012</v>
      </c>
      <c r="EI58" s="229">
        <v>0.3654</v>
      </c>
      <c r="EJ58" s="231">
        <v>458695.38</v>
      </c>
      <c r="EK58" s="231">
        <v>273030.25</v>
      </c>
      <c r="EL58" s="231">
        <v>302587.96000000002</v>
      </c>
      <c r="EM58" s="231">
        <v>18290</v>
      </c>
      <c r="EN58" s="231">
        <v>1034313.59</v>
      </c>
      <c r="EO58" s="231">
        <v>507333.98</v>
      </c>
      <c r="EP58" s="231">
        <v>526979.61</v>
      </c>
      <c r="EQ58" s="229">
        <v>1.0387</v>
      </c>
      <c r="ER58" s="231">
        <v>245369</v>
      </c>
      <c r="ES58" s="231">
        <v>155480</v>
      </c>
      <c r="ET58" s="231">
        <v>312510</v>
      </c>
      <c r="EU58" s="231">
        <v>6478285</v>
      </c>
      <c r="EV58" s="231">
        <v>713359</v>
      </c>
      <c r="EW58" s="231">
        <v>729681</v>
      </c>
      <c r="EX58" s="231">
        <v>-16322</v>
      </c>
      <c r="EY58" s="229">
        <v>-2.24E-2</v>
      </c>
      <c r="EZ58" s="229">
        <v>1.0164</v>
      </c>
      <c r="FA58" s="227" t="s">
        <v>567</v>
      </c>
      <c r="FB58" s="161">
        <f t="shared" si="0"/>
        <v>1530550</v>
      </c>
    </row>
    <row r="59" spans="1:158" ht="17.25" thickBot="1" x14ac:dyDescent="0.3">
      <c r="A59" s="226">
        <v>46135</v>
      </c>
      <c r="B59" s="227" t="s">
        <v>206</v>
      </c>
      <c r="C59" s="227" t="s">
        <v>207</v>
      </c>
      <c r="D59" s="228">
        <v>825</v>
      </c>
      <c r="E59" s="228">
        <v>591.9</v>
      </c>
      <c r="F59" s="228">
        <v>610.1</v>
      </c>
      <c r="G59" s="228">
        <v>-18.2</v>
      </c>
      <c r="H59" s="229">
        <v>-2.98E-2</v>
      </c>
      <c r="I59" s="228">
        <v>592.79999999999995</v>
      </c>
      <c r="J59" s="228">
        <v>610.65</v>
      </c>
      <c r="K59" s="228">
        <v>-17.850000000000001</v>
      </c>
      <c r="L59" s="229">
        <v>-2.92E-2</v>
      </c>
      <c r="M59" s="228">
        <v>591.9</v>
      </c>
      <c r="N59" s="228">
        <v>610.1</v>
      </c>
      <c r="O59" s="228">
        <v>-18.2</v>
      </c>
      <c r="P59" s="229">
        <v>-2.98E-2</v>
      </c>
      <c r="Q59" s="228">
        <v>595.1</v>
      </c>
      <c r="R59" s="228">
        <v>613.6</v>
      </c>
      <c r="S59" s="228">
        <v>-18.5</v>
      </c>
      <c r="T59" s="229">
        <v>-3.0099999999999998E-2</v>
      </c>
      <c r="U59" s="228">
        <v>598.35</v>
      </c>
      <c r="V59" s="228">
        <v>617.20000000000005</v>
      </c>
      <c r="W59" s="228">
        <v>-18.850000000000001</v>
      </c>
      <c r="X59" s="229">
        <v>-3.0499999999999999E-2</v>
      </c>
      <c r="Y59" s="228">
        <v>-0.9</v>
      </c>
      <c r="Z59" s="228">
        <v>-0.55000000000000004</v>
      </c>
      <c r="AA59" s="228">
        <v>-0.35</v>
      </c>
      <c r="AB59" s="229">
        <v>-1.5E-3</v>
      </c>
      <c r="AC59" s="228">
        <v>-0.9</v>
      </c>
      <c r="AD59" s="228">
        <v>-0.55000000000000004</v>
      </c>
      <c r="AE59" s="228">
        <v>-0.35</v>
      </c>
      <c r="AF59" s="229">
        <v>-1.5E-3</v>
      </c>
      <c r="AG59" s="228">
        <v>2.2999999999999998</v>
      </c>
      <c r="AH59" s="228">
        <v>2.95</v>
      </c>
      <c r="AI59" s="228">
        <v>-0.65</v>
      </c>
      <c r="AJ59" s="229">
        <v>3.8999999999999998E-3</v>
      </c>
      <c r="AK59" s="228">
        <v>5.55</v>
      </c>
      <c r="AL59" s="228">
        <v>6.55</v>
      </c>
      <c r="AM59" s="228">
        <v>-1</v>
      </c>
      <c r="AN59" s="229">
        <v>9.4000000000000004E-3</v>
      </c>
      <c r="AO59" s="228">
        <v>597.55999999999995</v>
      </c>
      <c r="AP59" s="228">
        <v>600.92999999999995</v>
      </c>
      <c r="AQ59" s="228">
        <v>0</v>
      </c>
      <c r="AR59" s="230">
        <v>19587975</v>
      </c>
      <c r="AS59" s="230">
        <v>12108525</v>
      </c>
      <c r="AT59" s="230">
        <v>7479450</v>
      </c>
      <c r="AU59" s="229">
        <v>0.61770000000000003</v>
      </c>
      <c r="AV59" s="230">
        <v>10205250</v>
      </c>
      <c r="AW59" s="230">
        <v>7307025</v>
      </c>
      <c r="AX59" s="230">
        <v>2898225</v>
      </c>
      <c r="AY59" s="229">
        <v>0.39660000000000001</v>
      </c>
      <c r="AZ59" s="230">
        <v>9287850</v>
      </c>
      <c r="BA59" s="230">
        <v>3885750</v>
      </c>
      <c r="BB59" s="230">
        <v>5402100</v>
      </c>
      <c r="BC59" s="229">
        <v>1.3902000000000001</v>
      </c>
      <c r="BD59" s="230">
        <v>94875</v>
      </c>
      <c r="BE59" s="230">
        <v>915750</v>
      </c>
      <c r="BF59" s="230">
        <v>-820875</v>
      </c>
      <c r="BG59" s="229">
        <v>-0.89639999999999997</v>
      </c>
      <c r="BH59" s="230">
        <v>14858250</v>
      </c>
      <c r="BI59" s="230">
        <v>14364075</v>
      </c>
      <c r="BJ59" s="230">
        <v>494175</v>
      </c>
      <c r="BK59" s="229">
        <v>3.44E-2</v>
      </c>
      <c r="BL59" s="230">
        <v>10557525</v>
      </c>
      <c r="BM59" s="230">
        <v>7897725</v>
      </c>
      <c r="BN59" s="230">
        <v>2659800</v>
      </c>
      <c r="BO59" s="229">
        <v>0.33679999999999999</v>
      </c>
      <c r="BP59" s="230">
        <v>45003750</v>
      </c>
      <c r="BQ59" s="230">
        <v>34370325</v>
      </c>
      <c r="BR59" s="230">
        <v>10633425</v>
      </c>
      <c r="BS59" s="229">
        <v>0.30940000000000001</v>
      </c>
      <c r="BT59" s="230">
        <v>3301381</v>
      </c>
      <c r="BU59" s="230">
        <v>3775403</v>
      </c>
      <c r="BV59" s="230">
        <v>-474022</v>
      </c>
      <c r="BW59" s="229">
        <v>-0.12559999999999999</v>
      </c>
      <c r="BX59" s="230">
        <v>49207950</v>
      </c>
      <c r="BY59" s="230">
        <v>48912600</v>
      </c>
      <c r="BZ59" s="230">
        <v>295350</v>
      </c>
      <c r="CA59" s="229">
        <v>6.0000000000000001E-3</v>
      </c>
      <c r="CB59" s="230">
        <v>30744450</v>
      </c>
      <c r="CC59" s="230">
        <v>38233800</v>
      </c>
      <c r="CD59" s="230">
        <v>-7489350</v>
      </c>
      <c r="CE59" s="229">
        <v>-0.19589999999999999</v>
      </c>
      <c r="CF59" s="230">
        <v>15912600</v>
      </c>
      <c r="CG59" s="230">
        <v>8189775</v>
      </c>
      <c r="CH59" s="230">
        <v>7722825</v>
      </c>
      <c r="CI59" s="229">
        <v>0.94299999999999995</v>
      </c>
      <c r="CJ59" s="230">
        <v>2550900</v>
      </c>
      <c r="CK59" s="230">
        <v>2489025</v>
      </c>
      <c r="CL59" s="230">
        <v>61875</v>
      </c>
      <c r="CM59" s="229">
        <v>2.4899999999999999E-2</v>
      </c>
      <c r="CN59" s="230">
        <v>12077175</v>
      </c>
      <c r="CO59" s="230">
        <v>11515350</v>
      </c>
      <c r="CP59" s="230">
        <v>561825</v>
      </c>
      <c r="CQ59" s="229">
        <v>4.8800000000000003E-2</v>
      </c>
      <c r="CR59" s="230">
        <v>11631675</v>
      </c>
      <c r="CS59" s="230">
        <v>11930325</v>
      </c>
      <c r="CT59" s="230">
        <v>-298650</v>
      </c>
      <c r="CU59" s="229">
        <v>-2.5000000000000001E-2</v>
      </c>
      <c r="CV59" s="230">
        <v>72916800</v>
      </c>
      <c r="CW59" s="230">
        <v>72358275</v>
      </c>
      <c r="CX59" s="230">
        <v>558525</v>
      </c>
      <c r="CY59" s="229">
        <v>7.7000000000000002E-3</v>
      </c>
      <c r="CZ59" s="228">
        <v>37.31</v>
      </c>
      <c r="DA59" s="228">
        <v>32.58</v>
      </c>
      <c r="DB59" s="228">
        <v>4.7300000000000004</v>
      </c>
      <c r="DC59" s="228">
        <v>4.7300000000000004</v>
      </c>
      <c r="DD59" s="228">
        <v>37.99</v>
      </c>
      <c r="DE59" s="228">
        <v>37.869999999999997</v>
      </c>
      <c r="DF59" s="228">
        <v>-0.68</v>
      </c>
      <c r="DG59" s="228">
        <v>0.12</v>
      </c>
      <c r="DH59" s="228">
        <v>37.159999999999997</v>
      </c>
      <c r="DI59" s="228">
        <v>31.02</v>
      </c>
      <c r="DJ59" s="228">
        <v>6.14</v>
      </c>
      <c r="DK59" s="228">
        <v>6.14</v>
      </c>
      <c r="DL59" s="228">
        <v>37.56</v>
      </c>
      <c r="DM59" s="228">
        <v>35.42</v>
      </c>
      <c r="DN59" s="228">
        <v>2.14</v>
      </c>
      <c r="DO59" s="228">
        <v>2.14</v>
      </c>
      <c r="DP59" s="228">
        <v>0.96</v>
      </c>
      <c r="DQ59" s="228">
        <v>1.04</v>
      </c>
      <c r="DR59" s="228">
        <v>-0.08</v>
      </c>
      <c r="DS59" s="229">
        <v>-7.6899999999999996E-2</v>
      </c>
      <c r="DT59" s="228">
        <v>600</v>
      </c>
      <c r="DU59" s="228">
        <v>540</v>
      </c>
      <c r="DV59" s="228">
        <v>0.71</v>
      </c>
      <c r="DW59" s="228">
        <v>0.55000000000000004</v>
      </c>
      <c r="DX59" s="228">
        <v>0.16</v>
      </c>
      <c r="DY59" s="229">
        <v>0.29089999999999999</v>
      </c>
      <c r="DZ59" s="229">
        <v>0.37519999999999998</v>
      </c>
      <c r="EA59" s="230">
        <v>10678800</v>
      </c>
      <c r="EB59" s="229">
        <v>5.4000000000000003E-3</v>
      </c>
      <c r="EC59" s="229">
        <v>0.37519999999999998</v>
      </c>
      <c r="ED59" s="228">
        <v>3.37</v>
      </c>
      <c r="EE59" s="229">
        <v>5.5999999999999999E-3</v>
      </c>
      <c r="EF59" s="230">
        <v>1742445</v>
      </c>
      <c r="EG59" s="230">
        <v>1828886</v>
      </c>
      <c r="EH59" s="229">
        <v>-4.7300000000000002E-2</v>
      </c>
      <c r="EI59" s="229">
        <v>0.52780000000000005</v>
      </c>
      <c r="EJ59" s="231">
        <v>92091.59</v>
      </c>
      <c r="EK59" s="231">
        <v>62452.54</v>
      </c>
      <c r="EL59" s="231">
        <v>117367.96</v>
      </c>
      <c r="EM59" s="231">
        <v>9241</v>
      </c>
      <c r="EN59" s="231">
        <v>271912.09000000003</v>
      </c>
      <c r="EO59" s="231">
        <v>211248.59</v>
      </c>
      <c r="EP59" s="231">
        <v>60663.5</v>
      </c>
      <c r="EQ59" s="229">
        <v>0.28720000000000001</v>
      </c>
      <c r="ER59" s="231">
        <v>71507</v>
      </c>
      <c r="ES59" s="231">
        <v>64853</v>
      </c>
      <c r="ET59" s="231">
        <v>291936</v>
      </c>
      <c r="EU59" s="231">
        <v>96251298</v>
      </c>
      <c r="EV59" s="231">
        <v>428295</v>
      </c>
      <c r="EW59" s="231">
        <v>433749</v>
      </c>
      <c r="EX59" s="231">
        <v>-5454</v>
      </c>
      <c r="EY59" s="229">
        <v>-1.26E-2</v>
      </c>
      <c r="EZ59" s="229">
        <v>0.75760000000000005</v>
      </c>
      <c r="FA59" s="227" t="s">
        <v>566</v>
      </c>
      <c r="FB59" s="161">
        <f t="shared" si="0"/>
        <v>18463500</v>
      </c>
    </row>
    <row r="60" spans="1:158" ht="17.25" thickBot="1" x14ac:dyDescent="0.3">
      <c r="A60" s="226">
        <v>46135</v>
      </c>
      <c r="B60" s="227" t="s">
        <v>614</v>
      </c>
      <c r="C60" s="227" t="s">
        <v>582</v>
      </c>
      <c r="D60" s="228">
        <v>150</v>
      </c>
      <c r="E60" s="231">
        <v>4529.3</v>
      </c>
      <c r="F60" s="231">
        <v>4592.6000000000004</v>
      </c>
      <c r="G60" s="228">
        <v>-63.3</v>
      </c>
      <c r="H60" s="229">
        <v>-1.38E-2</v>
      </c>
      <c r="I60" s="231">
        <v>4521.2</v>
      </c>
      <c r="J60" s="231">
        <v>4594.8</v>
      </c>
      <c r="K60" s="228">
        <v>-73.599999999999994</v>
      </c>
      <c r="L60" s="229">
        <v>-1.6E-2</v>
      </c>
      <c r="M60" s="231">
        <v>4529.3</v>
      </c>
      <c r="N60" s="231">
        <v>4592.6000000000004</v>
      </c>
      <c r="O60" s="228">
        <v>-63.3</v>
      </c>
      <c r="P60" s="229">
        <v>-1.38E-2</v>
      </c>
      <c r="Q60" s="231">
        <v>4526.1000000000004</v>
      </c>
      <c r="R60" s="231">
        <v>4594.8999999999996</v>
      </c>
      <c r="S60" s="228">
        <v>-68.8</v>
      </c>
      <c r="T60" s="229">
        <v>-1.4999999999999999E-2</v>
      </c>
      <c r="U60" s="231">
        <v>4520</v>
      </c>
      <c r="V60" s="231">
        <v>4598.8</v>
      </c>
      <c r="W60" s="228">
        <v>-78.8</v>
      </c>
      <c r="X60" s="229">
        <v>-1.7100000000000001E-2</v>
      </c>
      <c r="Y60" s="228">
        <v>8.1</v>
      </c>
      <c r="Z60" s="228">
        <v>-2.2000000000000002</v>
      </c>
      <c r="AA60" s="228">
        <v>10.3</v>
      </c>
      <c r="AB60" s="229">
        <v>1.8E-3</v>
      </c>
      <c r="AC60" s="228">
        <v>8.1</v>
      </c>
      <c r="AD60" s="228">
        <v>-2.2000000000000002</v>
      </c>
      <c r="AE60" s="228">
        <v>10.3</v>
      </c>
      <c r="AF60" s="229">
        <v>1.8E-3</v>
      </c>
      <c r="AG60" s="228">
        <v>4.9000000000000004</v>
      </c>
      <c r="AH60" s="228">
        <v>0.1</v>
      </c>
      <c r="AI60" s="228">
        <v>4.8</v>
      </c>
      <c r="AJ60" s="229">
        <v>1.1000000000000001E-3</v>
      </c>
      <c r="AK60" s="228">
        <v>-1.2</v>
      </c>
      <c r="AL60" s="228">
        <v>4</v>
      </c>
      <c r="AM60" s="228">
        <v>-5.2</v>
      </c>
      <c r="AN60" s="229">
        <v>-2.9999999999999997E-4</v>
      </c>
      <c r="AO60" s="231">
        <v>4549.7700000000004</v>
      </c>
      <c r="AP60" s="231">
        <v>4536.55</v>
      </c>
      <c r="AQ60" s="228">
        <v>0</v>
      </c>
      <c r="AR60" s="230">
        <v>3758100</v>
      </c>
      <c r="AS60" s="230">
        <v>694350</v>
      </c>
      <c r="AT60" s="230">
        <v>3063750</v>
      </c>
      <c r="AU60" s="229">
        <v>4.4123999999999999</v>
      </c>
      <c r="AV60" s="230">
        <v>1911450</v>
      </c>
      <c r="AW60" s="230">
        <v>496950</v>
      </c>
      <c r="AX60" s="230">
        <v>1414500</v>
      </c>
      <c r="AY60" s="229">
        <v>2.8464</v>
      </c>
      <c r="AZ60" s="230">
        <v>1841400</v>
      </c>
      <c r="BA60" s="230">
        <v>192150</v>
      </c>
      <c r="BB60" s="230">
        <v>1649250</v>
      </c>
      <c r="BC60" s="229">
        <v>8.5831</v>
      </c>
      <c r="BD60" s="230">
        <v>5250</v>
      </c>
      <c r="BE60" s="230">
        <v>5250</v>
      </c>
      <c r="BF60" s="228">
        <v>0</v>
      </c>
      <c r="BG60" s="229">
        <v>0</v>
      </c>
      <c r="BH60" s="230">
        <v>2251800</v>
      </c>
      <c r="BI60" s="230">
        <v>2934450</v>
      </c>
      <c r="BJ60" s="230">
        <v>-682650</v>
      </c>
      <c r="BK60" s="229">
        <v>-0.2326</v>
      </c>
      <c r="BL60" s="230">
        <v>1731150</v>
      </c>
      <c r="BM60" s="230">
        <v>2276850</v>
      </c>
      <c r="BN60" s="230">
        <v>-545700</v>
      </c>
      <c r="BO60" s="229">
        <v>-0.2397</v>
      </c>
      <c r="BP60" s="230">
        <v>7741050</v>
      </c>
      <c r="BQ60" s="230">
        <v>5905650</v>
      </c>
      <c r="BR60" s="230">
        <v>1835400</v>
      </c>
      <c r="BS60" s="229">
        <v>0.31080000000000002</v>
      </c>
      <c r="BT60" s="230">
        <v>271540</v>
      </c>
      <c r="BU60" s="230">
        <v>336808</v>
      </c>
      <c r="BV60" s="230">
        <v>-65268</v>
      </c>
      <c r="BW60" s="229">
        <v>-0.1938</v>
      </c>
      <c r="BX60" s="230">
        <v>3729300</v>
      </c>
      <c r="BY60" s="230">
        <v>4012350</v>
      </c>
      <c r="BZ60" s="230">
        <v>-283050</v>
      </c>
      <c r="CA60" s="229">
        <v>-7.0499999999999993E-2</v>
      </c>
      <c r="CB60" s="230">
        <v>1995450</v>
      </c>
      <c r="CC60" s="230">
        <v>3489000</v>
      </c>
      <c r="CD60" s="230">
        <v>-1493550</v>
      </c>
      <c r="CE60" s="229">
        <v>-0.42809999999999998</v>
      </c>
      <c r="CF60" s="230">
        <v>1708050</v>
      </c>
      <c r="CG60" s="230">
        <v>499950</v>
      </c>
      <c r="CH60" s="230">
        <v>1208100</v>
      </c>
      <c r="CI60" s="229">
        <v>2.4163999999999999</v>
      </c>
      <c r="CJ60" s="230">
        <v>25800</v>
      </c>
      <c r="CK60" s="230">
        <v>23400</v>
      </c>
      <c r="CL60" s="230">
        <v>2400</v>
      </c>
      <c r="CM60" s="229">
        <v>0.1026</v>
      </c>
      <c r="CN60" s="230">
        <v>1842750</v>
      </c>
      <c r="CO60" s="230">
        <v>1919250</v>
      </c>
      <c r="CP60" s="230">
        <v>-76500</v>
      </c>
      <c r="CQ60" s="229">
        <v>-3.9899999999999998E-2</v>
      </c>
      <c r="CR60" s="230">
        <v>1588800</v>
      </c>
      <c r="CS60" s="230">
        <v>1701450</v>
      </c>
      <c r="CT60" s="230">
        <v>-112650</v>
      </c>
      <c r="CU60" s="229">
        <v>-6.6199999999999995E-2</v>
      </c>
      <c r="CV60" s="230">
        <v>7160850</v>
      </c>
      <c r="CW60" s="230">
        <v>7633050</v>
      </c>
      <c r="CX60" s="230">
        <v>-472200</v>
      </c>
      <c r="CY60" s="229">
        <v>-6.1899999999999997E-2</v>
      </c>
      <c r="CZ60" s="228">
        <v>32.909999999999997</v>
      </c>
      <c r="DA60" s="228">
        <v>30.87</v>
      </c>
      <c r="DB60" s="228">
        <v>2.04</v>
      </c>
      <c r="DC60" s="228">
        <v>2.04</v>
      </c>
      <c r="DD60" s="228">
        <v>32.979999999999997</v>
      </c>
      <c r="DE60" s="228">
        <v>33.01</v>
      </c>
      <c r="DF60" s="228">
        <v>-7.0000000000000007E-2</v>
      </c>
      <c r="DG60" s="228">
        <v>-0.03</v>
      </c>
      <c r="DH60" s="228">
        <v>32.57</v>
      </c>
      <c r="DI60" s="228">
        <v>28.87</v>
      </c>
      <c r="DJ60" s="228">
        <v>3.7</v>
      </c>
      <c r="DK60" s="228">
        <v>3.7</v>
      </c>
      <c r="DL60" s="228">
        <v>33.44</v>
      </c>
      <c r="DM60" s="228">
        <v>33.44</v>
      </c>
      <c r="DN60" s="228">
        <v>0</v>
      </c>
      <c r="DO60" s="228">
        <v>0</v>
      </c>
      <c r="DP60" s="228">
        <v>0.86</v>
      </c>
      <c r="DQ60" s="228">
        <v>0.89</v>
      </c>
      <c r="DR60" s="228">
        <v>-0.03</v>
      </c>
      <c r="DS60" s="229">
        <v>-3.3700000000000001E-2</v>
      </c>
      <c r="DT60" s="231">
        <v>4600</v>
      </c>
      <c r="DU60" s="231">
        <v>4050</v>
      </c>
      <c r="DV60" s="228">
        <v>0.77</v>
      </c>
      <c r="DW60" s="228">
        <v>0.78</v>
      </c>
      <c r="DX60" s="228">
        <v>-0.01</v>
      </c>
      <c r="DY60" s="229">
        <v>-1.2800000000000001E-2</v>
      </c>
      <c r="DZ60" s="229">
        <v>0.46489999999999998</v>
      </c>
      <c r="EA60" s="230">
        <v>523350</v>
      </c>
      <c r="EB60" s="229">
        <v>-6.9999999999999999E-4</v>
      </c>
      <c r="EC60" s="229">
        <v>0.46489999999999998</v>
      </c>
      <c r="ED60" s="228">
        <v>-13.22</v>
      </c>
      <c r="EE60" s="229">
        <v>-2.8999999999999998E-3</v>
      </c>
      <c r="EF60" s="230">
        <v>112414</v>
      </c>
      <c r="EG60" s="230">
        <v>158380</v>
      </c>
      <c r="EH60" s="229">
        <v>-0.29020000000000001</v>
      </c>
      <c r="EI60" s="229">
        <v>0.41399999999999998</v>
      </c>
      <c r="EJ60" s="231">
        <v>106741.77</v>
      </c>
      <c r="EK60" s="231">
        <v>75950.69</v>
      </c>
      <c r="EL60" s="231">
        <v>170741.22</v>
      </c>
      <c r="EM60" s="231">
        <v>5474</v>
      </c>
      <c r="EN60" s="231">
        <v>353433.68</v>
      </c>
      <c r="EO60" s="231">
        <v>270742.67</v>
      </c>
      <c r="EP60" s="231">
        <v>82691.009999999995</v>
      </c>
      <c r="EQ60" s="229">
        <v>0.3054</v>
      </c>
      <c r="ER60" s="231">
        <v>83450</v>
      </c>
      <c r="ES60" s="231">
        <v>66530</v>
      </c>
      <c r="ET60" s="231">
        <v>168854</v>
      </c>
      <c r="EU60" s="231">
        <v>16494391</v>
      </c>
      <c r="EV60" s="231">
        <v>318835</v>
      </c>
      <c r="EW60" s="231">
        <v>342475</v>
      </c>
      <c r="EX60" s="231">
        <v>-23640</v>
      </c>
      <c r="EY60" s="229">
        <v>-6.9000000000000006E-2</v>
      </c>
      <c r="EZ60" s="229">
        <v>0.43409999999999999</v>
      </c>
      <c r="FA60" s="227" t="s">
        <v>567</v>
      </c>
      <c r="FB60" s="161">
        <f t="shared" si="0"/>
        <v>1733850</v>
      </c>
    </row>
    <row r="61" spans="1:158" ht="17.25" thickBot="1" x14ac:dyDescent="0.3">
      <c r="A61" s="226">
        <v>46135</v>
      </c>
      <c r="B61" s="227" t="s">
        <v>170</v>
      </c>
      <c r="C61" s="227" t="s">
        <v>208</v>
      </c>
      <c r="D61" s="228">
        <v>625</v>
      </c>
      <c r="E61" s="231">
        <v>1323.8</v>
      </c>
      <c r="F61" s="231">
        <v>1210.9000000000001</v>
      </c>
      <c r="G61" s="228">
        <v>112.9</v>
      </c>
      <c r="H61" s="229">
        <v>9.3200000000000005E-2</v>
      </c>
      <c r="I61" s="231">
        <v>1331</v>
      </c>
      <c r="J61" s="231">
        <v>1217</v>
      </c>
      <c r="K61" s="228">
        <v>114</v>
      </c>
      <c r="L61" s="229">
        <v>9.3700000000000006E-2</v>
      </c>
      <c r="M61" s="231">
        <v>1323.8</v>
      </c>
      <c r="N61" s="231">
        <v>1210.9000000000001</v>
      </c>
      <c r="O61" s="228">
        <v>112.9</v>
      </c>
      <c r="P61" s="229">
        <v>9.3200000000000005E-2</v>
      </c>
      <c r="Q61" s="231">
        <v>1315.3</v>
      </c>
      <c r="R61" s="231">
        <v>1210</v>
      </c>
      <c r="S61" s="228">
        <v>105.3</v>
      </c>
      <c r="T61" s="229">
        <v>8.6999999999999994E-2</v>
      </c>
      <c r="U61" s="231">
        <v>1315.4</v>
      </c>
      <c r="V61" s="231">
        <v>1214.5999999999999</v>
      </c>
      <c r="W61" s="228">
        <v>100.8</v>
      </c>
      <c r="X61" s="229">
        <v>8.3000000000000004E-2</v>
      </c>
      <c r="Y61" s="228">
        <v>-7.2</v>
      </c>
      <c r="Z61" s="228">
        <v>-6.1</v>
      </c>
      <c r="AA61" s="228">
        <v>-1.1000000000000001</v>
      </c>
      <c r="AB61" s="229">
        <v>-5.4000000000000003E-3</v>
      </c>
      <c r="AC61" s="228">
        <v>-7.2</v>
      </c>
      <c r="AD61" s="228">
        <v>-6.1</v>
      </c>
      <c r="AE61" s="228">
        <v>-1.1000000000000001</v>
      </c>
      <c r="AF61" s="229">
        <v>-5.4000000000000003E-3</v>
      </c>
      <c r="AG61" s="228">
        <v>-15.7</v>
      </c>
      <c r="AH61" s="228">
        <v>-7</v>
      </c>
      <c r="AI61" s="228">
        <v>-8.6999999999999993</v>
      </c>
      <c r="AJ61" s="229">
        <v>-1.18E-2</v>
      </c>
      <c r="AK61" s="228">
        <v>-15.6</v>
      </c>
      <c r="AL61" s="228">
        <v>-2.4</v>
      </c>
      <c r="AM61" s="228">
        <v>-13.2</v>
      </c>
      <c r="AN61" s="229">
        <v>-1.17E-2</v>
      </c>
      <c r="AO61" s="231">
        <v>1300.68</v>
      </c>
      <c r="AP61" s="231">
        <v>1299.6400000000001</v>
      </c>
      <c r="AQ61" s="228">
        <v>0</v>
      </c>
      <c r="AR61" s="230">
        <v>32346875</v>
      </c>
      <c r="AS61" s="230">
        <v>3753125</v>
      </c>
      <c r="AT61" s="230">
        <v>28593750</v>
      </c>
      <c r="AU61" s="229">
        <v>7.6186999999999996</v>
      </c>
      <c r="AV61" s="230">
        <v>17411875</v>
      </c>
      <c r="AW61" s="230">
        <v>2438125</v>
      </c>
      <c r="AX61" s="230">
        <v>14973750</v>
      </c>
      <c r="AY61" s="229">
        <v>6.1414999999999997</v>
      </c>
      <c r="AZ61" s="230">
        <v>14697500</v>
      </c>
      <c r="BA61" s="230">
        <v>1266875</v>
      </c>
      <c r="BB61" s="230">
        <v>13430625</v>
      </c>
      <c r="BC61" s="229">
        <v>10.6014</v>
      </c>
      <c r="BD61" s="230">
        <v>237500</v>
      </c>
      <c r="BE61" s="230">
        <v>48125</v>
      </c>
      <c r="BF61" s="230">
        <v>189375</v>
      </c>
      <c r="BG61" s="229">
        <v>3.9350999999999998</v>
      </c>
      <c r="BH61" s="230">
        <v>191182500</v>
      </c>
      <c r="BI61" s="230">
        <v>10410000</v>
      </c>
      <c r="BJ61" s="230">
        <v>180772500</v>
      </c>
      <c r="BK61" s="229">
        <v>17.365300000000001</v>
      </c>
      <c r="BL61" s="230">
        <v>76895625</v>
      </c>
      <c r="BM61" s="230">
        <v>4632500</v>
      </c>
      <c r="BN61" s="230">
        <v>72263125</v>
      </c>
      <c r="BO61" s="229">
        <v>15.5992</v>
      </c>
      <c r="BP61" s="230">
        <v>300425000</v>
      </c>
      <c r="BQ61" s="230">
        <v>18795625</v>
      </c>
      <c r="BR61" s="230">
        <v>281629375</v>
      </c>
      <c r="BS61" s="229">
        <v>14.9838</v>
      </c>
      <c r="BT61" s="230">
        <v>17404366</v>
      </c>
      <c r="BU61" s="230">
        <v>1623062</v>
      </c>
      <c r="BV61" s="230">
        <v>15781304</v>
      </c>
      <c r="BW61" s="229">
        <v>9.7232000000000003</v>
      </c>
      <c r="BX61" s="230">
        <v>15758125</v>
      </c>
      <c r="BY61" s="230">
        <v>15635000</v>
      </c>
      <c r="BZ61" s="230">
        <v>123125</v>
      </c>
      <c r="CA61" s="229">
        <v>7.9000000000000008E-3</v>
      </c>
      <c r="CB61" s="230">
        <v>8009375</v>
      </c>
      <c r="CC61" s="230">
        <v>13245000</v>
      </c>
      <c r="CD61" s="230">
        <v>-5235625</v>
      </c>
      <c r="CE61" s="229">
        <v>-0.39529999999999998</v>
      </c>
      <c r="CF61" s="230">
        <v>7580625</v>
      </c>
      <c r="CG61" s="230">
        <v>2197500</v>
      </c>
      <c r="CH61" s="230">
        <v>5383125</v>
      </c>
      <c r="CI61" s="229">
        <v>2.4497</v>
      </c>
      <c r="CJ61" s="230">
        <v>168125</v>
      </c>
      <c r="CK61" s="230">
        <v>192500</v>
      </c>
      <c r="CL61" s="230">
        <v>-24375</v>
      </c>
      <c r="CM61" s="229">
        <v>-0.12659999999999999</v>
      </c>
      <c r="CN61" s="230">
        <v>13342500</v>
      </c>
      <c r="CO61" s="230">
        <v>7520625</v>
      </c>
      <c r="CP61" s="230">
        <v>5821875</v>
      </c>
      <c r="CQ61" s="229">
        <v>0.77410000000000001</v>
      </c>
      <c r="CR61" s="230">
        <v>8866875</v>
      </c>
      <c r="CS61" s="230">
        <v>5162500</v>
      </c>
      <c r="CT61" s="230">
        <v>3704375</v>
      </c>
      <c r="CU61" s="229">
        <v>0.71760000000000002</v>
      </c>
      <c r="CV61" s="230">
        <v>37967500</v>
      </c>
      <c r="CW61" s="230">
        <v>28318125</v>
      </c>
      <c r="CX61" s="230">
        <v>9649375</v>
      </c>
      <c r="CY61" s="229">
        <v>0.3407</v>
      </c>
      <c r="CZ61" s="228">
        <v>34.22</v>
      </c>
      <c r="DA61" s="228">
        <v>23.6</v>
      </c>
      <c r="DB61" s="228">
        <v>10.62</v>
      </c>
      <c r="DC61" s="228">
        <v>10.62</v>
      </c>
      <c r="DD61" s="228">
        <v>28.52</v>
      </c>
      <c r="DE61" s="228">
        <v>25.89</v>
      </c>
      <c r="DF61" s="228">
        <v>5.7</v>
      </c>
      <c r="DG61" s="228">
        <v>2.63</v>
      </c>
      <c r="DH61" s="228">
        <v>34.11</v>
      </c>
      <c r="DI61" s="228">
        <v>23.8</v>
      </c>
      <c r="DJ61" s="228">
        <v>10.31</v>
      </c>
      <c r="DK61" s="228">
        <v>10.31</v>
      </c>
      <c r="DL61" s="228">
        <v>34.51</v>
      </c>
      <c r="DM61" s="228">
        <v>23.17</v>
      </c>
      <c r="DN61" s="228">
        <v>11.34</v>
      </c>
      <c r="DO61" s="228">
        <v>11.34</v>
      </c>
      <c r="DP61" s="228">
        <v>0.66</v>
      </c>
      <c r="DQ61" s="228">
        <v>0.69</v>
      </c>
      <c r="DR61" s="228">
        <v>-0.03</v>
      </c>
      <c r="DS61" s="229">
        <v>-4.3499999999999997E-2</v>
      </c>
      <c r="DT61" s="231">
        <v>1400</v>
      </c>
      <c r="DU61" s="231">
        <v>1200</v>
      </c>
      <c r="DV61" s="228">
        <v>0.4</v>
      </c>
      <c r="DW61" s="228">
        <v>0.45</v>
      </c>
      <c r="DX61" s="228">
        <v>-0.05</v>
      </c>
      <c r="DY61" s="229">
        <v>-0.1111</v>
      </c>
      <c r="DZ61" s="229">
        <v>0.49170000000000003</v>
      </c>
      <c r="EA61" s="230">
        <v>2390000</v>
      </c>
      <c r="EB61" s="229">
        <v>-6.4000000000000003E-3</v>
      </c>
      <c r="EC61" s="229">
        <v>0.49170000000000003</v>
      </c>
      <c r="ED61" s="228">
        <v>-1.04</v>
      </c>
      <c r="EE61" s="229">
        <v>-8.0000000000000004E-4</v>
      </c>
      <c r="EF61" s="230">
        <v>3823638</v>
      </c>
      <c r="EG61" s="230">
        <v>982009</v>
      </c>
      <c r="EH61" s="229">
        <v>2.8936999999999999</v>
      </c>
      <c r="EI61" s="229">
        <v>0.21970000000000001</v>
      </c>
      <c r="EJ61" s="231">
        <v>2568224.7200000002</v>
      </c>
      <c r="EK61" s="231">
        <v>983664.83</v>
      </c>
      <c r="EL61" s="231">
        <v>420556.27</v>
      </c>
      <c r="EM61" s="231">
        <v>4145</v>
      </c>
      <c r="EN61" s="231">
        <v>3972445.82</v>
      </c>
      <c r="EO61" s="231">
        <v>232003.99</v>
      </c>
      <c r="EP61" s="231">
        <v>3740441.83</v>
      </c>
      <c r="EQ61" s="229">
        <v>16.122299999999999</v>
      </c>
      <c r="ER61" s="231">
        <v>175876</v>
      </c>
      <c r="ES61" s="231">
        <v>109138</v>
      </c>
      <c r="ET61" s="231">
        <v>207948</v>
      </c>
      <c r="EU61" s="231">
        <v>61026255</v>
      </c>
      <c r="EV61" s="231">
        <v>492962</v>
      </c>
      <c r="EW61" s="231">
        <v>345024</v>
      </c>
      <c r="EX61" s="231">
        <v>147938</v>
      </c>
      <c r="EY61" s="229">
        <v>0.42880000000000001</v>
      </c>
      <c r="EZ61" s="229">
        <v>0.62219999999999998</v>
      </c>
      <c r="FA61" s="227" t="s">
        <v>555</v>
      </c>
      <c r="FB61" s="161">
        <f t="shared" si="0"/>
        <v>7748750</v>
      </c>
    </row>
    <row r="62" spans="1:158" ht="17.25" thickBot="1" x14ac:dyDescent="0.3">
      <c r="A62" s="226">
        <v>46135</v>
      </c>
      <c r="B62" s="227" t="s">
        <v>162</v>
      </c>
      <c r="C62" s="227" t="s">
        <v>209</v>
      </c>
      <c r="D62" s="228">
        <v>100</v>
      </c>
      <c r="E62" s="231">
        <v>7086</v>
      </c>
      <c r="F62" s="231">
        <v>7220.5</v>
      </c>
      <c r="G62" s="228">
        <v>-134.5</v>
      </c>
      <c r="H62" s="229">
        <v>-1.8599999999999998E-2</v>
      </c>
      <c r="I62" s="231">
        <v>7092.5</v>
      </c>
      <c r="J62" s="231">
        <v>7230</v>
      </c>
      <c r="K62" s="228">
        <v>-137.5</v>
      </c>
      <c r="L62" s="229">
        <v>-1.9E-2</v>
      </c>
      <c r="M62" s="231">
        <v>7086</v>
      </c>
      <c r="N62" s="231">
        <v>7220.5</v>
      </c>
      <c r="O62" s="228">
        <v>-134.5</v>
      </c>
      <c r="P62" s="229">
        <v>-1.8599999999999998E-2</v>
      </c>
      <c r="Q62" s="231">
        <v>7126.5</v>
      </c>
      <c r="R62" s="231">
        <v>7254.5</v>
      </c>
      <c r="S62" s="228">
        <v>-128</v>
      </c>
      <c r="T62" s="229">
        <v>-1.7600000000000001E-2</v>
      </c>
      <c r="U62" s="231">
        <v>7168</v>
      </c>
      <c r="V62" s="231">
        <v>7307</v>
      </c>
      <c r="W62" s="228">
        <v>-139</v>
      </c>
      <c r="X62" s="229">
        <v>-1.9E-2</v>
      </c>
      <c r="Y62" s="228">
        <v>-6.5</v>
      </c>
      <c r="Z62" s="228">
        <v>-9.5</v>
      </c>
      <c r="AA62" s="228">
        <v>3</v>
      </c>
      <c r="AB62" s="229">
        <v>-8.9999999999999998E-4</v>
      </c>
      <c r="AC62" s="228">
        <v>-6.5</v>
      </c>
      <c r="AD62" s="228">
        <v>-9.5</v>
      </c>
      <c r="AE62" s="228">
        <v>3</v>
      </c>
      <c r="AF62" s="229">
        <v>-8.9999999999999998E-4</v>
      </c>
      <c r="AG62" s="228">
        <v>34</v>
      </c>
      <c r="AH62" s="228">
        <v>24.5</v>
      </c>
      <c r="AI62" s="228">
        <v>9.5</v>
      </c>
      <c r="AJ62" s="229">
        <v>4.7999999999999996E-3</v>
      </c>
      <c r="AK62" s="228">
        <v>75.5</v>
      </c>
      <c r="AL62" s="228">
        <v>77</v>
      </c>
      <c r="AM62" s="228">
        <v>-1.5</v>
      </c>
      <c r="AN62" s="229">
        <v>1.06E-2</v>
      </c>
      <c r="AO62" s="231">
        <v>7100.74</v>
      </c>
      <c r="AP62" s="231">
        <v>7137.19</v>
      </c>
      <c r="AQ62" s="228">
        <v>0</v>
      </c>
      <c r="AR62" s="230">
        <v>2301400</v>
      </c>
      <c r="AS62" s="230">
        <v>585300</v>
      </c>
      <c r="AT62" s="230">
        <v>1716100</v>
      </c>
      <c r="AU62" s="229">
        <v>2.9319999999999999</v>
      </c>
      <c r="AV62" s="230">
        <v>1241600</v>
      </c>
      <c r="AW62" s="230">
        <v>440400</v>
      </c>
      <c r="AX62" s="230">
        <v>801200</v>
      </c>
      <c r="AY62" s="229">
        <v>1.8192999999999999</v>
      </c>
      <c r="AZ62" s="230">
        <v>1035400</v>
      </c>
      <c r="BA62" s="230">
        <v>122600</v>
      </c>
      <c r="BB62" s="230">
        <v>912800</v>
      </c>
      <c r="BC62" s="229">
        <v>7.4454000000000002</v>
      </c>
      <c r="BD62" s="230">
        <v>24400</v>
      </c>
      <c r="BE62" s="230">
        <v>22300</v>
      </c>
      <c r="BF62" s="230">
        <v>2100</v>
      </c>
      <c r="BG62" s="229">
        <v>9.4200000000000006E-2</v>
      </c>
      <c r="BH62" s="230">
        <v>2584700</v>
      </c>
      <c r="BI62" s="230">
        <v>2331500</v>
      </c>
      <c r="BJ62" s="230">
        <v>253200</v>
      </c>
      <c r="BK62" s="229">
        <v>0.1086</v>
      </c>
      <c r="BL62" s="230">
        <v>1718700</v>
      </c>
      <c r="BM62" s="230">
        <v>1269800</v>
      </c>
      <c r="BN62" s="230">
        <v>448900</v>
      </c>
      <c r="BO62" s="229">
        <v>0.35349999999999998</v>
      </c>
      <c r="BP62" s="230">
        <v>6604800</v>
      </c>
      <c r="BQ62" s="230">
        <v>4186600</v>
      </c>
      <c r="BR62" s="230">
        <v>2418200</v>
      </c>
      <c r="BS62" s="229">
        <v>0.5776</v>
      </c>
      <c r="BT62" s="230">
        <v>515422</v>
      </c>
      <c r="BU62" s="230">
        <v>514857</v>
      </c>
      <c r="BV62" s="228">
        <v>565</v>
      </c>
      <c r="BW62" s="229">
        <v>1.1000000000000001E-3</v>
      </c>
      <c r="BX62" s="230">
        <v>3945000</v>
      </c>
      <c r="BY62" s="230">
        <v>4078500</v>
      </c>
      <c r="BZ62" s="230">
        <v>-133500</v>
      </c>
      <c r="CA62" s="229">
        <v>-3.27E-2</v>
      </c>
      <c r="CB62" s="230">
        <v>2251600</v>
      </c>
      <c r="CC62" s="230">
        <v>3250000</v>
      </c>
      <c r="CD62" s="230">
        <v>-998400</v>
      </c>
      <c r="CE62" s="229">
        <v>-0.30719999999999997</v>
      </c>
      <c r="CF62" s="230">
        <v>1310100</v>
      </c>
      <c r="CG62" s="230">
        <v>463900</v>
      </c>
      <c r="CH62" s="230">
        <v>846200</v>
      </c>
      <c r="CI62" s="229">
        <v>1.8241000000000001</v>
      </c>
      <c r="CJ62" s="230">
        <v>383300</v>
      </c>
      <c r="CK62" s="230">
        <v>364600</v>
      </c>
      <c r="CL62" s="230">
        <v>18700</v>
      </c>
      <c r="CM62" s="229">
        <v>5.1299999999999998E-2</v>
      </c>
      <c r="CN62" s="230">
        <v>2027700</v>
      </c>
      <c r="CO62" s="230">
        <v>1984900</v>
      </c>
      <c r="CP62" s="230">
        <v>42800</v>
      </c>
      <c r="CQ62" s="229">
        <v>2.1600000000000001E-2</v>
      </c>
      <c r="CR62" s="230">
        <v>1475900</v>
      </c>
      <c r="CS62" s="230">
        <v>1506400</v>
      </c>
      <c r="CT62" s="230">
        <v>-30500</v>
      </c>
      <c r="CU62" s="229">
        <v>-2.0199999999999999E-2</v>
      </c>
      <c r="CV62" s="230">
        <v>7448600</v>
      </c>
      <c r="CW62" s="230">
        <v>7569800</v>
      </c>
      <c r="CX62" s="230">
        <v>-121200</v>
      </c>
      <c r="CY62" s="229">
        <v>-1.6E-2</v>
      </c>
      <c r="CZ62" s="228">
        <v>33.409999999999997</v>
      </c>
      <c r="DA62" s="228">
        <v>30.13</v>
      </c>
      <c r="DB62" s="228">
        <v>3.28</v>
      </c>
      <c r="DC62" s="228">
        <v>3.28</v>
      </c>
      <c r="DD62" s="228">
        <v>33.64</v>
      </c>
      <c r="DE62" s="228">
        <v>33.619999999999997</v>
      </c>
      <c r="DF62" s="228">
        <v>-0.23</v>
      </c>
      <c r="DG62" s="228">
        <v>0.02</v>
      </c>
      <c r="DH62" s="228">
        <v>33.46</v>
      </c>
      <c r="DI62" s="228">
        <v>28.85</v>
      </c>
      <c r="DJ62" s="228">
        <v>4.6100000000000003</v>
      </c>
      <c r="DK62" s="228">
        <v>4.6100000000000003</v>
      </c>
      <c r="DL62" s="228">
        <v>33.36</v>
      </c>
      <c r="DM62" s="228">
        <v>32.47</v>
      </c>
      <c r="DN62" s="228">
        <v>0.89</v>
      </c>
      <c r="DO62" s="228">
        <v>0.89</v>
      </c>
      <c r="DP62" s="228">
        <v>0.73</v>
      </c>
      <c r="DQ62" s="228">
        <v>0.76</v>
      </c>
      <c r="DR62" s="228">
        <v>-0.03</v>
      </c>
      <c r="DS62" s="229">
        <v>-3.95E-2</v>
      </c>
      <c r="DT62" s="231">
        <v>8000</v>
      </c>
      <c r="DU62" s="231">
        <v>6500</v>
      </c>
      <c r="DV62" s="228">
        <v>0.66</v>
      </c>
      <c r="DW62" s="228">
        <v>0.54</v>
      </c>
      <c r="DX62" s="228">
        <v>0.12</v>
      </c>
      <c r="DY62" s="229">
        <v>0.22220000000000001</v>
      </c>
      <c r="DZ62" s="229">
        <v>0.42930000000000001</v>
      </c>
      <c r="EA62" s="230">
        <v>828500</v>
      </c>
      <c r="EB62" s="229">
        <v>5.7000000000000002E-3</v>
      </c>
      <c r="EC62" s="229">
        <v>0.42930000000000001</v>
      </c>
      <c r="ED62" s="228">
        <v>36.450000000000003</v>
      </c>
      <c r="EE62" s="229">
        <v>5.1000000000000004E-3</v>
      </c>
      <c r="EF62" s="230">
        <v>274354</v>
      </c>
      <c r="EG62" s="230">
        <v>282519</v>
      </c>
      <c r="EH62" s="229">
        <v>-2.8899999999999999E-2</v>
      </c>
      <c r="EI62" s="229">
        <v>0.5323</v>
      </c>
      <c r="EJ62" s="231">
        <v>191675.97</v>
      </c>
      <c r="EK62" s="231">
        <v>121668.22</v>
      </c>
      <c r="EL62" s="231">
        <v>163813.92000000001</v>
      </c>
      <c r="EM62" s="231">
        <v>5850</v>
      </c>
      <c r="EN62" s="231">
        <v>477158.11</v>
      </c>
      <c r="EO62" s="231">
        <v>305806.40000000002</v>
      </c>
      <c r="EP62" s="231">
        <v>171351.71</v>
      </c>
      <c r="EQ62" s="229">
        <v>0.56030000000000002</v>
      </c>
      <c r="ER62" s="231">
        <v>150630</v>
      </c>
      <c r="ES62" s="231">
        <v>102459</v>
      </c>
      <c r="ET62" s="231">
        <v>280388</v>
      </c>
      <c r="EU62" s="231">
        <v>20960143</v>
      </c>
      <c r="EV62" s="231">
        <v>533476</v>
      </c>
      <c r="EW62" s="231">
        <v>547426</v>
      </c>
      <c r="EX62" s="231">
        <v>-13950</v>
      </c>
      <c r="EY62" s="229">
        <v>-2.5499999999999998E-2</v>
      </c>
      <c r="EZ62" s="229">
        <v>0.35539999999999999</v>
      </c>
      <c r="FA62" s="227" t="s">
        <v>567</v>
      </c>
      <c r="FB62" s="161">
        <f t="shared" si="0"/>
        <v>1693400</v>
      </c>
    </row>
    <row r="63" spans="1:158" ht="17.25" thickBot="1" x14ac:dyDescent="0.3">
      <c r="A63" s="226">
        <v>46135</v>
      </c>
      <c r="B63" s="227" t="s">
        <v>614</v>
      </c>
      <c r="C63" s="227" t="s">
        <v>665</v>
      </c>
      <c r="D63" s="228">
        <v>2425</v>
      </c>
      <c r="E63" s="228">
        <v>259.55</v>
      </c>
      <c r="F63" s="228">
        <v>262.62</v>
      </c>
      <c r="G63" s="228">
        <v>-3.07</v>
      </c>
      <c r="H63" s="229">
        <v>-1.17E-2</v>
      </c>
      <c r="I63" s="228">
        <v>259.92</v>
      </c>
      <c r="J63" s="228">
        <v>262.99</v>
      </c>
      <c r="K63" s="228">
        <v>-3.07</v>
      </c>
      <c r="L63" s="229">
        <v>-1.17E-2</v>
      </c>
      <c r="M63" s="228">
        <v>259.55</v>
      </c>
      <c r="N63" s="228">
        <v>262.62</v>
      </c>
      <c r="O63" s="228">
        <v>-3.07</v>
      </c>
      <c r="P63" s="229">
        <v>-1.17E-2</v>
      </c>
      <c r="Q63" s="228">
        <v>261</v>
      </c>
      <c r="R63" s="228">
        <v>263.99</v>
      </c>
      <c r="S63" s="228">
        <v>-2.99</v>
      </c>
      <c r="T63" s="229">
        <v>-1.1299999999999999E-2</v>
      </c>
      <c r="U63" s="228">
        <v>262.68</v>
      </c>
      <c r="V63" s="228">
        <v>265.64</v>
      </c>
      <c r="W63" s="228">
        <v>-2.96</v>
      </c>
      <c r="X63" s="229">
        <v>-1.11E-2</v>
      </c>
      <c r="Y63" s="228">
        <v>-0.37</v>
      </c>
      <c r="Z63" s="228">
        <v>-0.37</v>
      </c>
      <c r="AA63" s="228">
        <v>0</v>
      </c>
      <c r="AB63" s="229">
        <v>-1.4E-3</v>
      </c>
      <c r="AC63" s="228">
        <v>-0.37</v>
      </c>
      <c r="AD63" s="228">
        <v>-0.37</v>
      </c>
      <c r="AE63" s="228">
        <v>0</v>
      </c>
      <c r="AF63" s="229">
        <v>-1.4E-3</v>
      </c>
      <c r="AG63" s="228">
        <v>1.08</v>
      </c>
      <c r="AH63" s="228">
        <v>1</v>
      </c>
      <c r="AI63" s="228">
        <v>0.08</v>
      </c>
      <c r="AJ63" s="229">
        <v>4.1999999999999997E-3</v>
      </c>
      <c r="AK63" s="228">
        <v>2.76</v>
      </c>
      <c r="AL63" s="228">
        <v>2.65</v>
      </c>
      <c r="AM63" s="228">
        <v>0.11</v>
      </c>
      <c r="AN63" s="229">
        <v>1.06E-2</v>
      </c>
      <c r="AO63" s="228">
        <v>259.68</v>
      </c>
      <c r="AP63" s="228">
        <v>261.29000000000002</v>
      </c>
      <c r="AQ63" s="228">
        <v>0</v>
      </c>
      <c r="AR63" s="230">
        <v>108237450</v>
      </c>
      <c r="AS63" s="230">
        <v>55799250</v>
      </c>
      <c r="AT63" s="230">
        <v>52438200</v>
      </c>
      <c r="AU63" s="229">
        <v>0.93979999999999997</v>
      </c>
      <c r="AV63" s="230">
        <v>57314875</v>
      </c>
      <c r="AW63" s="230">
        <v>38676325</v>
      </c>
      <c r="AX63" s="230">
        <v>18638550</v>
      </c>
      <c r="AY63" s="229">
        <v>0.4819</v>
      </c>
      <c r="AZ63" s="230">
        <v>48718250</v>
      </c>
      <c r="BA63" s="230">
        <v>12493600</v>
      </c>
      <c r="BB63" s="230">
        <v>36224650</v>
      </c>
      <c r="BC63" s="229">
        <v>2.8995000000000002</v>
      </c>
      <c r="BD63" s="230">
        <v>2204325</v>
      </c>
      <c r="BE63" s="230">
        <v>4629325</v>
      </c>
      <c r="BF63" s="230">
        <v>-2425000</v>
      </c>
      <c r="BG63" s="229">
        <v>-0.52380000000000004</v>
      </c>
      <c r="BH63" s="230">
        <v>76971925</v>
      </c>
      <c r="BI63" s="230">
        <v>95908750</v>
      </c>
      <c r="BJ63" s="230">
        <v>-18936825</v>
      </c>
      <c r="BK63" s="229">
        <v>-0.19739999999999999</v>
      </c>
      <c r="BL63" s="230">
        <v>54557650</v>
      </c>
      <c r="BM63" s="230">
        <v>61384025</v>
      </c>
      <c r="BN63" s="230">
        <v>-6826375</v>
      </c>
      <c r="BO63" s="229">
        <v>-0.11119999999999999</v>
      </c>
      <c r="BP63" s="230">
        <v>239767025</v>
      </c>
      <c r="BQ63" s="230">
        <v>213092025</v>
      </c>
      <c r="BR63" s="230">
        <v>26675000</v>
      </c>
      <c r="BS63" s="229">
        <v>0.12520000000000001</v>
      </c>
      <c r="BT63" s="230">
        <v>35232641</v>
      </c>
      <c r="BU63" s="230">
        <v>47514342</v>
      </c>
      <c r="BV63" s="230">
        <v>-12281701</v>
      </c>
      <c r="BW63" s="229">
        <v>-0.25850000000000001</v>
      </c>
      <c r="BX63" s="230">
        <v>185015375</v>
      </c>
      <c r="BY63" s="230">
        <v>185965975</v>
      </c>
      <c r="BZ63" s="230">
        <v>-950600</v>
      </c>
      <c r="CA63" s="229">
        <v>-5.1000000000000004E-3</v>
      </c>
      <c r="CB63" s="230">
        <v>108142875</v>
      </c>
      <c r="CC63" s="230">
        <v>152190575</v>
      </c>
      <c r="CD63" s="230">
        <v>-44047700</v>
      </c>
      <c r="CE63" s="229">
        <v>-0.28939999999999999</v>
      </c>
      <c r="CF63" s="230">
        <v>67216150</v>
      </c>
      <c r="CG63" s="230">
        <v>25918400</v>
      </c>
      <c r="CH63" s="230">
        <v>41297750</v>
      </c>
      <c r="CI63" s="229">
        <v>1.5933999999999999</v>
      </c>
      <c r="CJ63" s="230">
        <v>9656350</v>
      </c>
      <c r="CK63" s="230">
        <v>7857000</v>
      </c>
      <c r="CL63" s="230">
        <v>1799350</v>
      </c>
      <c r="CM63" s="229">
        <v>0.22900000000000001</v>
      </c>
      <c r="CN63" s="230">
        <v>60804450</v>
      </c>
      <c r="CO63" s="230">
        <v>60952375</v>
      </c>
      <c r="CP63" s="230">
        <v>-147925</v>
      </c>
      <c r="CQ63" s="229">
        <v>-2.3999999999999998E-3</v>
      </c>
      <c r="CR63" s="230">
        <v>50529725</v>
      </c>
      <c r="CS63" s="230">
        <v>50757675</v>
      </c>
      <c r="CT63" s="230">
        <v>-227950</v>
      </c>
      <c r="CU63" s="229">
        <v>-4.4999999999999997E-3</v>
      </c>
      <c r="CV63" s="230">
        <v>296349550</v>
      </c>
      <c r="CW63" s="230">
        <v>297676025</v>
      </c>
      <c r="CX63" s="230">
        <v>-1326475</v>
      </c>
      <c r="CY63" s="229">
        <v>-4.4999999999999997E-3</v>
      </c>
      <c r="CZ63" s="228">
        <v>43.58</v>
      </c>
      <c r="DA63" s="228">
        <v>38.47</v>
      </c>
      <c r="DB63" s="228">
        <v>5.1100000000000003</v>
      </c>
      <c r="DC63" s="228">
        <v>5.1100000000000003</v>
      </c>
      <c r="DD63" s="228">
        <v>45.93</v>
      </c>
      <c r="DE63" s="228">
        <v>46.01</v>
      </c>
      <c r="DF63" s="228">
        <v>-2.35</v>
      </c>
      <c r="DG63" s="228">
        <v>-0.08</v>
      </c>
      <c r="DH63" s="228">
        <v>43.3</v>
      </c>
      <c r="DI63" s="228">
        <v>35.54</v>
      </c>
      <c r="DJ63" s="228">
        <v>7.76</v>
      </c>
      <c r="DK63" s="228">
        <v>7.76</v>
      </c>
      <c r="DL63" s="228">
        <v>43.86</v>
      </c>
      <c r="DM63" s="228">
        <v>43.04</v>
      </c>
      <c r="DN63" s="228">
        <v>0.82</v>
      </c>
      <c r="DO63" s="228">
        <v>0.82</v>
      </c>
      <c r="DP63" s="228">
        <v>0.83</v>
      </c>
      <c r="DQ63" s="228">
        <v>0.83</v>
      </c>
      <c r="DR63" s="228">
        <v>0</v>
      </c>
      <c r="DS63" s="229">
        <v>0</v>
      </c>
      <c r="DT63" s="228">
        <v>260</v>
      </c>
      <c r="DU63" s="228">
        <v>250</v>
      </c>
      <c r="DV63" s="228">
        <v>0.71</v>
      </c>
      <c r="DW63" s="228">
        <v>0.64</v>
      </c>
      <c r="DX63" s="228">
        <v>7.0000000000000007E-2</v>
      </c>
      <c r="DY63" s="229">
        <v>0.1094</v>
      </c>
      <c r="DZ63" s="229">
        <v>0.41549999999999998</v>
      </c>
      <c r="EA63" s="230">
        <v>33775400</v>
      </c>
      <c r="EB63" s="229">
        <v>5.5999999999999999E-3</v>
      </c>
      <c r="EC63" s="229">
        <v>0.41549999999999998</v>
      </c>
      <c r="ED63" s="228">
        <v>1.61</v>
      </c>
      <c r="EE63" s="229">
        <v>6.1999999999999998E-3</v>
      </c>
      <c r="EF63" s="230">
        <v>17889768</v>
      </c>
      <c r="EG63" s="230">
        <v>28022353</v>
      </c>
      <c r="EH63" s="229">
        <v>-0.36159999999999998</v>
      </c>
      <c r="EI63" s="229">
        <v>0.50780000000000003</v>
      </c>
      <c r="EJ63" s="231">
        <v>206937.9</v>
      </c>
      <c r="EK63" s="231">
        <v>138943.03</v>
      </c>
      <c r="EL63" s="231">
        <v>281916.25</v>
      </c>
      <c r="EM63" s="231">
        <v>16075</v>
      </c>
      <c r="EN63" s="231">
        <v>627797.18000000005</v>
      </c>
      <c r="EO63" s="231">
        <v>558534.61</v>
      </c>
      <c r="EP63" s="231">
        <v>69262.570000000007</v>
      </c>
      <c r="EQ63" s="229">
        <v>0.124</v>
      </c>
      <c r="ER63" s="231">
        <v>157109</v>
      </c>
      <c r="ES63" s="231">
        <v>123101</v>
      </c>
      <c r="ET63" s="231">
        <v>481484</v>
      </c>
      <c r="EU63" s="231">
        <v>1366821859</v>
      </c>
      <c r="EV63" s="231">
        <v>761694</v>
      </c>
      <c r="EW63" s="231">
        <v>769475</v>
      </c>
      <c r="EX63" s="231">
        <v>-7781</v>
      </c>
      <c r="EY63" s="229">
        <v>-1.01E-2</v>
      </c>
      <c r="EZ63" s="229">
        <v>0.21679999999999999</v>
      </c>
      <c r="FA63" s="227" t="s">
        <v>567</v>
      </c>
      <c r="FB63" s="161">
        <f t="shared" si="0"/>
        <v>76872500</v>
      </c>
    </row>
    <row r="64" spans="1:158" ht="17.25" thickBot="1" x14ac:dyDescent="0.3">
      <c r="A64" s="226">
        <v>46135</v>
      </c>
      <c r="B64" s="227" t="s">
        <v>162</v>
      </c>
      <c r="C64" s="227" t="s">
        <v>211</v>
      </c>
      <c r="D64" s="228">
        <v>1800</v>
      </c>
      <c r="E64" s="228">
        <v>346.85</v>
      </c>
      <c r="F64" s="228">
        <v>354.4</v>
      </c>
      <c r="G64" s="228">
        <v>-7.55</v>
      </c>
      <c r="H64" s="229">
        <v>-2.1299999999999999E-2</v>
      </c>
      <c r="I64" s="228">
        <v>347.25</v>
      </c>
      <c r="J64" s="228">
        <v>354.55</v>
      </c>
      <c r="K64" s="228">
        <v>-7.3</v>
      </c>
      <c r="L64" s="229">
        <v>-2.06E-2</v>
      </c>
      <c r="M64" s="228">
        <v>346.85</v>
      </c>
      <c r="N64" s="228">
        <v>354.4</v>
      </c>
      <c r="O64" s="228">
        <v>-7.55</v>
      </c>
      <c r="P64" s="229">
        <v>-2.1299999999999999E-2</v>
      </c>
      <c r="Q64" s="228">
        <v>348.75</v>
      </c>
      <c r="R64" s="228">
        <v>356.4</v>
      </c>
      <c r="S64" s="228">
        <v>-7.65</v>
      </c>
      <c r="T64" s="229">
        <v>-2.1499999999999998E-2</v>
      </c>
      <c r="U64" s="228">
        <v>350.25</v>
      </c>
      <c r="V64" s="228">
        <v>358.5</v>
      </c>
      <c r="W64" s="228">
        <v>-8.25</v>
      </c>
      <c r="X64" s="229">
        <v>-2.3E-2</v>
      </c>
      <c r="Y64" s="228">
        <v>-0.4</v>
      </c>
      <c r="Z64" s="228">
        <v>-0.15</v>
      </c>
      <c r="AA64" s="228">
        <v>-0.25</v>
      </c>
      <c r="AB64" s="229">
        <v>-1.1999999999999999E-3</v>
      </c>
      <c r="AC64" s="228">
        <v>-0.4</v>
      </c>
      <c r="AD64" s="228">
        <v>-0.15</v>
      </c>
      <c r="AE64" s="228">
        <v>-0.25</v>
      </c>
      <c r="AF64" s="229">
        <v>-1.1999999999999999E-3</v>
      </c>
      <c r="AG64" s="228">
        <v>1.5</v>
      </c>
      <c r="AH64" s="228">
        <v>1.85</v>
      </c>
      <c r="AI64" s="228">
        <v>-0.35</v>
      </c>
      <c r="AJ64" s="229">
        <v>4.3E-3</v>
      </c>
      <c r="AK64" s="228">
        <v>3</v>
      </c>
      <c r="AL64" s="228">
        <v>3.95</v>
      </c>
      <c r="AM64" s="228">
        <v>-0.95</v>
      </c>
      <c r="AN64" s="229">
        <v>8.6E-3</v>
      </c>
      <c r="AO64" s="228">
        <v>351.7</v>
      </c>
      <c r="AP64" s="228">
        <v>353.41</v>
      </c>
      <c r="AQ64" s="228">
        <v>0</v>
      </c>
      <c r="AR64" s="230">
        <v>17017200</v>
      </c>
      <c r="AS64" s="230">
        <v>19679400</v>
      </c>
      <c r="AT64" s="230">
        <v>-2662200</v>
      </c>
      <c r="AU64" s="229">
        <v>-0.1353</v>
      </c>
      <c r="AV64" s="230">
        <v>8686800</v>
      </c>
      <c r="AW64" s="230">
        <v>13354200</v>
      </c>
      <c r="AX64" s="230">
        <v>-4667400</v>
      </c>
      <c r="AY64" s="229">
        <v>-0.34949999999999998</v>
      </c>
      <c r="AZ64" s="230">
        <v>8150400</v>
      </c>
      <c r="BA64" s="230">
        <v>5891400</v>
      </c>
      <c r="BB64" s="230">
        <v>2259000</v>
      </c>
      <c r="BC64" s="229">
        <v>0.38340000000000002</v>
      </c>
      <c r="BD64" s="230">
        <v>180000</v>
      </c>
      <c r="BE64" s="230">
        <v>433800</v>
      </c>
      <c r="BF64" s="230">
        <v>-253800</v>
      </c>
      <c r="BG64" s="229">
        <v>-0.58509999999999995</v>
      </c>
      <c r="BH64" s="230">
        <v>41486400</v>
      </c>
      <c r="BI64" s="230">
        <v>119259000</v>
      </c>
      <c r="BJ64" s="230">
        <v>-77772600</v>
      </c>
      <c r="BK64" s="229">
        <v>-0.65210000000000001</v>
      </c>
      <c r="BL64" s="230">
        <v>15809400</v>
      </c>
      <c r="BM64" s="230">
        <v>37832400</v>
      </c>
      <c r="BN64" s="230">
        <v>-22023000</v>
      </c>
      <c r="BO64" s="229">
        <v>-0.58209999999999995</v>
      </c>
      <c r="BP64" s="230">
        <v>74313000</v>
      </c>
      <c r="BQ64" s="230">
        <v>176770800</v>
      </c>
      <c r="BR64" s="230">
        <v>-102457800</v>
      </c>
      <c r="BS64" s="229">
        <v>-0.5796</v>
      </c>
      <c r="BT64" s="230">
        <v>7052745</v>
      </c>
      <c r="BU64" s="230">
        <v>16562759</v>
      </c>
      <c r="BV64" s="230">
        <v>-9510014</v>
      </c>
      <c r="BW64" s="229">
        <v>-0.57420000000000004</v>
      </c>
      <c r="BX64" s="230">
        <v>29599200</v>
      </c>
      <c r="BY64" s="230">
        <v>28738800</v>
      </c>
      <c r="BZ64" s="230">
        <v>860400</v>
      </c>
      <c r="CA64" s="229">
        <v>2.9899999999999999E-2</v>
      </c>
      <c r="CB64" s="230">
        <v>14551200</v>
      </c>
      <c r="CC64" s="230">
        <v>19337400</v>
      </c>
      <c r="CD64" s="230">
        <v>-4786200</v>
      </c>
      <c r="CE64" s="229">
        <v>-0.2475</v>
      </c>
      <c r="CF64" s="230">
        <v>14646600</v>
      </c>
      <c r="CG64" s="230">
        <v>9082800</v>
      </c>
      <c r="CH64" s="230">
        <v>5563800</v>
      </c>
      <c r="CI64" s="229">
        <v>0.61260000000000003</v>
      </c>
      <c r="CJ64" s="230">
        <v>401400</v>
      </c>
      <c r="CK64" s="230">
        <v>318600</v>
      </c>
      <c r="CL64" s="230">
        <v>82800</v>
      </c>
      <c r="CM64" s="229">
        <v>0.25990000000000002</v>
      </c>
      <c r="CN64" s="230">
        <v>19549800</v>
      </c>
      <c r="CO64" s="230">
        <v>17004600</v>
      </c>
      <c r="CP64" s="230">
        <v>2545200</v>
      </c>
      <c r="CQ64" s="229">
        <v>0.1497</v>
      </c>
      <c r="CR64" s="230">
        <v>16983000</v>
      </c>
      <c r="CS64" s="230">
        <v>16093800</v>
      </c>
      <c r="CT64" s="230">
        <v>889200</v>
      </c>
      <c r="CU64" s="229">
        <v>5.5300000000000002E-2</v>
      </c>
      <c r="CV64" s="230">
        <v>66132000</v>
      </c>
      <c r="CW64" s="230">
        <v>61837200</v>
      </c>
      <c r="CX64" s="230">
        <v>4294800</v>
      </c>
      <c r="CY64" s="229">
        <v>6.9500000000000006E-2</v>
      </c>
      <c r="CZ64" s="228">
        <v>41.57</v>
      </c>
      <c r="DA64" s="228">
        <v>37.69</v>
      </c>
      <c r="DB64" s="228">
        <v>3.88</v>
      </c>
      <c r="DC64" s="228">
        <v>3.88</v>
      </c>
      <c r="DD64" s="228">
        <v>36.229999999999997</v>
      </c>
      <c r="DE64" s="228">
        <v>36.21</v>
      </c>
      <c r="DF64" s="228">
        <v>5.34</v>
      </c>
      <c r="DG64" s="228">
        <v>0.02</v>
      </c>
      <c r="DH64" s="228">
        <v>41.85</v>
      </c>
      <c r="DI64" s="228">
        <v>37.31</v>
      </c>
      <c r="DJ64" s="228">
        <v>4.54</v>
      </c>
      <c r="DK64" s="228">
        <v>4.54</v>
      </c>
      <c r="DL64" s="228">
        <v>40.83</v>
      </c>
      <c r="DM64" s="228">
        <v>38.869999999999997</v>
      </c>
      <c r="DN64" s="228">
        <v>1.96</v>
      </c>
      <c r="DO64" s="228">
        <v>1.96</v>
      </c>
      <c r="DP64" s="228">
        <v>0.87</v>
      </c>
      <c r="DQ64" s="228">
        <v>0.95</v>
      </c>
      <c r="DR64" s="228">
        <v>-0.08</v>
      </c>
      <c r="DS64" s="229">
        <v>-8.4199999999999997E-2</v>
      </c>
      <c r="DT64" s="228">
        <v>360</v>
      </c>
      <c r="DU64" s="228">
        <v>310</v>
      </c>
      <c r="DV64" s="228">
        <v>0.38</v>
      </c>
      <c r="DW64" s="228">
        <v>0.32</v>
      </c>
      <c r="DX64" s="228">
        <v>0.06</v>
      </c>
      <c r="DY64" s="229">
        <v>0.1875</v>
      </c>
      <c r="DZ64" s="229">
        <v>0.50839999999999996</v>
      </c>
      <c r="EA64" s="230">
        <v>9401400</v>
      </c>
      <c r="EB64" s="229">
        <v>5.4999999999999997E-3</v>
      </c>
      <c r="EC64" s="229">
        <v>0.50839999999999996</v>
      </c>
      <c r="ED64" s="228">
        <v>1.71</v>
      </c>
      <c r="EE64" s="229">
        <v>4.8999999999999998E-3</v>
      </c>
      <c r="EF64" s="230">
        <v>2092773</v>
      </c>
      <c r="EG64" s="230">
        <v>2534357</v>
      </c>
      <c r="EH64" s="229">
        <v>-0.17419999999999999</v>
      </c>
      <c r="EI64" s="229">
        <v>0.29670000000000002</v>
      </c>
      <c r="EJ64" s="231">
        <v>152425.46</v>
      </c>
      <c r="EK64" s="231">
        <v>54979.77</v>
      </c>
      <c r="EL64" s="231">
        <v>59997.17</v>
      </c>
      <c r="EM64" s="231">
        <v>4847</v>
      </c>
      <c r="EN64" s="231">
        <v>267402.40000000002</v>
      </c>
      <c r="EO64" s="231">
        <v>631266.71</v>
      </c>
      <c r="EP64" s="231">
        <v>-363864.31</v>
      </c>
      <c r="EQ64" s="229">
        <v>-0.57640000000000002</v>
      </c>
      <c r="ER64" s="231">
        <v>67770</v>
      </c>
      <c r="ES64" s="231">
        <v>54533</v>
      </c>
      <c r="ET64" s="231">
        <v>102957</v>
      </c>
      <c r="EU64" s="231">
        <v>50211048</v>
      </c>
      <c r="EV64" s="231">
        <v>225260</v>
      </c>
      <c r="EW64" s="231">
        <v>211642</v>
      </c>
      <c r="EX64" s="231">
        <v>13618</v>
      </c>
      <c r="EY64" s="229">
        <v>6.4299999999999996E-2</v>
      </c>
      <c r="EZ64" s="229">
        <v>1.3170999999999999</v>
      </c>
      <c r="FA64" s="227" t="s">
        <v>566</v>
      </c>
      <c r="FB64" s="161">
        <f t="shared" si="0"/>
        <v>15048000</v>
      </c>
    </row>
    <row r="65" spans="1:158" ht="17.25" thickBot="1" x14ac:dyDescent="0.3">
      <c r="A65" s="226">
        <v>46135</v>
      </c>
      <c r="B65" s="227" t="s">
        <v>172</v>
      </c>
      <c r="C65" s="227" t="s">
        <v>212</v>
      </c>
      <c r="D65" s="228">
        <v>5000</v>
      </c>
      <c r="E65" s="228">
        <v>295.60000000000002</v>
      </c>
      <c r="F65" s="228">
        <v>296.95</v>
      </c>
      <c r="G65" s="228">
        <v>-1.35</v>
      </c>
      <c r="H65" s="229">
        <v>-4.4999999999999997E-3</v>
      </c>
      <c r="I65" s="228">
        <v>295.39999999999998</v>
      </c>
      <c r="J65" s="228">
        <v>296.45</v>
      </c>
      <c r="K65" s="228">
        <v>-1.05</v>
      </c>
      <c r="L65" s="229">
        <v>-3.5000000000000001E-3</v>
      </c>
      <c r="M65" s="228">
        <v>295.60000000000002</v>
      </c>
      <c r="N65" s="228">
        <v>296.95</v>
      </c>
      <c r="O65" s="228">
        <v>-1.35</v>
      </c>
      <c r="P65" s="229">
        <v>-4.4999999999999997E-3</v>
      </c>
      <c r="Q65" s="228">
        <v>297.14999999999998</v>
      </c>
      <c r="R65" s="228">
        <v>298.55</v>
      </c>
      <c r="S65" s="228">
        <v>-1.4</v>
      </c>
      <c r="T65" s="229">
        <v>-4.7000000000000002E-3</v>
      </c>
      <c r="U65" s="228">
        <v>299</v>
      </c>
      <c r="V65" s="228">
        <v>300.25</v>
      </c>
      <c r="W65" s="228">
        <v>-1.25</v>
      </c>
      <c r="X65" s="229">
        <v>-4.1999999999999997E-3</v>
      </c>
      <c r="Y65" s="228">
        <v>0.2</v>
      </c>
      <c r="Z65" s="228">
        <v>0.5</v>
      </c>
      <c r="AA65" s="228">
        <v>-0.3</v>
      </c>
      <c r="AB65" s="229">
        <v>6.9999999999999999E-4</v>
      </c>
      <c r="AC65" s="228">
        <v>0.2</v>
      </c>
      <c r="AD65" s="228">
        <v>0.5</v>
      </c>
      <c r="AE65" s="228">
        <v>-0.3</v>
      </c>
      <c r="AF65" s="229">
        <v>6.9999999999999999E-4</v>
      </c>
      <c r="AG65" s="228">
        <v>1.75</v>
      </c>
      <c r="AH65" s="228">
        <v>2.1</v>
      </c>
      <c r="AI65" s="228">
        <v>-0.35</v>
      </c>
      <c r="AJ65" s="229">
        <v>5.8999999999999999E-3</v>
      </c>
      <c r="AK65" s="228">
        <v>3.6</v>
      </c>
      <c r="AL65" s="228">
        <v>3.8</v>
      </c>
      <c r="AM65" s="228">
        <v>-0.2</v>
      </c>
      <c r="AN65" s="229">
        <v>1.2200000000000001E-2</v>
      </c>
      <c r="AO65" s="228">
        <v>295.25</v>
      </c>
      <c r="AP65" s="228">
        <v>296.77</v>
      </c>
      <c r="AQ65" s="228">
        <v>0</v>
      </c>
      <c r="AR65" s="230">
        <v>35555000</v>
      </c>
      <c r="AS65" s="230">
        <v>17700000</v>
      </c>
      <c r="AT65" s="230">
        <v>17855000</v>
      </c>
      <c r="AU65" s="229">
        <v>1.0087999999999999</v>
      </c>
      <c r="AV65" s="230">
        <v>16290000</v>
      </c>
      <c r="AW65" s="230">
        <v>10010000</v>
      </c>
      <c r="AX65" s="230">
        <v>6280000</v>
      </c>
      <c r="AY65" s="229">
        <v>0.62739999999999996</v>
      </c>
      <c r="AZ65" s="230">
        <v>18865000</v>
      </c>
      <c r="BA65" s="230">
        <v>4880000</v>
      </c>
      <c r="BB65" s="230">
        <v>13985000</v>
      </c>
      <c r="BC65" s="229">
        <v>2.8658000000000001</v>
      </c>
      <c r="BD65" s="230">
        <v>400000</v>
      </c>
      <c r="BE65" s="230">
        <v>2810000</v>
      </c>
      <c r="BF65" s="230">
        <v>-2410000</v>
      </c>
      <c r="BG65" s="229">
        <v>-0.85770000000000002</v>
      </c>
      <c r="BH65" s="230">
        <v>38055000</v>
      </c>
      <c r="BI65" s="230">
        <v>37840000</v>
      </c>
      <c r="BJ65" s="230">
        <v>215000</v>
      </c>
      <c r="BK65" s="229">
        <v>5.7000000000000002E-3</v>
      </c>
      <c r="BL65" s="230">
        <v>23020000</v>
      </c>
      <c r="BM65" s="230">
        <v>25615000</v>
      </c>
      <c r="BN65" s="230">
        <v>-2595000</v>
      </c>
      <c r="BO65" s="229">
        <v>-0.1013</v>
      </c>
      <c r="BP65" s="230">
        <v>96630000</v>
      </c>
      <c r="BQ65" s="230">
        <v>81155000</v>
      </c>
      <c r="BR65" s="230">
        <v>15475000</v>
      </c>
      <c r="BS65" s="229">
        <v>0.19070000000000001</v>
      </c>
      <c r="BT65" s="230">
        <v>3805721</v>
      </c>
      <c r="BU65" s="230">
        <v>6610277</v>
      </c>
      <c r="BV65" s="230">
        <v>-2804556</v>
      </c>
      <c r="BW65" s="229">
        <v>-0.42430000000000001</v>
      </c>
      <c r="BX65" s="230">
        <v>79240000</v>
      </c>
      <c r="BY65" s="230">
        <v>77120000</v>
      </c>
      <c r="BZ65" s="230">
        <v>2120000</v>
      </c>
      <c r="CA65" s="229">
        <v>2.75E-2</v>
      </c>
      <c r="CB65" s="230">
        <v>51630000</v>
      </c>
      <c r="CC65" s="230">
        <v>63520000</v>
      </c>
      <c r="CD65" s="230">
        <v>-11890000</v>
      </c>
      <c r="CE65" s="229">
        <v>-0.18720000000000001</v>
      </c>
      <c r="CF65" s="230">
        <v>24085000</v>
      </c>
      <c r="CG65" s="230">
        <v>10335000</v>
      </c>
      <c r="CH65" s="230">
        <v>13750000</v>
      </c>
      <c r="CI65" s="229">
        <v>1.3304</v>
      </c>
      <c r="CJ65" s="230">
        <v>3525000</v>
      </c>
      <c r="CK65" s="230">
        <v>3265000</v>
      </c>
      <c r="CL65" s="230">
        <v>260000</v>
      </c>
      <c r="CM65" s="229">
        <v>7.9600000000000004E-2</v>
      </c>
      <c r="CN65" s="230">
        <v>38115000</v>
      </c>
      <c r="CO65" s="230">
        <v>38550000</v>
      </c>
      <c r="CP65" s="230">
        <v>-435000</v>
      </c>
      <c r="CQ65" s="229">
        <v>-1.1299999999999999E-2</v>
      </c>
      <c r="CR65" s="230">
        <v>34580000</v>
      </c>
      <c r="CS65" s="230">
        <v>35175000</v>
      </c>
      <c r="CT65" s="230">
        <v>-595000</v>
      </c>
      <c r="CU65" s="229">
        <v>-1.6899999999999998E-2</v>
      </c>
      <c r="CV65" s="230">
        <v>151935000</v>
      </c>
      <c r="CW65" s="230">
        <v>150845000</v>
      </c>
      <c r="CX65" s="230">
        <v>1090000</v>
      </c>
      <c r="CY65" s="229">
        <v>7.1999999999999998E-3</v>
      </c>
      <c r="CZ65" s="228">
        <v>31.66</v>
      </c>
      <c r="DA65" s="228">
        <v>28.66</v>
      </c>
      <c r="DB65" s="228">
        <v>3</v>
      </c>
      <c r="DC65" s="228">
        <v>3</v>
      </c>
      <c r="DD65" s="228">
        <v>32.090000000000003</v>
      </c>
      <c r="DE65" s="228">
        <v>32.17</v>
      </c>
      <c r="DF65" s="228">
        <v>-0.43</v>
      </c>
      <c r="DG65" s="228">
        <v>-0.08</v>
      </c>
      <c r="DH65" s="228">
        <v>31.08</v>
      </c>
      <c r="DI65" s="228">
        <v>26.92</v>
      </c>
      <c r="DJ65" s="228">
        <v>4.16</v>
      </c>
      <c r="DK65" s="228">
        <v>4.16</v>
      </c>
      <c r="DL65" s="228">
        <v>32.46</v>
      </c>
      <c r="DM65" s="228">
        <v>31.23</v>
      </c>
      <c r="DN65" s="228">
        <v>1.23</v>
      </c>
      <c r="DO65" s="228">
        <v>1.23</v>
      </c>
      <c r="DP65" s="228">
        <v>0.91</v>
      </c>
      <c r="DQ65" s="228">
        <v>0.91</v>
      </c>
      <c r="DR65" s="228">
        <v>0</v>
      </c>
      <c r="DS65" s="229">
        <v>0</v>
      </c>
      <c r="DT65" s="228">
        <v>300</v>
      </c>
      <c r="DU65" s="228">
        <v>280</v>
      </c>
      <c r="DV65" s="228">
        <v>0.6</v>
      </c>
      <c r="DW65" s="228">
        <v>0.68</v>
      </c>
      <c r="DX65" s="228">
        <v>-0.08</v>
      </c>
      <c r="DY65" s="229">
        <v>-0.1176</v>
      </c>
      <c r="DZ65" s="229">
        <v>0.34839999999999999</v>
      </c>
      <c r="EA65" s="230">
        <v>13600000</v>
      </c>
      <c r="EB65" s="229">
        <v>5.1999999999999998E-3</v>
      </c>
      <c r="EC65" s="229">
        <v>0.34839999999999999</v>
      </c>
      <c r="ED65" s="228">
        <v>1.52</v>
      </c>
      <c r="EE65" s="229">
        <v>5.1000000000000004E-3</v>
      </c>
      <c r="EF65" s="230">
        <v>2120861</v>
      </c>
      <c r="EG65" s="230">
        <v>3602851</v>
      </c>
      <c r="EH65" s="229">
        <v>-0.4113</v>
      </c>
      <c r="EI65" s="229">
        <v>0.55730000000000002</v>
      </c>
      <c r="EJ65" s="231">
        <v>115715.82</v>
      </c>
      <c r="EK65" s="231">
        <v>66292.75</v>
      </c>
      <c r="EL65" s="231">
        <v>105276.35</v>
      </c>
      <c r="EM65" s="231">
        <v>3505</v>
      </c>
      <c r="EN65" s="231">
        <v>287284.92</v>
      </c>
      <c r="EO65" s="231">
        <v>242526.91</v>
      </c>
      <c r="EP65" s="231">
        <v>44758.01</v>
      </c>
      <c r="EQ65" s="229">
        <v>0.1845</v>
      </c>
      <c r="ER65" s="231">
        <v>112900</v>
      </c>
      <c r="ES65" s="231">
        <v>94910</v>
      </c>
      <c r="ET65" s="231">
        <v>234727</v>
      </c>
      <c r="EU65" s="231">
        <v>359450597</v>
      </c>
      <c r="EV65" s="231">
        <v>442536</v>
      </c>
      <c r="EW65" s="231">
        <v>440061</v>
      </c>
      <c r="EX65" s="231">
        <v>2475</v>
      </c>
      <c r="EY65" s="229">
        <v>5.5999999999999999E-3</v>
      </c>
      <c r="EZ65" s="229">
        <v>0.42270000000000002</v>
      </c>
      <c r="FA65" s="227" t="s">
        <v>566</v>
      </c>
      <c r="FB65" s="161">
        <f t="shared" si="0"/>
        <v>27610000</v>
      </c>
    </row>
    <row r="66" spans="1:158" ht="17.25" thickBot="1" x14ac:dyDescent="0.3">
      <c r="A66" s="226">
        <v>46135</v>
      </c>
      <c r="B66" s="227" t="s">
        <v>181</v>
      </c>
      <c r="C66" s="227" t="s">
        <v>480</v>
      </c>
      <c r="D66" s="228">
        <v>60</v>
      </c>
      <c r="E66" s="231">
        <v>26273.9</v>
      </c>
      <c r="F66" s="231">
        <v>26644.9</v>
      </c>
      <c r="G66" s="228">
        <v>-371</v>
      </c>
      <c r="H66" s="229">
        <v>-1.3899999999999999E-2</v>
      </c>
      <c r="I66" s="231">
        <v>26247.200000000001</v>
      </c>
      <c r="J66" s="231">
        <v>26625.25</v>
      </c>
      <c r="K66" s="228">
        <v>-378.05</v>
      </c>
      <c r="L66" s="229">
        <v>-1.4200000000000001E-2</v>
      </c>
      <c r="M66" s="231">
        <v>26273.9</v>
      </c>
      <c r="N66" s="231">
        <v>26644.9</v>
      </c>
      <c r="O66" s="228">
        <v>-371</v>
      </c>
      <c r="P66" s="229">
        <v>-1.3899999999999999E-2</v>
      </c>
      <c r="Q66" s="231">
        <v>26456.799999999999</v>
      </c>
      <c r="R66" s="231">
        <v>26850.2</v>
      </c>
      <c r="S66" s="228">
        <v>-393.4</v>
      </c>
      <c r="T66" s="229">
        <v>-1.47E-2</v>
      </c>
      <c r="U66" s="228">
        <v>0</v>
      </c>
      <c r="V66" s="228">
        <v>0</v>
      </c>
      <c r="W66" s="228">
        <v>0</v>
      </c>
      <c r="X66" s="229">
        <v>0</v>
      </c>
      <c r="Y66" s="228">
        <v>26.7</v>
      </c>
      <c r="Z66" s="228">
        <v>19.649999999999999</v>
      </c>
      <c r="AA66" s="228">
        <v>7.05</v>
      </c>
      <c r="AB66" s="229">
        <v>1E-3</v>
      </c>
      <c r="AC66" s="228">
        <v>26.7</v>
      </c>
      <c r="AD66" s="228">
        <v>19.649999999999999</v>
      </c>
      <c r="AE66" s="228">
        <v>7.05</v>
      </c>
      <c r="AF66" s="229">
        <v>1E-3</v>
      </c>
      <c r="AG66" s="228">
        <v>209.6</v>
      </c>
      <c r="AH66" s="228">
        <v>224.95</v>
      </c>
      <c r="AI66" s="228">
        <v>-15.35</v>
      </c>
      <c r="AJ66" s="229">
        <v>8.0000000000000002E-3</v>
      </c>
      <c r="AK66" s="228">
        <v>0</v>
      </c>
      <c r="AL66" s="228">
        <v>0</v>
      </c>
      <c r="AM66" s="228">
        <v>0</v>
      </c>
      <c r="AN66" s="229">
        <v>0</v>
      </c>
      <c r="AO66" s="231">
        <v>26347.7</v>
      </c>
      <c r="AP66" s="231">
        <v>26542.35</v>
      </c>
      <c r="AQ66" s="228">
        <v>0</v>
      </c>
      <c r="AR66" s="230">
        <v>16380</v>
      </c>
      <c r="AS66" s="230">
        <v>14280</v>
      </c>
      <c r="AT66" s="230">
        <v>2100</v>
      </c>
      <c r="AU66" s="229">
        <v>0.14710000000000001</v>
      </c>
      <c r="AV66" s="230">
        <v>11280</v>
      </c>
      <c r="AW66" s="230">
        <v>11520</v>
      </c>
      <c r="AX66" s="228">
        <v>-240</v>
      </c>
      <c r="AY66" s="229">
        <v>-2.0799999999999999E-2</v>
      </c>
      <c r="AZ66" s="230">
        <v>5100</v>
      </c>
      <c r="BA66" s="230">
        <v>2760</v>
      </c>
      <c r="BB66" s="230">
        <v>2340</v>
      </c>
      <c r="BC66" s="229">
        <v>0.8478</v>
      </c>
      <c r="BD66" s="228">
        <v>0</v>
      </c>
      <c r="BE66" s="228">
        <v>0</v>
      </c>
      <c r="BF66" s="228">
        <v>0</v>
      </c>
      <c r="BG66" s="229">
        <v>0</v>
      </c>
      <c r="BH66" s="230">
        <v>1855680</v>
      </c>
      <c r="BI66" s="230">
        <v>1364040</v>
      </c>
      <c r="BJ66" s="230">
        <v>491640</v>
      </c>
      <c r="BK66" s="229">
        <v>0.3604</v>
      </c>
      <c r="BL66" s="230">
        <v>1438620</v>
      </c>
      <c r="BM66" s="230">
        <v>1120800</v>
      </c>
      <c r="BN66" s="230">
        <v>317820</v>
      </c>
      <c r="BO66" s="229">
        <v>0.28360000000000002</v>
      </c>
      <c r="BP66" s="230">
        <v>3310680</v>
      </c>
      <c r="BQ66" s="230">
        <v>2499120</v>
      </c>
      <c r="BR66" s="230">
        <v>811560</v>
      </c>
      <c r="BS66" s="229">
        <v>0.32469999999999999</v>
      </c>
      <c r="BT66" s="228">
        <v>0</v>
      </c>
      <c r="BU66" s="228">
        <v>0</v>
      </c>
      <c r="BV66" s="228">
        <v>0</v>
      </c>
      <c r="BW66" s="229">
        <v>0</v>
      </c>
      <c r="BX66" s="230">
        <v>27600</v>
      </c>
      <c r="BY66" s="230">
        <v>25440</v>
      </c>
      <c r="BZ66" s="230">
        <v>2160</v>
      </c>
      <c r="CA66" s="229">
        <v>8.4900000000000003E-2</v>
      </c>
      <c r="CB66" s="230">
        <v>21720</v>
      </c>
      <c r="CC66" s="230">
        <v>21360</v>
      </c>
      <c r="CD66" s="228">
        <v>360</v>
      </c>
      <c r="CE66" s="229">
        <v>1.6899999999999998E-2</v>
      </c>
      <c r="CF66" s="230">
        <v>5880</v>
      </c>
      <c r="CG66" s="230">
        <v>4080</v>
      </c>
      <c r="CH66" s="230">
        <v>1800</v>
      </c>
      <c r="CI66" s="229">
        <v>0.44119999999999998</v>
      </c>
      <c r="CJ66" s="228">
        <v>0</v>
      </c>
      <c r="CK66" s="228">
        <v>0</v>
      </c>
      <c r="CL66" s="228">
        <v>0</v>
      </c>
      <c r="CM66" s="229">
        <v>0</v>
      </c>
      <c r="CN66" s="230">
        <v>600360</v>
      </c>
      <c r="CO66" s="230">
        <v>519540</v>
      </c>
      <c r="CP66" s="230">
        <v>80820</v>
      </c>
      <c r="CQ66" s="229">
        <v>0.15559999999999999</v>
      </c>
      <c r="CR66" s="230">
        <v>536160</v>
      </c>
      <c r="CS66" s="230">
        <v>493860</v>
      </c>
      <c r="CT66" s="230">
        <v>42300</v>
      </c>
      <c r="CU66" s="229">
        <v>8.5699999999999998E-2</v>
      </c>
      <c r="CV66" s="230">
        <v>1164120</v>
      </c>
      <c r="CW66" s="230">
        <v>1038840</v>
      </c>
      <c r="CX66" s="230">
        <v>125280</v>
      </c>
      <c r="CY66" s="229">
        <v>0.1206</v>
      </c>
      <c r="CZ66" s="228">
        <v>17.86</v>
      </c>
      <c r="DA66" s="228">
        <v>23.32</v>
      </c>
      <c r="DB66" s="228">
        <v>-5.46</v>
      </c>
      <c r="DC66" s="228">
        <v>-5.46</v>
      </c>
      <c r="DD66" s="228">
        <v>21.72</v>
      </c>
      <c r="DE66" s="228">
        <v>21.69</v>
      </c>
      <c r="DF66" s="228">
        <v>-3.86</v>
      </c>
      <c r="DG66" s="228">
        <v>0.03</v>
      </c>
      <c r="DH66" s="228">
        <v>17.86</v>
      </c>
      <c r="DI66" s="228">
        <v>22.25</v>
      </c>
      <c r="DJ66" s="228">
        <v>-4.3899999999999997</v>
      </c>
      <c r="DK66" s="228">
        <v>-4.3899999999999997</v>
      </c>
      <c r="DL66" s="228">
        <v>17.86</v>
      </c>
      <c r="DM66" s="228">
        <v>24.61</v>
      </c>
      <c r="DN66" s="228">
        <v>-6.75</v>
      </c>
      <c r="DO66" s="228">
        <v>-6.75</v>
      </c>
      <c r="DP66" s="228">
        <v>0.89</v>
      </c>
      <c r="DQ66" s="228">
        <v>0.95</v>
      </c>
      <c r="DR66" s="228">
        <v>-0.06</v>
      </c>
      <c r="DS66" s="229">
        <v>-6.3200000000000006E-2</v>
      </c>
      <c r="DT66" s="231">
        <v>26500</v>
      </c>
      <c r="DU66" s="231">
        <v>24000</v>
      </c>
      <c r="DV66" s="228">
        <v>0.78</v>
      </c>
      <c r="DW66" s="228">
        <v>0.82</v>
      </c>
      <c r="DX66" s="228">
        <v>-0.04</v>
      </c>
      <c r="DY66" s="229">
        <v>-4.8800000000000003E-2</v>
      </c>
      <c r="DZ66" s="229">
        <v>0.21299999999999999</v>
      </c>
      <c r="EA66" s="230">
        <v>4080</v>
      </c>
      <c r="EB66" s="229">
        <v>7.0000000000000001E-3</v>
      </c>
      <c r="EC66" s="229">
        <v>0.21299999999999999</v>
      </c>
      <c r="ED66" s="228">
        <v>194.65</v>
      </c>
      <c r="EE66" s="229">
        <v>7.4000000000000003E-3</v>
      </c>
      <c r="EF66" s="228">
        <v>0</v>
      </c>
      <c r="EG66" s="228">
        <v>0</v>
      </c>
      <c r="EH66" s="229">
        <v>0</v>
      </c>
      <c r="EI66" s="229">
        <v>0</v>
      </c>
      <c r="EJ66" s="231">
        <v>508858.07</v>
      </c>
      <c r="EK66" s="231">
        <v>368606.24</v>
      </c>
      <c r="EL66" s="231">
        <v>4325.68</v>
      </c>
      <c r="EM66" s="228">
        <v>0</v>
      </c>
      <c r="EN66" s="231">
        <v>881789.99</v>
      </c>
      <c r="EO66" s="231">
        <v>671964.35</v>
      </c>
      <c r="EP66" s="231">
        <v>209825.64</v>
      </c>
      <c r="EQ66" s="229">
        <v>0.31230000000000002</v>
      </c>
      <c r="ER66" s="231">
        <v>164287</v>
      </c>
      <c r="ES66" s="231">
        <v>134540</v>
      </c>
      <c r="ET66" s="231">
        <v>7262</v>
      </c>
      <c r="EU66" s="228">
        <v>0</v>
      </c>
      <c r="EV66" s="231">
        <v>306090</v>
      </c>
      <c r="EW66" s="231">
        <v>273568</v>
      </c>
      <c r="EX66" s="231">
        <v>32522</v>
      </c>
      <c r="EY66" s="229">
        <v>0.11890000000000001</v>
      </c>
      <c r="EZ66" s="229">
        <v>0</v>
      </c>
      <c r="FA66" s="227" t="s">
        <v>566</v>
      </c>
      <c r="FB66" s="161">
        <f t="shared" si="0"/>
        <v>5880</v>
      </c>
    </row>
    <row r="67" spans="1:158" ht="17.25" thickBot="1" x14ac:dyDescent="0.3">
      <c r="A67" s="226">
        <v>46135</v>
      </c>
      <c r="B67" s="227" t="s">
        <v>162</v>
      </c>
      <c r="C67" s="227" t="s">
        <v>700</v>
      </c>
      <c r="D67" s="228">
        <v>25</v>
      </c>
      <c r="E67" s="231">
        <v>20663</v>
      </c>
      <c r="F67" s="231">
        <v>21720</v>
      </c>
      <c r="G67" s="231">
        <v>-1057</v>
      </c>
      <c r="H67" s="229">
        <v>-4.87E-2</v>
      </c>
      <c r="I67" s="231">
        <v>20750</v>
      </c>
      <c r="J67" s="231">
        <v>21770</v>
      </c>
      <c r="K67" s="231">
        <v>-1020</v>
      </c>
      <c r="L67" s="229">
        <v>-4.6899999999999997E-2</v>
      </c>
      <c r="M67" s="231">
        <v>20663</v>
      </c>
      <c r="N67" s="231">
        <v>21720</v>
      </c>
      <c r="O67" s="231">
        <v>-1057</v>
      </c>
      <c r="P67" s="229">
        <v>-4.87E-2</v>
      </c>
      <c r="Q67" s="231">
        <v>20472</v>
      </c>
      <c r="R67" s="231">
        <v>21624</v>
      </c>
      <c r="S67" s="231">
        <v>-1152</v>
      </c>
      <c r="T67" s="229">
        <v>-5.33E-2</v>
      </c>
      <c r="U67" s="231">
        <v>20436</v>
      </c>
      <c r="V67" s="231">
        <v>21654</v>
      </c>
      <c r="W67" s="231">
        <v>-1218</v>
      </c>
      <c r="X67" s="229">
        <v>-5.62E-2</v>
      </c>
      <c r="Y67" s="228">
        <v>-87</v>
      </c>
      <c r="Z67" s="228">
        <v>-50</v>
      </c>
      <c r="AA67" s="228">
        <v>-37</v>
      </c>
      <c r="AB67" s="229">
        <v>-4.1999999999999997E-3</v>
      </c>
      <c r="AC67" s="228">
        <v>-87</v>
      </c>
      <c r="AD67" s="228">
        <v>-50</v>
      </c>
      <c r="AE67" s="228">
        <v>-37</v>
      </c>
      <c r="AF67" s="229">
        <v>-4.1999999999999997E-3</v>
      </c>
      <c r="AG67" s="228">
        <v>-278</v>
      </c>
      <c r="AH67" s="228">
        <v>-146</v>
      </c>
      <c r="AI67" s="228">
        <v>-132</v>
      </c>
      <c r="AJ67" s="229">
        <v>-1.34E-2</v>
      </c>
      <c r="AK67" s="228">
        <v>-314</v>
      </c>
      <c r="AL67" s="228">
        <v>-116</v>
      </c>
      <c r="AM67" s="228">
        <v>-198</v>
      </c>
      <c r="AN67" s="229">
        <v>-1.5100000000000001E-2</v>
      </c>
      <c r="AO67" s="231">
        <v>20889.02</v>
      </c>
      <c r="AP67" s="231">
        <v>20678.39</v>
      </c>
      <c r="AQ67" s="228">
        <v>0</v>
      </c>
      <c r="AR67" s="230">
        <v>161625</v>
      </c>
      <c r="AS67" s="230">
        <v>52350</v>
      </c>
      <c r="AT67" s="230">
        <v>109275</v>
      </c>
      <c r="AU67" s="229">
        <v>2.0874000000000001</v>
      </c>
      <c r="AV67" s="230">
        <v>74725</v>
      </c>
      <c r="AW67" s="230">
        <v>29000</v>
      </c>
      <c r="AX67" s="230">
        <v>45725</v>
      </c>
      <c r="AY67" s="229">
        <v>1.5767</v>
      </c>
      <c r="AZ67" s="230">
        <v>85825</v>
      </c>
      <c r="BA67" s="230">
        <v>23025</v>
      </c>
      <c r="BB67" s="230">
        <v>62800</v>
      </c>
      <c r="BC67" s="229">
        <v>2.7275</v>
      </c>
      <c r="BD67" s="230">
        <v>1075</v>
      </c>
      <c r="BE67" s="228">
        <v>325</v>
      </c>
      <c r="BF67" s="228">
        <v>750</v>
      </c>
      <c r="BG67" s="229">
        <v>2.3077000000000001</v>
      </c>
      <c r="BH67" s="230">
        <v>188350</v>
      </c>
      <c r="BI67" s="230">
        <v>68425</v>
      </c>
      <c r="BJ67" s="230">
        <v>119925</v>
      </c>
      <c r="BK67" s="229">
        <v>1.7525999999999999</v>
      </c>
      <c r="BL67" s="230">
        <v>92700</v>
      </c>
      <c r="BM67" s="230">
        <v>53775</v>
      </c>
      <c r="BN67" s="230">
        <v>38925</v>
      </c>
      <c r="BO67" s="229">
        <v>0.7238</v>
      </c>
      <c r="BP67" s="230">
        <v>442675</v>
      </c>
      <c r="BQ67" s="230">
        <v>174550</v>
      </c>
      <c r="BR67" s="230">
        <v>268125</v>
      </c>
      <c r="BS67" s="229">
        <v>1.5361</v>
      </c>
      <c r="BT67" s="230">
        <v>171097</v>
      </c>
      <c r="BU67" s="230">
        <v>65163</v>
      </c>
      <c r="BV67" s="230">
        <v>105934</v>
      </c>
      <c r="BW67" s="229">
        <v>1.6256999999999999</v>
      </c>
      <c r="BX67" s="230">
        <v>184275</v>
      </c>
      <c r="BY67" s="230">
        <v>164550</v>
      </c>
      <c r="BZ67" s="230">
        <v>19725</v>
      </c>
      <c r="CA67" s="229">
        <v>0.11990000000000001</v>
      </c>
      <c r="CB67" s="230">
        <v>84950</v>
      </c>
      <c r="CC67" s="230">
        <v>107625</v>
      </c>
      <c r="CD67" s="230">
        <v>-22675</v>
      </c>
      <c r="CE67" s="229">
        <v>-0.2107</v>
      </c>
      <c r="CF67" s="230">
        <v>96875</v>
      </c>
      <c r="CG67" s="230">
        <v>55225</v>
      </c>
      <c r="CH67" s="230">
        <v>41650</v>
      </c>
      <c r="CI67" s="229">
        <v>0.75419999999999998</v>
      </c>
      <c r="CJ67" s="230">
        <v>2450</v>
      </c>
      <c r="CK67" s="230">
        <v>1700</v>
      </c>
      <c r="CL67" s="228">
        <v>750</v>
      </c>
      <c r="CM67" s="229">
        <v>0.44119999999999998</v>
      </c>
      <c r="CN67" s="230">
        <v>98500</v>
      </c>
      <c r="CO67" s="230">
        <v>81300</v>
      </c>
      <c r="CP67" s="230">
        <v>17200</v>
      </c>
      <c r="CQ67" s="229">
        <v>0.21160000000000001</v>
      </c>
      <c r="CR67" s="230">
        <v>30450</v>
      </c>
      <c r="CS67" s="230">
        <v>29025</v>
      </c>
      <c r="CT67" s="230">
        <v>1425</v>
      </c>
      <c r="CU67" s="229">
        <v>4.9099999999999998E-2</v>
      </c>
      <c r="CV67" s="230">
        <v>313225</v>
      </c>
      <c r="CW67" s="230">
        <v>274875</v>
      </c>
      <c r="CX67" s="230">
        <v>38350</v>
      </c>
      <c r="CY67" s="229">
        <v>0.13950000000000001</v>
      </c>
      <c r="CZ67" s="228">
        <v>64.61</v>
      </c>
      <c r="DA67" s="228">
        <v>71.58</v>
      </c>
      <c r="DB67" s="228">
        <v>-6.97</v>
      </c>
      <c r="DC67" s="228">
        <v>-6.97</v>
      </c>
      <c r="DD67" s="228">
        <v>65.52</v>
      </c>
      <c r="DE67" s="228">
        <v>65.34</v>
      </c>
      <c r="DF67" s="228">
        <v>-0.91</v>
      </c>
      <c r="DG67" s="228">
        <v>0.18</v>
      </c>
      <c r="DH67" s="228">
        <v>64.599999999999994</v>
      </c>
      <c r="DI67" s="228">
        <v>62.51</v>
      </c>
      <c r="DJ67" s="228">
        <v>2.09</v>
      </c>
      <c r="DK67" s="228">
        <v>2.09</v>
      </c>
      <c r="DL67" s="228">
        <v>64.650000000000006</v>
      </c>
      <c r="DM67" s="228">
        <v>83.11</v>
      </c>
      <c r="DN67" s="228">
        <v>-18.46</v>
      </c>
      <c r="DO67" s="228">
        <v>-18.46</v>
      </c>
      <c r="DP67" s="228">
        <v>0.31</v>
      </c>
      <c r="DQ67" s="228">
        <v>0.36</v>
      </c>
      <c r="DR67" s="228">
        <v>-0.05</v>
      </c>
      <c r="DS67" s="229">
        <v>-0.1389</v>
      </c>
      <c r="DT67" s="231">
        <v>25000</v>
      </c>
      <c r="DU67" s="231">
        <v>20000</v>
      </c>
      <c r="DV67" s="228">
        <v>0.49</v>
      </c>
      <c r="DW67" s="228">
        <v>0.79</v>
      </c>
      <c r="DX67" s="228">
        <v>-0.3</v>
      </c>
      <c r="DY67" s="229">
        <v>-0.37969999999999998</v>
      </c>
      <c r="DZ67" s="229">
        <v>0.53900000000000003</v>
      </c>
      <c r="EA67" s="230">
        <v>56925</v>
      </c>
      <c r="EB67" s="229">
        <v>-9.1999999999999998E-3</v>
      </c>
      <c r="EC67" s="229">
        <v>0.53900000000000003</v>
      </c>
      <c r="ED67" s="228">
        <v>-210.63</v>
      </c>
      <c r="EE67" s="229">
        <v>-1.01E-2</v>
      </c>
      <c r="EF67" s="230">
        <v>60329</v>
      </c>
      <c r="EG67" s="230">
        <v>14244</v>
      </c>
      <c r="EH67" s="229">
        <v>3.2353999999999998</v>
      </c>
      <c r="EI67" s="229">
        <v>0.35260000000000002</v>
      </c>
      <c r="EJ67" s="231">
        <v>43834.02</v>
      </c>
      <c r="EK67" s="231">
        <v>18902.939999999999</v>
      </c>
      <c r="EL67" s="231">
        <v>33577.78</v>
      </c>
      <c r="EM67" s="231">
        <v>1534</v>
      </c>
      <c r="EN67" s="231">
        <v>96314.74</v>
      </c>
      <c r="EO67" s="231">
        <v>37493.99</v>
      </c>
      <c r="EP67" s="231">
        <v>58820.75</v>
      </c>
      <c r="EQ67" s="229">
        <v>1.5688</v>
      </c>
      <c r="ER67" s="231">
        <v>23063</v>
      </c>
      <c r="ES67" s="231">
        <v>6149</v>
      </c>
      <c r="ET67" s="231">
        <v>37886</v>
      </c>
      <c r="EU67" s="231">
        <v>736885</v>
      </c>
      <c r="EV67" s="231">
        <v>67098</v>
      </c>
      <c r="EW67" s="231">
        <v>60777</v>
      </c>
      <c r="EX67" s="231">
        <v>6321</v>
      </c>
      <c r="EY67" s="229">
        <v>0.104</v>
      </c>
      <c r="EZ67" s="229">
        <v>0.42509999999999998</v>
      </c>
      <c r="FA67" s="227" t="s">
        <v>566</v>
      </c>
      <c r="FB67" s="161">
        <f t="shared" ref="FB67:FB130" si="1">BX67-CB67</f>
        <v>99325</v>
      </c>
    </row>
    <row r="68" spans="1:158" ht="17.25" thickBot="1" x14ac:dyDescent="0.3">
      <c r="A68" s="226">
        <v>46135</v>
      </c>
      <c r="B68" s="227" t="s">
        <v>170</v>
      </c>
      <c r="C68" s="227" t="s">
        <v>675</v>
      </c>
      <c r="D68" s="228">
        <v>775</v>
      </c>
      <c r="E68" s="228">
        <v>925.45</v>
      </c>
      <c r="F68" s="228">
        <v>923.7</v>
      </c>
      <c r="G68" s="228">
        <v>1.75</v>
      </c>
      <c r="H68" s="229">
        <v>1.9E-3</v>
      </c>
      <c r="I68" s="228">
        <v>926.75</v>
      </c>
      <c r="J68" s="228">
        <v>923.1</v>
      </c>
      <c r="K68" s="228">
        <v>3.65</v>
      </c>
      <c r="L68" s="229">
        <v>4.0000000000000001E-3</v>
      </c>
      <c r="M68" s="228">
        <v>925.45</v>
      </c>
      <c r="N68" s="228">
        <v>923.7</v>
      </c>
      <c r="O68" s="228">
        <v>1.75</v>
      </c>
      <c r="P68" s="229">
        <v>1.9E-3</v>
      </c>
      <c r="Q68" s="228">
        <v>929.9</v>
      </c>
      <c r="R68" s="228">
        <v>928.5</v>
      </c>
      <c r="S68" s="228">
        <v>1.4</v>
      </c>
      <c r="T68" s="229">
        <v>1.5E-3</v>
      </c>
      <c r="U68" s="228">
        <v>935</v>
      </c>
      <c r="V68" s="228">
        <v>939.55</v>
      </c>
      <c r="W68" s="228">
        <v>-4.55</v>
      </c>
      <c r="X68" s="229">
        <v>-4.7999999999999996E-3</v>
      </c>
      <c r="Y68" s="228">
        <v>-1.3</v>
      </c>
      <c r="Z68" s="228">
        <v>0.6</v>
      </c>
      <c r="AA68" s="228">
        <v>-1.9</v>
      </c>
      <c r="AB68" s="229">
        <v>-1.4E-3</v>
      </c>
      <c r="AC68" s="228">
        <v>-1.3</v>
      </c>
      <c r="AD68" s="228">
        <v>0.6</v>
      </c>
      <c r="AE68" s="228">
        <v>-1.9</v>
      </c>
      <c r="AF68" s="229">
        <v>-1.4E-3</v>
      </c>
      <c r="AG68" s="228">
        <v>3.15</v>
      </c>
      <c r="AH68" s="228">
        <v>5.4</v>
      </c>
      <c r="AI68" s="228">
        <v>-2.25</v>
      </c>
      <c r="AJ68" s="229">
        <v>3.3999999999999998E-3</v>
      </c>
      <c r="AK68" s="228">
        <v>8.25</v>
      </c>
      <c r="AL68" s="228">
        <v>16.45</v>
      </c>
      <c r="AM68" s="228">
        <v>-8.1999999999999993</v>
      </c>
      <c r="AN68" s="229">
        <v>8.8999999999999999E-3</v>
      </c>
      <c r="AO68" s="228">
        <v>921.83</v>
      </c>
      <c r="AP68" s="228">
        <v>926.4</v>
      </c>
      <c r="AQ68" s="228">
        <v>0</v>
      </c>
      <c r="AR68" s="230">
        <v>7272600</v>
      </c>
      <c r="AS68" s="230">
        <v>3763400</v>
      </c>
      <c r="AT68" s="230">
        <v>3509200</v>
      </c>
      <c r="AU68" s="229">
        <v>0.9325</v>
      </c>
      <c r="AV68" s="230">
        <v>3907550</v>
      </c>
      <c r="AW68" s="230">
        <v>2868275</v>
      </c>
      <c r="AX68" s="230">
        <v>1039275</v>
      </c>
      <c r="AY68" s="229">
        <v>0.36230000000000001</v>
      </c>
      <c r="AZ68" s="230">
        <v>2409475</v>
      </c>
      <c r="BA68" s="230">
        <v>874975</v>
      </c>
      <c r="BB68" s="230">
        <v>1534500</v>
      </c>
      <c r="BC68" s="229">
        <v>1.7538</v>
      </c>
      <c r="BD68" s="230">
        <v>955575</v>
      </c>
      <c r="BE68" s="230">
        <v>20150</v>
      </c>
      <c r="BF68" s="230">
        <v>935425</v>
      </c>
      <c r="BG68" s="229">
        <v>46.423099999999998</v>
      </c>
      <c r="BH68" s="230">
        <v>3527800</v>
      </c>
      <c r="BI68" s="230">
        <v>8323500</v>
      </c>
      <c r="BJ68" s="230">
        <v>-4795700</v>
      </c>
      <c r="BK68" s="229">
        <v>-0.57620000000000005</v>
      </c>
      <c r="BL68" s="230">
        <v>1367875</v>
      </c>
      <c r="BM68" s="230">
        <v>7001350</v>
      </c>
      <c r="BN68" s="230">
        <v>-5633475</v>
      </c>
      <c r="BO68" s="229">
        <v>-0.80459999999999998</v>
      </c>
      <c r="BP68" s="230">
        <v>12168275</v>
      </c>
      <c r="BQ68" s="230">
        <v>19088250</v>
      </c>
      <c r="BR68" s="230">
        <v>-6919975</v>
      </c>
      <c r="BS68" s="229">
        <v>-0.36249999999999999</v>
      </c>
      <c r="BT68" s="230">
        <v>1308028</v>
      </c>
      <c r="BU68" s="230">
        <v>2739242</v>
      </c>
      <c r="BV68" s="230">
        <v>-1431214</v>
      </c>
      <c r="BW68" s="229">
        <v>-0.52249999999999996</v>
      </c>
      <c r="BX68" s="230">
        <v>10176525</v>
      </c>
      <c r="BY68" s="230">
        <v>10378800</v>
      </c>
      <c r="BZ68" s="230">
        <v>-202275</v>
      </c>
      <c r="CA68" s="229">
        <v>-1.95E-2</v>
      </c>
      <c r="CB68" s="230">
        <v>5692375</v>
      </c>
      <c r="CC68" s="230">
        <v>8560650</v>
      </c>
      <c r="CD68" s="230">
        <v>-2868275</v>
      </c>
      <c r="CE68" s="229">
        <v>-0.33510000000000001</v>
      </c>
      <c r="CF68" s="230">
        <v>2725675</v>
      </c>
      <c r="CG68" s="230">
        <v>998200</v>
      </c>
      <c r="CH68" s="230">
        <v>1727475</v>
      </c>
      <c r="CI68" s="229">
        <v>1.7305999999999999</v>
      </c>
      <c r="CJ68" s="230">
        <v>1758475</v>
      </c>
      <c r="CK68" s="230">
        <v>819950</v>
      </c>
      <c r="CL68" s="230">
        <v>938525</v>
      </c>
      <c r="CM68" s="229">
        <v>1.1446000000000001</v>
      </c>
      <c r="CN68" s="230">
        <v>2793100</v>
      </c>
      <c r="CO68" s="230">
        <v>2930275</v>
      </c>
      <c r="CP68" s="230">
        <v>-137175</v>
      </c>
      <c r="CQ68" s="229">
        <v>-4.6800000000000001E-2</v>
      </c>
      <c r="CR68" s="230">
        <v>2178525</v>
      </c>
      <c r="CS68" s="230">
        <v>2339725</v>
      </c>
      <c r="CT68" s="230">
        <v>-161200</v>
      </c>
      <c r="CU68" s="229">
        <v>-6.8900000000000003E-2</v>
      </c>
      <c r="CV68" s="230">
        <v>15148150</v>
      </c>
      <c r="CW68" s="230">
        <v>15648800</v>
      </c>
      <c r="CX68" s="230">
        <v>-500650</v>
      </c>
      <c r="CY68" s="229">
        <v>-3.2000000000000001E-2</v>
      </c>
      <c r="CZ68" s="228">
        <v>31.73</v>
      </c>
      <c r="DA68" s="228">
        <v>26.81</v>
      </c>
      <c r="DB68" s="228">
        <v>4.92</v>
      </c>
      <c r="DC68" s="228">
        <v>4.92</v>
      </c>
      <c r="DD68" s="228">
        <v>35.270000000000003</v>
      </c>
      <c r="DE68" s="228">
        <v>35.36</v>
      </c>
      <c r="DF68" s="228">
        <v>-3.54</v>
      </c>
      <c r="DG68" s="228">
        <v>-0.09</v>
      </c>
      <c r="DH68" s="228">
        <v>31.34</v>
      </c>
      <c r="DI68" s="228">
        <v>24.32</v>
      </c>
      <c r="DJ68" s="228">
        <v>7.02</v>
      </c>
      <c r="DK68" s="228">
        <v>7.02</v>
      </c>
      <c r="DL68" s="228">
        <v>32.99</v>
      </c>
      <c r="DM68" s="228">
        <v>29.78</v>
      </c>
      <c r="DN68" s="228">
        <v>3.21</v>
      </c>
      <c r="DO68" s="228">
        <v>3.21</v>
      </c>
      <c r="DP68" s="228">
        <v>0.78</v>
      </c>
      <c r="DQ68" s="228">
        <v>0.8</v>
      </c>
      <c r="DR68" s="228">
        <v>-0.02</v>
      </c>
      <c r="DS68" s="229">
        <v>-2.5000000000000001E-2</v>
      </c>
      <c r="DT68" s="228">
        <v>960</v>
      </c>
      <c r="DU68" s="228">
        <v>880</v>
      </c>
      <c r="DV68" s="228">
        <v>0.39</v>
      </c>
      <c r="DW68" s="228">
        <v>0.84</v>
      </c>
      <c r="DX68" s="228">
        <v>-0.45</v>
      </c>
      <c r="DY68" s="229">
        <v>-0.53569999999999995</v>
      </c>
      <c r="DZ68" s="229">
        <v>0.44059999999999999</v>
      </c>
      <c r="EA68" s="230">
        <v>1818150</v>
      </c>
      <c r="EB68" s="229">
        <v>4.7999999999999996E-3</v>
      </c>
      <c r="EC68" s="229">
        <v>0.44059999999999999</v>
      </c>
      <c r="ED68" s="228">
        <v>4.57</v>
      </c>
      <c r="EE68" s="229">
        <v>5.0000000000000001E-3</v>
      </c>
      <c r="EF68" s="230">
        <v>642966</v>
      </c>
      <c r="EG68" s="230">
        <v>1453020</v>
      </c>
      <c r="EH68" s="229">
        <v>-0.5575</v>
      </c>
      <c r="EI68" s="229">
        <v>0.49159999999999998</v>
      </c>
      <c r="EJ68" s="231">
        <v>33432.050000000003</v>
      </c>
      <c r="EK68" s="231">
        <v>12311.89</v>
      </c>
      <c r="EL68" s="231">
        <v>67244.899999999994</v>
      </c>
      <c r="EM68" s="231">
        <v>3435</v>
      </c>
      <c r="EN68" s="231">
        <v>112988.84</v>
      </c>
      <c r="EO68" s="231">
        <v>176043.56</v>
      </c>
      <c r="EP68" s="231">
        <v>-63054.720000000001</v>
      </c>
      <c r="EQ68" s="229">
        <v>-0.35820000000000002</v>
      </c>
      <c r="ER68" s="231">
        <v>25380</v>
      </c>
      <c r="ES68" s="231">
        <v>18814</v>
      </c>
      <c r="ET68" s="231">
        <v>94468</v>
      </c>
      <c r="EU68" s="231">
        <v>70894446</v>
      </c>
      <c r="EV68" s="231">
        <v>138662</v>
      </c>
      <c r="EW68" s="231">
        <v>142961</v>
      </c>
      <c r="EX68" s="231">
        <v>-4299</v>
      </c>
      <c r="EY68" s="229">
        <v>-3.0099999999999998E-2</v>
      </c>
      <c r="EZ68" s="229">
        <v>0.2137</v>
      </c>
      <c r="FA68" s="227" t="s">
        <v>693</v>
      </c>
      <c r="FB68" s="161">
        <f t="shared" si="1"/>
        <v>4484150</v>
      </c>
    </row>
    <row r="69" spans="1:158" ht="17.25" thickBot="1" x14ac:dyDescent="0.3">
      <c r="A69" s="226">
        <v>46135</v>
      </c>
      <c r="B69" s="227" t="s">
        <v>193</v>
      </c>
      <c r="C69" s="227" t="s">
        <v>213</v>
      </c>
      <c r="D69" s="228">
        <v>3150</v>
      </c>
      <c r="E69" s="228">
        <v>164.63</v>
      </c>
      <c r="F69" s="228">
        <v>165.94</v>
      </c>
      <c r="G69" s="228">
        <v>-1.31</v>
      </c>
      <c r="H69" s="229">
        <v>-7.9000000000000008E-3</v>
      </c>
      <c r="I69" s="228">
        <v>164.96</v>
      </c>
      <c r="J69" s="228">
        <v>166.12</v>
      </c>
      <c r="K69" s="228">
        <v>-1.1599999999999999</v>
      </c>
      <c r="L69" s="229">
        <v>-7.0000000000000001E-3</v>
      </c>
      <c r="M69" s="228">
        <v>164.63</v>
      </c>
      <c r="N69" s="228">
        <v>165.94</v>
      </c>
      <c r="O69" s="228">
        <v>-1.31</v>
      </c>
      <c r="P69" s="229">
        <v>-7.9000000000000008E-3</v>
      </c>
      <c r="Q69" s="228">
        <v>165.54</v>
      </c>
      <c r="R69" s="228">
        <v>166.83</v>
      </c>
      <c r="S69" s="228">
        <v>-1.29</v>
      </c>
      <c r="T69" s="229">
        <v>-7.7000000000000002E-3</v>
      </c>
      <c r="U69" s="228">
        <v>166.21</v>
      </c>
      <c r="V69" s="228">
        <v>167.93</v>
      </c>
      <c r="W69" s="228">
        <v>-1.72</v>
      </c>
      <c r="X69" s="229">
        <v>-1.0200000000000001E-2</v>
      </c>
      <c r="Y69" s="228">
        <v>-0.33</v>
      </c>
      <c r="Z69" s="228">
        <v>-0.18</v>
      </c>
      <c r="AA69" s="228">
        <v>-0.15</v>
      </c>
      <c r="AB69" s="229">
        <v>-2E-3</v>
      </c>
      <c r="AC69" s="228">
        <v>-0.33</v>
      </c>
      <c r="AD69" s="228">
        <v>-0.18</v>
      </c>
      <c r="AE69" s="228">
        <v>-0.15</v>
      </c>
      <c r="AF69" s="229">
        <v>-2E-3</v>
      </c>
      <c r="AG69" s="228">
        <v>0.57999999999999996</v>
      </c>
      <c r="AH69" s="228">
        <v>0.71</v>
      </c>
      <c r="AI69" s="228">
        <v>-0.13</v>
      </c>
      <c r="AJ69" s="229">
        <v>3.5000000000000001E-3</v>
      </c>
      <c r="AK69" s="228">
        <v>1.25</v>
      </c>
      <c r="AL69" s="228">
        <v>1.81</v>
      </c>
      <c r="AM69" s="228">
        <v>-0.56000000000000005</v>
      </c>
      <c r="AN69" s="229">
        <v>7.6E-3</v>
      </c>
      <c r="AO69" s="228">
        <v>164.94</v>
      </c>
      <c r="AP69" s="228">
        <v>165.79</v>
      </c>
      <c r="AQ69" s="228">
        <v>0</v>
      </c>
      <c r="AR69" s="230">
        <v>54422550</v>
      </c>
      <c r="AS69" s="230">
        <v>17873100</v>
      </c>
      <c r="AT69" s="230">
        <v>36549450</v>
      </c>
      <c r="AU69" s="229">
        <v>2.0449000000000002</v>
      </c>
      <c r="AV69" s="230">
        <v>29591100</v>
      </c>
      <c r="AW69" s="230">
        <v>12303900</v>
      </c>
      <c r="AX69" s="230">
        <v>17287200</v>
      </c>
      <c r="AY69" s="229">
        <v>1.405</v>
      </c>
      <c r="AZ69" s="230">
        <v>24289650</v>
      </c>
      <c r="BA69" s="230">
        <v>5049450</v>
      </c>
      <c r="BB69" s="230">
        <v>19240200</v>
      </c>
      <c r="BC69" s="229">
        <v>3.8104</v>
      </c>
      <c r="BD69" s="230">
        <v>541800</v>
      </c>
      <c r="BE69" s="230">
        <v>519750</v>
      </c>
      <c r="BF69" s="230">
        <v>22050</v>
      </c>
      <c r="BG69" s="229">
        <v>4.24E-2</v>
      </c>
      <c r="BH69" s="230">
        <v>24661350</v>
      </c>
      <c r="BI69" s="230">
        <v>45419850</v>
      </c>
      <c r="BJ69" s="230">
        <v>-20758500</v>
      </c>
      <c r="BK69" s="229">
        <v>-0.45700000000000002</v>
      </c>
      <c r="BL69" s="230">
        <v>20071800</v>
      </c>
      <c r="BM69" s="230">
        <v>36250200</v>
      </c>
      <c r="BN69" s="230">
        <v>-16178400</v>
      </c>
      <c r="BO69" s="229">
        <v>-0.44629999999999997</v>
      </c>
      <c r="BP69" s="230">
        <v>99155700</v>
      </c>
      <c r="BQ69" s="230">
        <v>99543150</v>
      </c>
      <c r="BR69" s="230">
        <v>-387450</v>
      </c>
      <c r="BS69" s="229">
        <v>-3.8999999999999998E-3</v>
      </c>
      <c r="BT69" s="230">
        <v>13888033</v>
      </c>
      <c r="BU69" s="230">
        <v>15516767</v>
      </c>
      <c r="BV69" s="230">
        <v>-1628734</v>
      </c>
      <c r="BW69" s="229">
        <v>-0.105</v>
      </c>
      <c r="BX69" s="230">
        <v>75354300</v>
      </c>
      <c r="BY69" s="230">
        <v>76138650</v>
      </c>
      <c r="BZ69" s="230">
        <v>-784350</v>
      </c>
      <c r="CA69" s="229">
        <v>-1.03E-2</v>
      </c>
      <c r="CB69" s="230">
        <v>43435350</v>
      </c>
      <c r="CC69" s="230">
        <v>63387450</v>
      </c>
      <c r="CD69" s="230">
        <v>-19952100</v>
      </c>
      <c r="CE69" s="229">
        <v>-0.31480000000000002</v>
      </c>
      <c r="CF69" s="230">
        <v>27641250</v>
      </c>
      <c r="CG69" s="230">
        <v>8788500</v>
      </c>
      <c r="CH69" s="230">
        <v>18852750</v>
      </c>
      <c r="CI69" s="229">
        <v>2.1452</v>
      </c>
      <c r="CJ69" s="230">
        <v>4277700</v>
      </c>
      <c r="CK69" s="230">
        <v>3962700</v>
      </c>
      <c r="CL69" s="230">
        <v>315000</v>
      </c>
      <c r="CM69" s="229">
        <v>7.9500000000000001E-2</v>
      </c>
      <c r="CN69" s="230">
        <v>29020950</v>
      </c>
      <c r="CO69" s="230">
        <v>28435050</v>
      </c>
      <c r="CP69" s="230">
        <v>585900</v>
      </c>
      <c r="CQ69" s="229">
        <v>2.06E-2</v>
      </c>
      <c r="CR69" s="230">
        <v>39302550</v>
      </c>
      <c r="CS69" s="230">
        <v>40364100</v>
      </c>
      <c r="CT69" s="230">
        <v>-1061550</v>
      </c>
      <c r="CU69" s="229">
        <v>-2.63E-2</v>
      </c>
      <c r="CV69" s="230">
        <v>143677800</v>
      </c>
      <c r="CW69" s="230">
        <v>144937800</v>
      </c>
      <c r="CX69" s="230">
        <v>-1260000</v>
      </c>
      <c r="CY69" s="229">
        <v>-8.6999999999999994E-3</v>
      </c>
      <c r="CZ69" s="228">
        <v>29.55</v>
      </c>
      <c r="DA69" s="228">
        <v>33.65</v>
      </c>
      <c r="DB69" s="228">
        <v>-4.0999999999999996</v>
      </c>
      <c r="DC69" s="228">
        <v>-4.0999999999999996</v>
      </c>
      <c r="DD69" s="228">
        <v>35.61</v>
      </c>
      <c r="DE69" s="228">
        <v>35.68</v>
      </c>
      <c r="DF69" s="228">
        <v>-6.06</v>
      </c>
      <c r="DG69" s="228">
        <v>-7.0000000000000007E-2</v>
      </c>
      <c r="DH69" s="228">
        <v>29.02</v>
      </c>
      <c r="DI69" s="228">
        <v>29.43</v>
      </c>
      <c r="DJ69" s="228">
        <v>-0.41</v>
      </c>
      <c r="DK69" s="228">
        <v>-0.41</v>
      </c>
      <c r="DL69" s="228">
        <v>30.93</v>
      </c>
      <c r="DM69" s="228">
        <v>38.93</v>
      </c>
      <c r="DN69" s="228">
        <v>-8</v>
      </c>
      <c r="DO69" s="228">
        <v>-8</v>
      </c>
      <c r="DP69" s="228">
        <v>1.35</v>
      </c>
      <c r="DQ69" s="228">
        <v>1.42</v>
      </c>
      <c r="DR69" s="228">
        <v>-7.0000000000000007E-2</v>
      </c>
      <c r="DS69" s="229">
        <v>-4.9299999999999997E-2</v>
      </c>
      <c r="DT69" s="228">
        <v>144</v>
      </c>
      <c r="DU69" s="228">
        <v>145</v>
      </c>
      <c r="DV69" s="228">
        <v>0.81</v>
      </c>
      <c r="DW69" s="228">
        <v>0.8</v>
      </c>
      <c r="DX69" s="228">
        <v>0.01</v>
      </c>
      <c r="DY69" s="229">
        <v>1.2500000000000001E-2</v>
      </c>
      <c r="DZ69" s="229">
        <v>0.42359999999999998</v>
      </c>
      <c r="EA69" s="230">
        <v>12751200</v>
      </c>
      <c r="EB69" s="229">
        <v>5.4999999999999997E-3</v>
      </c>
      <c r="EC69" s="229">
        <v>0.42359999999999998</v>
      </c>
      <c r="ED69" s="228">
        <v>0.85</v>
      </c>
      <c r="EE69" s="229">
        <v>5.1999999999999998E-3</v>
      </c>
      <c r="EF69" s="230">
        <v>7955018</v>
      </c>
      <c r="EG69" s="230">
        <v>8370456</v>
      </c>
      <c r="EH69" s="229">
        <v>-4.9599999999999998E-2</v>
      </c>
      <c r="EI69" s="229">
        <v>0.57279999999999998</v>
      </c>
      <c r="EJ69" s="231">
        <v>42030.01</v>
      </c>
      <c r="EK69" s="231">
        <v>31776.18</v>
      </c>
      <c r="EL69" s="231">
        <v>89981.69</v>
      </c>
      <c r="EM69" s="231">
        <v>4121</v>
      </c>
      <c r="EN69" s="231">
        <v>163787.88</v>
      </c>
      <c r="EO69" s="231">
        <v>162183.87</v>
      </c>
      <c r="EP69" s="231">
        <v>1604.01</v>
      </c>
      <c r="EQ69" s="229">
        <v>9.9000000000000008E-3</v>
      </c>
      <c r="ER69" s="231">
        <v>45471</v>
      </c>
      <c r="ES69" s="231">
        <v>59371</v>
      </c>
      <c r="ET69" s="231">
        <v>124375</v>
      </c>
      <c r="EU69" s="231">
        <v>471255857</v>
      </c>
      <c r="EV69" s="231">
        <v>229217</v>
      </c>
      <c r="EW69" s="231">
        <v>231662</v>
      </c>
      <c r="EX69" s="231">
        <v>-2445</v>
      </c>
      <c r="EY69" s="229">
        <v>-1.06E-2</v>
      </c>
      <c r="EZ69" s="229">
        <v>0.3049</v>
      </c>
      <c r="FA69" s="227" t="s">
        <v>567</v>
      </c>
      <c r="FB69" s="161">
        <f t="shared" si="1"/>
        <v>31918950</v>
      </c>
    </row>
    <row r="70" spans="1:158" ht="17.25" thickBot="1" x14ac:dyDescent="0.3">
      <c r="A70" s="226">
        <v>46135</v>
      </c>
      <c r="B70" s="227" t="s">
        <v>170</v>
      </c>
      <c r="C70" s="227" t="s">
        <v>214</v>
      </c>
      <c r="D70" s="228">
        <v>375</v>
      </c>
      <c r="E70" s="231">
        <v>2336.6</v>
      </c>
      <c r="F70" s="231">
        <v>2239</v>
      </c>
      <c r="G70" s="228">
        <v>97.6</v>
      </c>
      <c r="H70" s="229">
        <v>4.36E-2</v>
      </c>
      <c r="I70" s="231">
        <v>2335</v>
      </c>
      <c r="J70" s="231">
        <v>2240</v>
      </c>
      <c r="K70" s="228">
        <v>95</v>
      </c>
      <c r="L70" s="229">
        <v>4.24E-2</v>
      </c>
      <c r="M70" s="231">
        <v>2336.6</v>
      </c>
      <c r="N70" s="231">
        <v>2239</v>
      </c>
      <c r="O70" s="228">
        <v>97.6</v>
      </c>
      <c r="P70" s="229">
        <v>4.36E-2</v>
      </c>
      <c r="Q70" s="231">
        <v>2348.5</v>
      </c>
      <c r="R70" s="231">
        <v>2248.4</v>
      </c>
      <c r="S70" s="228">
        <v>100.1</v>
      </c>
      <c r="T70" s="229">
        <v>4.4499999999999998E-2</v>
      </c>
      <c r="U70" s="231">
        <v>2365</v>
      </c>
      <c r="V70" s="231">
        <v>2262.1</v>
      </c>
      <c r="W70" s="228">
        <v>102.9</v>
      </c>
      <c r="X70" s="229">
        <v>4.5499999999999999E-2</v>
      </c>
      <c r="Y70" s="228">
        <v>1.6</v>
      </c>
      <c r="Z70" s="228">
        <v>-1</v>
      </c>
      <c r="AA70" s="228">
        <v>2.6</v>
      </c>
      <c r="AB70" s="229">
        <v>6.9999999999999999E-4</v>
      </c>
      <c r="AC70" s="228">
        <v>1.6</v>
      </c>
      <c r="AD70" s="228">
        <v>-1</v>
      </c>
      <c r="AE70" s="228">
        <v>2.6</v>
      </c>
      <c r="AF70" s="229">
        <v>6.9999999999999999E-4</v>
      </c>
      <c r="AG70" s="228">
        <v>13.5</v>
      </c>
      <c r="AH70" s="228">
        <v>8.4</v>
      </c>
      <c r="AI70" s="228">
        <v>5.0999999999999996</v>
      </c>
      <c r="AJ70" s="229">
        <v>5.7999999999999996E-3</v>
      </c>
      <c r="AK70" s="228">
        <v>30</v>
      </c>
      <c r="AL70" s="228">
        <v>22.1</v>
      </c>
      <c r="AM70" s="228">
        <v>7.9</v>
      </c>
      <c r="AN70" s="229">
        <v>1.2800000000000001E-2</v>
      </c>
      <c r="AO70" s="231">
        <v>2311.4499999999998</v>
      </c>
      <c r="AP70" s="231">
        <v>2325.92</v>
      </c>
      <c r="AQ70" s="228">
        <v>0</v>
      </c>
      <c r="AR70" s="230">
        <v>12363375</v>
      </c>
      <c r="AS70" s="230">
        <v>845625</v>
      </c>
      <c r="AT70" s="230">
        <v>11517750</v>
      </c>
      <c r="AU70" s="229">
        <v>13.6204</v>
      </c>
      <c r="AV70" s="230">
        <v>6313125</v>
      </c>
      <c r="AW70" s="230">
        <v>543375</v>
      </c>
      <c r="AX70" s="230">
        <v>5769750</v>
      </c>
      <c r="AY70" s="229">
        <v>10.618399999999999</v>
      </c>
      <c r="AZ70" s="230">
        <v>6021375</v>
      </c>
      <c r="BA70" s="230">
        <v>299250</v>
      </c>
      <c r="BB70" s="230">
        <v>5722125</v>
      </c>
      <c r="BC70" s="229">
        <v>19.121600000000001</v>
      </c>
      <c r="BD70" s="230">
        <v>28875</v>
      </c>
      <c r="BE70" s="230">
        <v>3000</v>
      </c>
      <c r="BF70" s="230">
        <v>25875</v>
      </c>
      <c r="BG70" s="229">
        <v>8.625</v>
      </c>
      <c r="BH70" s="230">
        <v>23238375</v>
      </c>
      <c r="BI70" s="230">
        <v>2442375</v>
      </c>
      <c r="BJ70" s="230">
        <v>20796000</v>
      </c>
      <c r="BK70" s="229">
        <v>8.5146999999999995</v>
      </c>
      <c r="BL70" s="230">
        <v>6795375</v>
      </c>
      <c r="BM70" s="230">
        <v>1781625</v>
      </c>
      <c r="BN70" s="230">
        <v>5013750</v>
      </c>
      <c r="BO70" s="229">
        <v>2.8140999999999998</v>
      </c>
      <c r="BP70" s="230">
        <v>42397125</v>
      </c>
      <c r="BQ70" s="230">
        <v>5069625</v>
      </c>
      <c r="BR70" s="230">
        <v>37327500</v>
      </c>
      <c r="BS70" s="229">
        <v>7.3630000000000004</v>
      </c>
      <c r="BT70" s="230">
        <v>1788495</v>
      </c>
      <c r="BU70" s="230">
        <v>330706</v>
      </c>
      <c r="BV70" s="230">
        <v>1457789</v>
      </c>
      <c r="BW70" s="229">
        <v>4.4081000000000001</v>
      </c>
      <c r="BX70" s="230">
        <v>10358250</v>
      </c>
      <c r="BY70" s="230">
        <v>10225500</v>
      </c>
      <c r="BZ70" s="230">
        <v>132750</v>
      </c>
      <c r="CA70" s="229">
        <v>1.2999999999999999E-2</v>
      </c>
      <c r="CB70" s="230">
        <v>5218125</v>
      </c>
      <c r="CC70" s="230">
        <v>9880875</v>
      </c>
      <c r="CD70" s="230">
        <v>-4662750</v>
      </c>
      <c r="CE70" s="229">
        <v>-0.47189999999999999</v>
      </c>
      <c r="CF70" s="230">
        <v>5119500</v>
      </c>
      <c r="CG70" s="230">
        <v>331125</v>
      </c>
      <c r="CH70" s="230">
        <v>4788375</v>
      </c>
      <c r="CI70" s="229">
        <v>14.460900000000001</v>
      </c>
      <c r="CJ70" s="230">
        <v>20625</v>
      </c>
      <c r="CK70" s="230">
        <v>13500</v>
      </c>
      <c r="CL70" s="230">
        <v>7125</v>
      </c>
      <c r="CM70" s="229">
        <v>0.52780000000000005</v>
      </c>
      <c r="CN70" s="230">
        <v>2525625</v>
      </c>
      <c r="CO70" s="230">
        <v>2161875</v>
      </c>
      <c r="CP70" s="230">
        <v>363750</v>
      </c>
      <c r="CQ70" s="229">
        <v>0.16830000000000001</v>
      </c>
      <c r="CR70" s="230">
        <v>1839000</v>
      </c>
      <c r="CS70" s="230">
        <v>1200750</v>
      </c>
      <c r="CT70" s="230">
        <v>638250</v>
      </c>
      <c r="CU70" s="229">
        <v>0.53149999999999997</v>
      </c>
      <c r="CV70" s="230">
        <v>14722875</v>
      </c>
      <c r="CW70" s="230">
        <v>13588125</v>
      </c>
      <c r="CX70" s="230">
        <v>1134750</v>
      </c>
      <c r="CY70" s="229">
        <v>8.3500000000000005E-2</v>
      </c>
      <c r="CZ70" s="228">
        <v>38.47</v>
      </c>
      <c r="DA70" s="228">
        <v>33.06</v>
      </c>
      <c r="DB70" s="228">
        <v>5.41</v>
      </c>
      <c r="DC70" s="228">
        <v>5.41</v>
      </c>
      <c r="DD70" s="228">
        <v>36.15</v>
      </c>
      <c r="DE70" s="228">
        <v>35.799999999999997</v>
      </c>
      <c r="DF70" s="228">
        <v>2.3199999999999998</v>
      </c>
      <c r="DG70" s="228">
        <v>0.35</v>
      </c>
      <c r="DH70" s="228">
        <v>38.36</v>
      </c>
      <c r="DI70" s="228">
        <v>31.41</v>
      </c>
      <c r="DJ70" s="228">
        <v>6.95</v>
      </c>
      <c r="DK70" s="228">
        <v>6.95</v>
      </c>
      <c r="DL70" s="228">
        <v>38.979999999999997</v>
      </c>
      <c r="DM70" s="228">
        <v>35.31</v>
      </c>
      <c r="DN70" s="228">
        <v>3.67</v>
      </c>
      <c r="DO70" s="228">
        <v>3.67</v>
      </c>
      <c r="DP70" s="228">
        <v>0.73</v>
      </c>
      <c r="DQ70" s="228">
        <v>0.56000000000000005</v>
      </c>
      <c r="DR70" s="228">
        <v>0.17</v>
      </c>
      <c r="DS70" s="229">
        <v>0.30359999999999998</v>
      </c>
      <c r="DT70" s="231">
        <v>2400</v>
      </c>
      <c r="DU70" s="231">
        <v>2200</v>
      </c>
      <c r="DV70" s="228">
        <v>0.28999999999999998</v>
      </c>
      <c r="DW70" s="228">
        <v>0.73</v>
      </c>
      <c r="DX70" s="228">
        <v>-0.44</v>
      </c>
      <c r="DY70" s="229">
        <v>-0.60270000000000001</v>
      </c>
      <c r="DZ70" s="229">
        <v>0.49619999999999997</v>
      </c>
      <c r="EA70" s="230">
        <v>344625</v>
      </c>
      <c r="EB70" s="229">
        <v>5.1000000000000004E-3</v>
      </c>
      <c r="EC70" s="229">
        <v>0.49619999999999997</v>
      </c>
      <c r="ED70" s="228">
        <v>14.47</v>
      </c>
      <c r="EE70" s="229">
        <v>6.3E-3</v>
      </c>
      <c r="EF70" s="230">
        <v>511595</v>
      </c>
      <c r="EG70" s="230">
        <v>157744</v>
      </c>
      <c r="EH70" s="229">
        <v>2.2431999999999999</v>
      </c>
      <c r="EI70" s="229">
        <v>0.28599999999999998</v>
      </c>
      <c r="EJ70" s="231">
        <v>555200.27</v>
      </c>
      <c r="EK70" s="231">
        <v>153372.99</v>
      </c>
      <c r="EL70" s="231">
        <v>286652.55</v>
      </c>
      <c r="EM70" s="231">
        <v>1945</v>
      </c>
      <c r="EN70" s="231">
        <v>995225.81</v>
      </c>
      <c r="EO70" s="231">
        <v>113995.38</v>
      </c>
      <c r="EP70" s="231">
        <v>881230.43</v>
      </c>
      <c r="EQ70" s="229">
        <v>7.7304000000000004</v>
      </c>
      <c r="ER70" s="231">
        <v>58630</v>
      </c>
      <c r="ES70" s="231">
        <v>40024</v>
      </c>
      <c r="ET70" s="231">
        <v>242646</v>
      </c>
      <c r="EU70" s="231">
        <v>15844372</v>
      </c>
      <c r="EV70" s="231">
        <v>341300</v>
      </c>
      <c r="EW70" s="231">
        <v>303267</v>
      </c>
      <c r="EX70" s="231">
        <v>38033</v>
      </c>
      <c r="EY70" s="229">
        <v>0.12540000000000001</v>
      </c>
      <c r="EZ70" s="229">
        <v>0.92920000000000003</v>
      </c>
      <c r="FA70" s="227" t="s">
        <v>555</v>
      </c>
      <c r="FB70" s="161">
        <f t="shared" si="1"/>
        <v>5140125</v>
      </c>
    </row>
    <row r="71" spans="1:158" ht="17.25" thickBot="1" x14ac:dyDescent="0.3">
      <c r="A71" s="226">
        <v>46135</v>
      </c>
      <c r="B71" s="227" t="s">
        <v>215</v>
      </c>
      <c r="C71" s="227" t="s">
        <v>630</v>
      </c>
      <c r="D71" s="228">
        <v>6975</v>
      </c>
      <c r="E71" s="228">
        <v>96.51</v>
      </c>
      <c r="F71" s="228">
        <v>97.5</v>
      </c>
      <c r="G71" s="228">
        <v>-0.99</v>
      </c>
      <c r="H71" s="229">
        <v>-1.0200000000000001E-2</v>
      </c>
      <c r="I71" s="228">
        <v>96.44</v>
      </c>
      <c r="J71" s="228">
        <v>97.39</v>
      </c>
      <c r="K71" s="228">
        <v>-0.95</v>
      </c>
      <c r="L71" s="229">
        <v>-9.7999999999999997E-3</v>
      </c>
      <c r="M71" s="228">
        <v>96.51</v>
      </c>
      <c r="N71" s="228">
        <v>97.5</v>
      </c>
      <c r="O71" s="228">
        <v>-0.99</v>
      </c>
      <c r="P71" s="229">
        <v>-1.0200000000000001E-2</v>
      </c>
      <c r="Q71" s="228">
        <v>97.06</v>
      </c>
      <c r="R71" s="228">
        <v>98.04</v>
      </c>
      <c r="S71" s="228">
        <v>-0.98</v>
      </c>
      <c r="T71" s="229">
        <v>-0.01</v>
      </c>
      <c r="U71" s="228">
        <v>97.44</v>
      </c>
      <c r="V71" s="228">
        <v>98.55</v>
      </c>
      <c r="W71" s="228">
        <v>-1.1100000000000001</v>
      </c>
      <c r="X71" s="229">
        <v>-1.1299999999999999E-2</v>
      </c>
      <c r="Y71" s="228">
        <v>7.0000000000000007E-2</v>
      </c>
      <c r="Z71" s="228">
        <v>0.11</v>
      </c>
      <c r="AA71" s="228">
        <v>-0.04</v>
      </c>
      <c r="AB71" s="229">
        <v>6.9999999999999999E-4</v>
      </c>
      <c r="AC71" s="228">
        <v>7.0000000000000007E-2</v>
      </c>
      <c r="AD71" s="228">
        <v>0.11</v>
      </c>
      <c r="AE71" s="228">
        <v>-0.04</v>
      </c>
      <c r="AF71" s="229">
        <v>6.9999999999999999E-4</v>
      </c>
      <c r="AG71" s="228">
        <v>0.62</v>
      </c>
      <c r="AH71" s="228">
        <v>0.65</v>
      </c>
      <c r="AI71" s="228">
        <v>-0.03</v>
      </c>
      <c r="AJ71" s="229">
        <v>6.4000000000000003E-3</v>
      </c>
      <c r="AK71" s="228">
        <v>1</v>
      </c>
      <c r="AL71" s="228">
        <v>1.1599999999999999</v>
      </c>
      <c r="AM71" s="228">
        <v>-0.16</v>
      </c>
      <c r="AN71" s="229">
        <v>1.04E-2</v>
      </c>
      <c r="AO71" s="228">
        <v>96.33</v>
      </c>
      <c r="AP71" s="228">
        <v>96.88</v>
      </c>
      <c r="AQ71" s="228">
        <v>0</v>
      </c>
      <c r="AR71" s="230">
        <v>74506950</v>
      </c>
      <c r="AS71" s="230">
        <v>20122875</v>
      </c>
      <c r="AT71" s="230">
        <v>54384075</v>
      </c>
      <c r="AU71" s="229">
        <v>2.7025999999999999</v>
      </c>
      <c r="AV71" s="230">
        <v>37964925</v>
      </c>
      <c r="AW71" s="230">
        <v>11222775</v>
      </c>
      <c r="AX71" s="230">
        <v>26742150</v>
      </c>
      <c r="AY71" s="229">
        <v>2.3828</v>
      </c>
      <c r="AZ71" s="230">
        <v>36158400</v>
      </c>
      <c r="BA71" s="230">
        <v>8160750</v>
      </c>
      <c r="BB71" s="230">
        <v>27997650</v>
      </c>
      <c r="BC71" s="229">
        <v>3.4308000000000001</v>
      </c>
      <c r="BD71" s="230">
        <v>383625</v>
      </c>
      <c r="BE71" s="230">
        <v>739350</v>
      </c>
      <c r="BF71" s="230">
        <v>-355725</v>
      </c>
      <c r="BG71" s="229">
        <v>-0.48110000000000003</v>
      </c>
      <c r="BH71" s="230">
        <v>38313675</v>
      </c>
      <c r="BI71" s="230">
        <v>37957950</v>
      </c>
      <c r="BJ71" s="230">
        <v>355725</v>
      </c>
      <c r="BK71" s="229">
        <v>9.4000000000000004E-3</v>
      </c>
      <c r="BL71" s="230">
        <v>18525600</v>
      </c>
      <c r="BM71" s="230">
        <v>11243700</v>
      </c>
      <c r="BN71" s="230">
        <v>7281900</v>
      </c>
      <c r="BO71" s="229">
        <v>0.64759999999999995</v>
      </c>
      <c r="BP71" s="230">
        <v>131346225</v>
      </c>
      <c r="BQ71" s="230">
        <v>69324525</v>
      </c>
      <c r="BR71" s="230">
        <v>62021700</v>
      </c>
      <c r="BS71" s="229">
        <v>0.89470000000000005</v>
      </c>
      <c r="BT71" s="230">
        <v>11238685</v>
      </c>
      <c r="BU71" s="230">
        <v>11305254</v>
      </c>
      <c r="BV71" s="230">
        <v>-66569</v>
      </c>
      <c r="BW71" s="229">
        <v>-5.8999999999999999E-3</v>
      </c>
      <c r="BX71" s="230">
        <v>137149425</v>
      </c>
      <c r="BY71" s="230">
        <v>137993400</v>
      </c>
      <c r="BZ71" s="230">
        <v>-843975</v>
      </c>
      <c r="CA71" s="229">
        <v>-6.1000000000000004E-3</v>
      </c>
      <c r="CB71" s="230">
        <v>85604175</v>
      </c>
      <c r="CC71" s="230">
        <v>114543450</v>
      </c>
      <c r="CD71" s="230">
        <v>-28939275</v>
      </c>
      <c r="CE71" s="229">
        <v>-0.25259999999999999</v>
      </c>
      <c r="CF71" s="230">
        <v>46265175</v>
      </c>
      <c r="CG71" s="230">
        <v>18344250</v>
      </c>
      <c r="CH71" s="230">
        <v>27920925</v>
      </c>
      <c r="CI71" s="229">
        <v>1.5221</v>
      </c>
      <c r="CJ71" s="230">
        <v>5280075</v>
      </c>
      <c r="CK71" s="230">
        <v>5105700</v>
      </c>
      <c r="CL71" s="230">
        <v>174375</v>
      </c>
      <c r="CM71" s="229">
        <v>3.4200000000000001E-2</v>
      </c>
      <c r="CN71" s="230">
        <v>54328275</v>
      </c>
      <c r="CO71" s="230">
        <v>53407575</v>
      </c>
      <c r="CP71" s="230">
        <v>920700</v>
      </c>
      <c r="CQ71" s="229">
        <v>1.72E-2</v>
      </c>
      <c r="CR71" s="230">
        <v>37427850</v>
      </c>
      <c r="CS71" s="230">
        <v>34930800</v>
      </c>
      <c r="CT71" s="230">
        <v>2497050</v>
      </c>
      <c r="CU71" s="229">
        <v>7.1499999999999994E-2</v>
      </c>
      <c r="CV71" s="230">
        <v>228905550</v>
      </c>
      <c r="CW71" s="230">
        <v>226331775</v>
      </c>
      <c r="CX71" s="230">
        <v>2573775</v>
      </c>
      <c r="CY71" s="229">
        <v>1.14E-2</v>
      </c>
      <c r="CZ71" s="228">
        <v>41.15</v>
      </c>
      <c r="DA71" s="228">
        <v>36.9</v>
      </c>
      <c r="DB71" s="228">
        <v>4.25</v>
      </c>
      <c r="DC71" s="228">
        <v>4.25</v>
      </c>
      <c r="DD71" s="228">
        <v>41.13</v>
      </c>
      <c r="DE71" s="228">
        <v>41.21</v>
      </c>
      <c r="DF71" s="228">
        <v>0.02</v>
      </c>
      <c r="DG71" s="228">
        <v>-0.08</v>
      </c>
      <c r="DH71" s="228">
        <v>41.07</v>
      </c>
      <c r="DI71" s="228">
        <v>36.71</v>
      </c>
      <c r="DJ71" s="228">
        <v>4.3600000000000003</v>
      </c>
      <c r="DK71" s="228">
        <v>4.3600000000000003</v>
      </c>
      <c r="DL71" s="228">
        <v>41.26</v>
      </c>
      <c r="DM71" s="228">
        <v>37.54</v>
      </c>
      <c r="DN71" s="228">
        <v>3.72</v>
      </c>
      <c r="DO71" s="228">
        <v>3.72</v>
      </c>
      <c r="DP71" s="228">
        <v>0.69</v>
      </c>
      <c r="DQ71" s="228">
        <v>0.65</v>
      </c>
      <c r="DR71" s="228">
        <v>0.04</v>
      </c>
      <c r="DS71" s="229">
        <v>6.1499999999999999E-2</v>
      </c>
      <c r="DT71" s="228">
        <v>100</v>
      </c>
      <c r="DU71" s="228">
        <v>95</v>
      </c>
      <c r="DV71" s="228">
        <v>0.48</v>
      </c>
      <c r="DW71" s="228">
        <v>0.3</v>
      </c>
      <c r="DX71" s="228">
        <v>0.18</v>
      </c>
      <c r="DY71" s="229">
        <v>0.6</v>
      </c>
      <c r="DZ71" s="229">
        <v>0.37580000000000002</v>
      </c>
      <c r="EA71" s="230">
        <v>23449950</v>
      </c>
      <c r="EB71" s="229">
        <v>5.7000000000000002E-3</v>
      </c>
      <c r="EC71" s="229">
        <v>0.37580000000000002</v>
      </c>
      <c r="ED71" s="228">
        <v>0.55000000000000004</v>
      </c>
      <c r="EE71" s="229">
        <v>5.7000000000000002E-3</v>
      </c>
      <c r="EF71" s="230">
        <v>5052362</v>
      </c>
      <c r="EG71" s="230">
        <v>5634664</v>
      </c>
      <c r="EH71" s="229">
        <v>-0.1033</v>
      </c>
      <c r="EI71" s="229">
        <v>0.4496</v>
      </c>
      <c r="EJ71" s="231">
        <v>38881.440000000002</v>
      </c>
      <c r="EK71" s="231">
        <v>17600.78</v>
      </c>
      <c r="EL71" s="231">
        <v>71975.039999999994</v>
      </c>
      <c r="EM71" s="231">
        <v>2871</v>
      </c>
      <c r="EN71" s="231">
        <v>128457.26</v>
      </c>
      <c r="EO71" s="231">
        <v>69290.13</v>
      </c>
      <c r="EP71" s="231">
        <v>59167.13</v>
      </c>
      <c r="EQ71" s="229">
        <v>0.85389999999999999</v>
      </c>
      <c r="ER71" s="231">
        <v>54215</v>
      </c>
      <c r="ES71" s="231">
        <v>34765</v>
      </c>
      <c r="ET71" s="231">
        <v>132666</v>
      </c>
      <c r="EU71" s="231">
        <v>534704421</v>
      </c>
      <c r="EV71" s="231">
        <v>221647</v>
      </c>
      <c r="EW71" s="231">
        <v>220464</v>
      </c>
      <c r="EX71" s="231">
        <v>1183</v>
      </c>
      <c r="EY71" s="229">
        <v>5.4000000000000003E-3</v>
      </c>
      <c r="EZ71" s="229">
        <v>0.42809999999999998</v>
      </c>
      <c r="FA71" s="227" t="s">
        <v>567</v>
      </c>
      <c r="FB71" s="161">
        <f t="shared" si="1"/>
        <v>51545250</v>
      </c>
    </row>
    <row r="72" spans="1:158" ht="17.25" thickBot="1" x14ac:dyDescent="0.3">
      <c r="A72" s="226">
        <v>46135</v>
      </c>
      <c r="B72" s="227" t="s">
        <v>168</v>
      </c>
      <c r="C72" s="227" t="s">
        <v>699</v>
      </c>
      <c r="D72" s="228">
        <v>275</v>
      </c>
      <c r="E72" s="231">
        <v>2160.5</v>
      </c>
      <c r="F72" s="231">
        <v>2171.1999999999998</v>
      </c>
      <c r="G72" s="228">
        <v>-10.7</v>
      </c>
      <c r="H72" s="229">
        <v>-4.8999999999999998E-3</v>
      </c>
      <c r="I72" s="231">
        <v>2153.3000000000002</v>
      </c>
      <c r="J72" s="231">
        <v>2164.6</v>
      </c>
      <c r="K72" s="228">
        <v>-11.3</v>
      </c>
      <c r="L72" s="229">
        <v>-5.1999999999999998E-3</v>
      </c>
      <c r="M72" s="231">
        <v>2160.5</v>
      </c>
      <c r="N72" s="231">
        <v>2171.1999999999998</v>
      </c>
      <c r="O72" s="228">
        <v>-10.7</v>
      </c>
      <c r="P72" s="229">
        <v>-4.8999999999999998E-3</v>
      </c>
      <c r="Q72" s="231">
        <v>2127</v>
      </c>
      <c r="R72" s="231">
        <v>2155.8000000000002</v>
      </c>
      <c r="S72" s="228">
        <v>-28.8</v>
      </c>
      <c r="T72" s="229">
        <v>-1.34E-2</v>
      </c>
      <c r="U72" s="231">
        <v>2115</v>
      </c>
      <c r="V72" s="231">
        <v>2150.5</v>
      </c>
      <c r="W72" s="228">
        <v>-35.5</v>
      </c>
      <c r="X72" s="229">
        <v>-1.6500000000000001E-2</v>
      </c>
      <c r="Y72" s="228">
        <v>7.2</v>
      </c>
      <c r="Z72" s="228">
        <v>6.6</v>
      </c>
      <c r="AA72" s="228">
        <v>0.6</v>
      </c>
      <c r="AB72" s="229">
        <v>3.3E-3</v>
      </c>
      <c r="AC72" s="228">
        <v>7.2</v>
      </c>
      <c r="AD72" s="228">
        <v>6.6</v>
      </c>
      <c r="AE72" s="228">
        <v>0.6</v>
      </c>
      <c r="AF72" s="229">
        <v>3.3E-3</v>
      </c>
      <c r="AG72" s="228">
        <v>-26.3</v>
      </c>
      <c r="AH72" s="228">
        <v>-8.8000000000000007</v>
      </c>
      <c r="AI72" s="228">
        <v>-17.5</v>
      </c>
      <c r="AJ72" s="229">
        <v>-1.2200000000000001E-2</v>
      </c>
      <c r="AK72" s="228">
        <v>-38.299999999999997</v>
      </c>
      <c r="AL72" s="228">
        <v>-14.1</v>
      </c>
      <c r="AM72" s="228">
        <v>-24.2</v>
      </c>
      <c r="AN72" s="229">
        <v>-1.78E-2</v>
      </c>
      <c r="AO72" s="231">
        <v>2160.2399999999998</v>
      </c>
      <c r="AP72" s="231">
        <v>2128.2800000000002</v>
      </c>
      <c r="AQ72" s="228">
        <v>0</v>
      </c>
      <c r="AR72" s="230">
        <v>1053525</v>
      </c>
      <c r="AS72" s="230">
        <v>850575</v>
      </c>
      <c r="AT72" s="230">
        <v>202950</v>
      </c>
      <c r="AU72" s="229">
        <v>0.23860000000000001</v>
      </c>
      <c r="AV72" s="230">
        <v>523325</v>
      </c>
      <c r="AW72" s="230">
        <v>618200</v>
      </c>
      <c r="AX72" s="230">
        <v>-94875</v>
      </c>
      <c r="AY72" s="229">
        <v>-0.1535</v>
      </c>
      <c r="AZ72" s="230">
        <v>511225</v>
      </c>
      <c r="BA72" s="230">
        <v>210650</v>
      </c>
      <c r="BB72" s="230">
        <v>300575</v>
      </c>
      <c r="BC72" s="229">
        <v>1.4269000000000001</v>
      </c>
      <c r="BD72" s="230">
        <v>18975</v>
      </c>
      <c r="BE72" s="230">
        <v>21725</v>
      </c>
      <c r="BF72" s="230">
        <v>-2750</v>
      </c>
      <c r="BG72" s="229">
        <v>-0.12659999999999999</v>
      </c>
      <c r="BH72" s="230">
        <v>1428625</v>
      </c>
      <c r="BI72" s="230">
        <v>2451350</v>
      </c>
      <c r="BJ72" s="230">
        <v>-1022725</v>
      </c>
      <c r="BK72" s="229">
        <v>-0.41720000000000002</v>
      </c>
      <c r="BL72" s="230">
        <v>768625</v>
      </c>
      <c r="BM72" s="230">
        <v>625350</v>
      </c>
      <c r="BN72" s="230">
        <v>143275</v>
      </c>
      <c r="BO72" s="229">
        <v>0.2291</v>
      </c>
      <c r="BP72" s="230">
        <v>3250775</v>
      </c>
      <c r="BQ72" s="230">
        <v>3927275</v>
      </c>
      <c r="BR72" s="230">
        <v>-676500</v>
      </c>
      <c r="BS72" s="229">
        <v>-0.17230000000000001</v>
      </c>
      <c r="BT72" s="230">
        <v>571400</v>
      </c>
      <c r="BU72" s="230">
        <v>1337493</v>
      </c>
      <c r="BV72" s="230">
        <v>-766093</v>
      </c>
      <c r="BW72" s="229">
        <v>-0.57279999999999998</v>
      </c>
      <c r="BX72" s="230">
        <v>1506450</v>
      </c>
      <c r="BY72" s="230">
        <v>1444850</v>
      </c>
      <c r="BZ72" s="230">
        <v>61600</v>
      </c>
      <c r="CA72" s="229">
        <v>4.2599999999999999E-2</v>
      </c>
      <c r="CB72" s="230">
        <v>882200</v>
      </c>
      <c r="CC72" s="230">
        <v>1065900</v>
      </c>
      <c r="CD72" s="230">
        <v>-183700</v>
      </c>
      <c r="CE72" s="229">
        <v>-0.17230000000000001</v>
      </c>
      <c r="CF72" s="230">
        <v>587400</v>
      </c>
      <c r="CG72" s="230">
        <v>354475</v>
      </c>
      <c r="CH72" s="230">
        <v>232925</v>
      </c>
      <c r="CI72" s="229">
        <v>0.65710000000000002</v>
      </c>
      <c r="CJ72" s="230">
        <v>36850</v>
      </c>
      <c r="CK72" s="230">
        <v>24475</v>
      </c>
      <c r="CL72" s="230">
        <v>12375</v>
      </c>
      <c r="CM72" s="229">
        <v>0.50560000000000005</v>
      </c>
      <c r="CN72" s="230">
        <v>980375</v>
      </c>
      <c r="CO72" s="230">
        <v>936375</v>
      </c>
      <c r="CP72" s="230">
        <v>44000</v>
      </c>
      <c r="CQ72" s="229">
        <v>4.7E-2</v>
      </c>
      <c r="CR72" s="230">
        <v>422950</v>
      </c>
      <c r="CS72" s="230">
        <v>395175</v>
      </c>
      <c r="CT72" s="230">
        <v>27775</v>
      </c>
      <c r="CU72" s="229">
        <v>7.0300000000000001E-2</v>
      </c>
      <c r="CV72" s="230">
        <v>2909775</v>
      </c>
      <c r="CW72" s="230">
        <v>2776400</v>
      </c>
      <c r="CX72" s="230">
        <v>133375</v>
      </c>
      <c r="CY72" s="229">
        <v>4.8000000000000001E-2</v>
      </c>
      <c r="CZ72" s="228">
        <v>61.76</v>
      </c>
      <c r="DA72" s="228">
        <v>58.2</v>
      </c>
      <c r="DB72" s="228">
        <v>3.56</v>
      </c>
      <c r="DC72" s="228">
        <v>3.56</v>
      </c>
      <c r="DD72" s="228">
        <v>70.790000000000006</v>
      </c>
      <c r="DE72" s="228">
        <v>70.959999999999994</v>
      </c>
      <c r="DF72" s="228">
        <v>-9.0299999999999994</v>
      </c>
      <c r="DG72" s="228">
        <v>-0.17</v>
      </c>
      <c r="DH72" s="228">
        <v>62.02</v>
      </c>
      <c r="DI72" s="228">
        <v>58.25</v>
      </c>
      <c r="DJ72" s="228">
        <v>3.77</v>
      </c>
      <c r="DK72" s="228">
        <v>3.77</v>
      </c>
      <c r="DL72" s="228">
        <v>59.75</v>
      </c>
      <c r="DM72" s="228">
        <v>58</v>
      </c>
      <c r="DN72" s="228">
        <v>1.75</v>
      </c>
      <c r="DO72" s="228">
        <v>1.75</v>
      </c>
      <c r="DP72" s="228">
        <v>0.43</v>
      </c>
      <c r="DQ72" s="228">
        <v>0.42</v>
      </c>
      <c r="DR72" s="228">
        <v>0.01</v>
      </c>
      <c r="DS72" s="229">
        <v>2.3800000000000002E-2</v>
      </c>
      <c r="DT72" s="231">
        <v>2300</v>
      </c>
      <c r="DU72" s="231">
        <v>2000</v>
      </c>
      <c r="DV72" s="228">
        <v>0.54</v>
      </c>
      <c r="DW72" s="228">
        <v>0.26</v>
      </c>
      <c r="DX72" s="228">
        <v>0.28000000000000003</v>
      </c>
      <c r="DY72" s="229">
        <v>1.0769</v>
      </c>
      <c r="DZ72" s="229">
        <v>0.41439999999999999</v>
      </c>
      <c r="EA72" s="230">
        <v>378950</v>
      </c>
      <c r="EB72" s="229">
        <v>-1.55E-2</v>
      </c>
      <c r="EC72" s="229">
        <v>0.41439999999999999</v>
      </c>
      <c r="ED72" s="228">
        <v>-31.96</v>
      </c>
      <c r="EE72" s="229">
        <v>-1.4800000000000001E-2</v>
      </c>
      <c r="EF72" s="230">
        <v>132454</v>
      </c>
      <c r="EG72" s="230">
        <v>369928</v>
      </c>
      <c r="EH72" s="229">
        <v>-0.64190000000000003</v>
      </c>
      <c r="EI72" s="229">
        <v>0.23180000000000001</v>
      </c>
      <c r="EJ72" s="231">
        <v>33142.07</v>
      </c>
      <c r="EK72" s="231">
        <v>14830.49</v>
      </c>
      <c r="EL72" s="231">
        <v>22585.61</v>
      </c>
      <c r="EM72" s="231">
        <v>2940</v>
      </c>
      <c r="EN72" s="231">
        <v>70558.17</v>
      </c>
      <c r="EO72" s="231">
        <v>87972.7</v>
      </c>
      <c r="EP72" s="231">
        <v>-17414.53</v>
      </c>
      <c r="EQ72" s="229">
        <v>-0.19800000000000001</v>
      </c>
      <c r="ER72" s="231">
        <v>22144</v>
      </c>
      <c r="ES72" s="231">
        <v>8602</v>
      </c>
      <c r="ET72" s="231">
        <v>32333</v>
      </c>
      <c r="EU72" s="231">
        <v>6329596</v>
      </c>
      <c r="EV72" s="231">
        <v>63078</v>
      </c>
      <c r="EW72" s="231">
        <v>60516</v>
      </c>
      <c r="EX72" s="231">
        <v>2562</v>
      </c>
      <c r="EY72" s="229">
        <v>4.2299999999999997E-2</v>
      </c>
      <c r="EZ72" s="229">
        <v>0.4597</v>
      </c>
      <c r="FA72" s="227" t="s">
        <v>566</v>
      </c>
      <c r="FB72" s="161">
        <f t="shared" si="1"/>
        <v>624250</v>
      </c>
    </row>
    <row r="73" spans="1:158" ht="17.25" thickBot="1" x14ac:dyDescent="0.3">
      <c r="A73" s="226">
        <v>46135</v>
      </c>
      <c r="B73" s="227" t="s">
        <v>168</v>
      </c>
      <c r="C73" s="227" t="s">
        <v>217</v>
      </c>
      <c r="D73" s="228">
        <v>500</v>
      </c>
      <c r="E73" s="231">
        <v>1140.8</v>
      </c>
      <c r="F73" s="231">
        <v>1137.9000000000001</v>
      </c>
      <c r="G73" s="228">
        <v>2.9</v>
      </c>
      <c r="H73" s="229">
        <v>2.5000000000000001E-3</v>
      </c>
      <c r="I73" s="231">
        <v>1142.95</v>
      </c>
      <c r="J73" s="231">
        <v>1139.55</v>
      </c>
      <c r="K73" s="228">
        <v>3.4</v>
      </c>
      <c r="L73" s="229">
        <v>3.0000000000000001E-3</v>
      </c>
      <c r="M73" s="231">
        <v>1140.8</v>
      </c>
      <c r="N73" s="231">
        <v>1137.9000000000001</v>
      </c>
      <c r="O73" s="228">
        <v>2.9</v>
      </c>
      <c r="P73" s="229">
        <v>2.5000000000000001E-3</v>
      </c>
      <c r="Q73" s="231">
        <v>1142</v>
      </c>
      <c r="R73" s="231">
        <v>1139.25</v>
      </c>
      <c r="S73" s="228">
        <v>2.75</v>
      </c>
      <c r="T73" s="229">
        <v>2.3999999999999998E-3</v>
      </c>
      <c r="U73" s="231">
        <v>1147.0999999999999</v>
      </c>
      <c r="V73" s="231">
        <v>1144.8499999999999</v>
      </c>
      <c r="W73" s="228">
        <v>2.25</v>
      </c>
      <c r="X73" s="229">
        <v>2E-3</v>
      </c>
      <c r="Y73" s="228">
        <v>-2.15</v>
      </c>
      <c r="Z73" s="228">
        <v>-1.65</v>
      </c>
      <c r="AA73" s="228">
        <v>-0.5</v>
      </c>
      <c r="AB73" s="229">
        <v>-1.9E-3</v>
      </c>
      <c r="AC73" s="228">
        <v>-2.15</v>
      </c>
      <c r="AD73" s="228">
        <v>-1.65</v>
      </c>
      <c r="AE73" s="228">
        <v>-0.5</v>
      </c>
      <c r="AF73" s="229">
        <v>-1.9E-3</v>
      </c>
      <c r="AG73" s="228">
        <v>-0.95</v>
      </c>
      <c r="AH73" s="228">
        <v>-0.3</v>
      </c>
      <c r="AI73" s="228">
        <v>-0.65</v>
      </c>
      <c r="AJ73" s="229">
        <v>-8.0000000000000004E-4</v>
      </c>
      <c r="AK73" s="228">
        <v>4.1500000000000004</v>
      </c>
      <c r="AL73" s="228">
        <v>5.3</v>
      </c>
      <c r="AM73" s="228">
        <v>-1.1499999999999999</v>
      </c>
      <c r="AN73" s="229">
        <v>3.5999999999999999E-3</v>
      </c>
      <c r="AO73" s="231">
        <v>1133.57</v>
      </c>
      <c r="AP73" s="231">
        <v>1134.3699999999999</v>
      </c>
      <c r="AQ73" s="228">
        <v>0</v>
      </c>
      <c r="AR73" s="230">
        <v>6537500</v>
      </c>
      <c r="AS73" s="230">
        <v>1824500</v>
      </c>
      <c r="AT73" s="230">
        <v>4713000</v>
      </c>
      <c r="AU73" s="229">
        <v>2.5832000000000002</v>
      </c>
      <c r="AV73" s="230">
        <v>3378000</v>
      </c>
      <c r="AW73" s="230">
        <v>1389000</v>
      </c>
      <c r="AX73" s="230">
        <v>1989000</v>
      </c>
      <c r="AY73" s="229">
        <v>1.4319999999999999</v>
      </c>
      <c r="AZ73" s="230">
        <v>3150500</v>
      </c>
      <c r="BA73" s="230">
        <v>419000</v>
      </c>
      <c r="BB73" s="230">
        <v>2731500</v>
      </c>
      <c r="BC73" s="229">
        <v>6.5190999999999999</v>
      </c>
      <c r="BD73" s="230">
        <v>9000</v>
      </c>
      <c r="BE73" s="230">
        <v>16500</v>
      </c>
      <c r="BF73" s="230">
        <v>-7500</v>
      </c>
      <c r="BG73" s="229">
        <v>-0.45450000000000002</v>
      </c>
      <c r="BH73" s="230">
        <v>1837500</v>
      </c>
      <c r="BI73" s="230">
        <v>4240000</v>
      </c>
      <c r="BJ73" s="230">
        <v>-2402500</v>
      </c>
      <c r="BK73" s="229">
        <v>-0.56659999999999999</v>
      </c>
      <c r="BL73" s="230">
        <v>1023500</v>
      </c>
      <c r="BM73" s="230">
        <v>1550000</v>
      </c>
      <c r="BN73" s="230">
        <v>-526500</v>
      </c>
      <c r="BO73" s="229">
        <v>-0.3397</v>
      </c>
      <c r="BP73" s="230">
        <v>9398500</v>
      </c>
      <c r="BQ73" s="230">
        <v>7614500</v>
      </c>
      <c r="BR73" s="230">
        <v>1784000</v>
      </c>
      <c r="BS73" s="229">
        <v>0.23430000000000001</v>
      </c>
      <c r="BT73" s="230">
        <v>985698</v>
      </c>
      <c r="BU73" s="230">
        <v>2270854</v>
      </c>
      <c r="BV73" s="230">
        <v>-1285156</v>
      </c>
      <c r="BW73" s="229">
        <v>-0.56589999999999996</v>
      </c>
      <c r="BX73" s="230">
        <v>12898000</v>
      </c>
      <c r="BY73" s="230">
        <v>12888500</v>
      </c>
      <c r="BZ73" s="230">
        <v>9500</v>
      </c>
      <c r="CA73" s="229">
        <v>6.9999999999999999E-4</v>
      </c>
      <c r="CB73" s="230">
        <v>8974500</v>
      </c>
      <c r="CC73" s="230">
        <v>11510000</v>
      </c>
      <c r="CD73" s="230">
        <v>-2535500</v>
      </c>
      <c r="CE73" s="229">
        <v>-0.2203</v>
      </c>
      <c r="CF73" s="230">
        <v>3302500</v>
      </c>
      <c r="CG73" s="230">
        <v>759500</v>
      </c>
      <c r="CH73" s="230">
        <v>2543000</v>
      </c>
      <c r="CI73" s="229">
        <v>3.3483000000000001</v>
      </c>
      <c r="CJ73" s="230">
        <v>621000</v>
      </c>
      <c r="CK73" s="230">
        <v>619000</v>
      </c>
      <c r="CL73" s="230">
        <v>2000</v>
      </c>
      <c r="CM73" s="229">
        <v>3.2000000000000002E-3</v>
      </c>
      <c r="CN73" s="230">
        <v>1877500</v>
      </c>
      <c r="CO73" s="230">
        <v>1927000</v>
      </c>
      <c r="CP73" s="230">
        <v>-49500</v>
      </c>
      <c r="CQ73" s="229">
        <v>-2.5700000000000001E-2</v>
      </c>
      <c r="CR73" s="230">
        <v>1655500</v>
      </c>
      <c r="CS73" s="230">
        <v>1628500</v>
      </c>
      <c r="CT73" s="230">
        <v>27000</v>
      </c>
      <c r="CU73" s="229">
        <v>1.66E-2</v>
      </c>
      <c r="CV73" s="230">
        <v>16431000</v>
      </c>
      <c r="CW73" s="230">
        <v>16444000</v>
      </c>
      <c r="CX73" s="230">
        <v>-13000</v>
      </c>
      <c r="CY73" s="229">
        <v>-8.0000000000000004E-4</v>
      </c>
      <c r="CZ73" s="228">
        <v>29</v>
      </c>
      <c r="DA73" s="228">
        <v>27.57</v>
      </c>
      <c r="DB73" s="228">
        <v>1.43</v>
      </c>
      <c r="DC73" s="228">
        <v>1.43</v>
      </c>
      <c r="DD73" s="228">
        <v>30.25</v>
      </c>
      <c r="DE73" s="228">
        <v>30.33</v>
      </c>
      <c r="DF73" s="228">
        <v>-1.25</v>
      </c>
      <c r="DG73" s="228">
        <v>-0.08</v>
      </c>
      <c r="DH73" s="228">
        <v>29</v>
      </c>
      <c r="DI73" s="228">
        <v>27.38</v>
      </c>
      <c r="DJ73" s="228">
        <v>1.62</v>
      </c>
      <c r="DK73" s="228">
        <v>1.62</v>
      </c>
      <c r="DL73" s="228">
        <v>29</v>
      </c>
      <c r="DM73" s="228">
        <v>28.1</v>
      </c>
      <c r="DN73" s="228">
        <v>0.9</v>
      </c>
      <c r="DO73" s="228">
        <v>0.9</v>
      </c>
      <c r="DP73" s="228">
        <v>0.88</v>
      </c>
      <c r="DQ73" s="228">
        <v>0.85</v>
      </c>
      <c r="DR73" s="228">
        <v>0.03</v>
      </c>
      <c r="DS73" s="229">
        <v>3.5299999999999998E-2</v>
      </c>
      <c r="DT73" s="231">
        <v>1180</v>
      </c>
      <c r="DU73" s="231">
        <v>1100</v>
      </c>
      <c r="DV73" s="228">
        <v>0.56000000000000005</v>
      </c>
      <c r="DW73" s="228">
        <v>0.37</v>
      </c>
      <c r="DX73" s="228">
        <v>0.19</v>
      </c>
      <c r="DY73" s="229">
        <v>0.51349999999999996</v>
      </c>
      <c r="DZ73" s="229">
        <v>0.30420000000000003</v>
      </c>
      <c r="EA73" s="230">
        <v>1378500</v>
      </c>
      <c r="EB73" s="229">
        <v>1.1000000000000001E-3</v>
      </c>
      <c r="EC73" s="229">
        <v>0.30420000000000003</v>
      </c>
      <c r="ED73" s="228">
        <v>0.8</v>
      </c>
      <c r="EE73" s="229">
        <v>6.9999999999999999E-4</v>
      </c>
      <c r="EF73" s="230">
        <v>530355</v>
      </c>
      <c r="EG73" s="230">
        <v>1549192</v>
      </c>
      <c r="EH73" s="229">
        <v>-0.65769999999999995</v>
      </c>
      <c r="EI73" s="229">
        <v>0.53810000000000002</v>
      </c>
      <c r="EJ73" s="231">
        <v>21513.48</v>
      </c>
      <c r="EK73" s="231">
        <v>11388.04</v>
      </c>
      <c r="EL73" s="231">
        <v>74132.88</v>
      </c>
      <c r="EM73" s="231">
        <v>3881</v>
      </c>
      <c r="EN73" s="231">
        <v>107034.4</v>
      </c>
      <c r="EO73" s="231">
        <v>87921.06</v>
      </c>
      <c r="EP73" s="231">
        <v>19113.34</v>
      </c>
      <c r="EQ73" s="229">
        <v>0.21740000000000001</v>
      </c>
      <c r="ER73" s="231">
        <v>21215</v>
      </c>
      <c r="ES73" s="231">
        <v>17609</v>
      </c>
      <c r="ET73" s="231">
        <v>147219</v>
      </c>
      <c r="EU73" s="231">
        <v>53250524</v>
      </c>
      <c r="EV73" s="231">
        <v>186043</v>
      </c>
      <c r="EW73" s="231">
        <v>185787</v>
      </c>
      <c r="EX73" s="228">
        <v>256</v>
      </c>
      <c r="EY73" s="229">
        <v>1.4E-3</v>
      </c>
      <c r="EZ73" s="229">
        <v>0.30859999999999999</v>
      </c>
      <c r="FA73" s="227" t="s">
        <v>555</v>
      </c>
      <c r="FB73" s="161">
        <f t="shared" si="1"/>
        <v>3923500</v>
      </c>
    </row>
    <row r="74" spans="1:158" ht="17.25" thickBot="1" x14ac:dyDescent="0.3">
      <c r="A74" s="226">
        <v>46135</v>
      </c>
      <c r="B74" s="227" t="s">
        <v>206</v>
      </c>
      <c r="C74" s="227" t="s">
        <v>218</v>
      </c>
      <c r="D74" s="228">
        <v>275</v>
      </c>
      <c r="E74" s="231">
        <v>1789.3</v>
      </c>
      <c r="F74" s="231">
        <v>1828.4</v>
      </c>
      <c r="G74" s="228">
        <v>-39.1</v>
      </c>
      <c r="H74" s="229">
        <v>-2.1399999999999999E-2</v>
      </c>
      <c r="I74" s="231">
        <v>1791</v>
      </c>
      <c r="J74" s="231">
        <v>1832.2</v>
      </c>
      <c r="K74" s="228">
        <v>-41.2</v>
      </c>
      <c r="L74" s="229">
        <v>-2.2499999999999999E-2</v>
      </c>
      <c r="M74" s="231">
        <v>1789.3</v>
      </c>
      <c r="N74" s="231">
        <v>1828.4</v>
      </c>
      <c r="O74" s="228">
        <v>-39.1</v>
      </c>
      <c r="P74" s="229">
        <v>-2.1399999999999999E-2</v>
      </c>
      <c r="Q74" s="231">
        <v>1798.7</v>
      </c>
      <c r="R74" s="231">
        <v>1838.7</v>
      </c>
      <c r="S74" s="228">
        <v>-40</v>
      </c>
      <c r="T74" s="229">
        <v>-2.18E-2</v>
      </c>
      <c r="U74" s="231">
        <v>1811.9</v>
      </c>
      <c r="V74" s="231">
        <v>1848.2</v>
      </c>
      <c r="W74" s="228">
        <v>-36.299999999999997</v>
      </c>
      <c r="X74" s="229">
        <v>-1.9599999999999999E-2</v>
      </c>
      <c r="Y74" s="228">
        <v>-1.7</v>
      </c>
      <c r="Z74" s="228">
        <v>-3.8</v>
      </c>
      <c r="AA74" s="228">
        <v>2.1</v>
      </c>
      <c r="AB74" s="229">
        <v>-8.9999999999999998E-4</v>
      </c>
      <c r="AC74" s="228">
        <v>-1.7</v>
      </c>
      <c r="AD74" s="228">
        <v>-3.8</v>
      </c>
      <c r="AE74" s="228">
        <v>2.1</v>
      </c>
      <c r="AF74" s="229">
        <v>-8.9999999999999998E-4</v>
      </c>
      <c r="AG74" s="228">
        <v>7.7</v>
      </c>
      <c r="AH74" s="228">
        <v>6.5</v>
      </c>
      <c r="AI74" s="228">
        <v>1.2</v>
      </c>
      <c r="AJ74" s="229">
        <v>4.3E-3</v>
      </c>
      <c r="AK74" s="228">
        <v>20.9</v>
      </c>
      <c r="AL74" s="228">
        <v>16</v>
      </c>
      <c r="AM74" s="228">
        <v>4.9000000000000004</v>
      </c>
      <c r="AN74" s="229">
        <v>1.17E-2</v>
      </c>
      <c r="AO74" s="231">
        <v>1808.64</v>
      </c>
      <c r="AP74" s="231">
        <v>1818.48</v>
      </c>
      <c r="AQ74" s="228">
        <v>0</v>
      </c>
      <c r="AR74" s="230">
        <v>5670500</v>
      </c>
      <c r="AS74" s="230">
        <v>2839925</v>
      </c>
      <c r="AT74" s="230">
        <v>2830575</v>
      </c>
      <c r="AU74" s="229">
        <v>0.99670000000000003</v>
      </c>
      <c r="AV74" s="230">
        <v>3097600</v>
      </c>
      <c r="AW74" s="230">
        <v>1663750</v>
      </c>
      <c r="AX74" s="230">
        <v>1433850</v>
      </c>
      <c r="AY74" s="229">
        <v>0.86180000000000001</v>
      </c>
      <c r="AZ74" s="230">
        <v>2546225</v>
      </c>
      <c r="BA74" s="230">
        <v>497750</v>
      </c>
      <c r="BB74" s="230">
        <v>2048475</v>
      </c>
      <c r="BC74" s="229">
        <v>4.1154999999999999</v>
      </c>
      <c r="BD74" s="230">
        <v>26675</v>
      </c>
      <c r="BE74" s="230">
        <v>678425</v>
      </c>
      <c r="BF74" s="230">
        <v>-651750</v>
      </c>
      <c r="BG74" s="229">
        <v>-0.9607</v>
      </c>
      <c r="BH74" s="230">
        <v>4637050</v>
      </c>
      <c r="BI74" s="230">
        <v>4920025</v>
      </c>
      <c r="BJ74" s="230">
        <v>-282975</v>
      </c>
      <c r="BK74" s="229">
        <v>-5.7500000000000002E-2</v>
      </c>
      <c r="BL74" s="230">
        <v>3142425</v>
      </c>
      <c r="BM74" s="230">
        <v>4019675</v>
      </c>
      <c r="BN74" s="230">
        <v>-877250</v>
      </c>
      <c r="BO74" s="229">
        <v>-0.21820000000000001</v>
      </c>
      <c r="BP74" s="230">
        <v>13449975</v>
      </c>
      <c r="BQ74" s="230">
        <v>11779625</v>
      </c>
      <c r="BR74" s="230">
        <v>1670350</v>
      </c>
      <c r="BS74" s="229">
        <v>0.14180000000000001</v>
      </c>
      <c r="BT74" s="230">
        <v>781440</v>
      </c>
      <c r="BU74" s="230">
        <v>1144751</v>
      </c>
      <c r="BV74" s="230">
        <v>-363311</v>
      </c>
      <c r="BW74" s="229">
        <v>-0.31740000000000002</v>
      </c>
      <c r="BX74" s="230">
        <v>7874350</v>
      </c>
      <c r="BY74" s="230">
        <v>7996450</v>
      </c>
      <c r="BZ74" s="230">
        <v>-122100</v>
      </c>
      <c r="CA74" s="229">
        <v>-1.5299999999999999E-2</v>
      </c>
      <c r="CB74" s="230">
        <v>4029300</v>
      </c>
      <c r="CC74" s="230">
        <v>6292825</v>
      </c>
      <c r="CD74" s="230">
        <v>-2263525</v>
      </c>
      <c r="CE74" s="229">
        <v>-0.35970000000000002</v>
      </c>
      <c r="CF74" s="230">
        <v>3091550</v>
      </c>
      <c r="CG74" s="230">
        <v>952600</v>
      </c>
      <c r="CH74" s="230">
        <v>2138950</v>
      </c>
      <c r="CI74" s="229">
        <v>2.2454000000000001</v>
      </c>
      <c r="CJ74" s="230">
        <v>753500</v>
      </c>
      <c r="CK74" s="230">
        <v>751025</v>
      </c>
      <c r="CL74" s="230">
        <v>2475</v>
      </c>
      <c r="CM74" s="229">
        <v>3.3E-3</v>
      </c>
      <c r="CN74" s="230">
        <v>3545850</v>
      </c>
      <c r="CO74" s="230">
        <v>3495800</v>
      </c>
      <c r="CP74" s="230">
        <v>50050</v>
      </c>
      <c r="CQ74" s="229">
        <v>1.43E-2</v>
      </c>
      <c r="CR74" s="230">
        <v>2900425</v>
      </c>
      <c r="CS74" s="230">
        <v>2916375</v>
      </c>
      <c r="CT74" s="230">
        <v>-15950</v>
      </c>
      <c r="CU74" s="229">
        <v>-5.4999999999999997E-3</v>
      </c>
      <c r="CV74" s="230">
        <v>14320625</v>
      </c>
      <c r="CW74" s="230">
        <v>14408625</v>
      </c>
      <c r="CX74" s="230">
        <v>-88000</v>
      </c>
      <c r="CY74" s="229">
        <v>-6.1000000000000004E-3</v>
      </c>
      <c r="CZ74" s="228">
        <v>41.15</v>
      </c>
      <c r="DA74" s="228">
        <v>38.97</v>
      </c>
      <c r="DB74" s="228">
        <v>2.1800000000000002</v>
      </c>
      <c r="DC74" s="228">
        <v>2.1800000000000002</v>
      </c>
      <c r="DD74" s="228">
        <v>45.61</v>
      </c>
      <c r="DE74" s="228">
        <v>45.63</v>
      </c>
      <c r="DF74" s="228">
        <v>-4.46</v>
      </c>
      <c r="DG74" s="228">
        <v>-0.02</v>
      </c>
      <c r="DH74" s="228">
        <v>40.47</v>
      </c>
      <c r="DI74" s="228">
        <v>33.590000000000003</v>
      </c>
      <c r="DJ74" s="228">
        <v>6.88</v>
      </c>
      <c r="DK74" s="228">
        <v>6.88</v>
      </c>
      <c r="DL74" s="228">
        <v>42.74</v>
      </c>
      <c r="DM74" s="228">
        <v>45.56</v>
      </c>
      <c r="DN74" s="228">
        <v>-2.82</v>
      </c>
      <c r="DO74" s="228">
        <v>-2.82</v>
      </c>
      <c r="DP74" s="228">
        <v>0.82</v>
      </c>
      <c r="DQ74" s="228">
        <v>0.83</v>
      </c>
      <c r="DR74" s="228">
        <v>-0.01</v>
      </c>
      <c r="DS74" s="229">
        <v>-1.2E-2</v>
      </c>
      <c r="DT74" s="231">
        <v>1900</v>
      </c>
      <c r="DU74" s="231">
        <v>1800</v>
      </c>
      <c r="DV74" s="228">
        <v>0.68</v>
      </c>
      <c r="DW74" s="228">
        <v>0.82</v>
      </c>
      <c r="DX74" s="228">
        <v>-0.14000000000000001</v>
      </c>
      <c r="DY74" s="229">
        <v>-0.17069999999999999</v>
      </c>
      <c r="DZ74" s="229">
        <v>0.48830000000000001</v>
      </c>
      <c r="EA74" s="230">
        <v>1703625</v>
      </c>
      <c r="EB74" s="229">
        <v>5.3E-3</v>
      </c>
      <c r="EC74" s="229">
        <v>0.48830000000000001</v>
      </c>
      <c r="ED74" s="228">
        <v>9.84</v>
      </c>
      <c r="EE74" s="229">
        <v>5.4000000000000003E-3</v>
      </c>
      <c r="EF74" s="230">
        <v>310883</v>
      </c>
      <c r="EG74" s="230">
        <v>535825</v>
      </c>
      <c r="EH74" s="229">
        <v>-0.41980000000000001</v>
      </c>
      <c r="EI74" s="229">
        <v>0.39779999999999999</v>
      </c>
      <c r="EJ74" s="231">
        <v>87012.66</v>
      </c>
      <c r="EK74" s="231">
        <v>55490.48</v>
      </c>
      <c r="EL74" s="231">
        <v>102815.16</v>
      </c>
      <c r="EM74" s="231">
        <v>5731</v>
      </c>
      <c r="EN74" s="231">
        <v>245318.3</v>
      </c>
      <c r="EO74" s="231">
        <v>213489.6</v>
      </c>
      <c r="EP74" s="231">
        <v>31828.7</v>
      </c>
      <c r="EQ74" s="229">
        <v>0.14910000000000001</v>
      </c>
      <c r="ER74" s="231">
        <v>62934</v>
      </c>
      <c r="ES74" s="231">
        <v>48150</v>
      </c>
      <c r="ET74" s="231">
        <v>141357</v>
      </c>
      <c r="EU74" s="231">
        <v>23870110</v>
      </c>
      <c r="EV74" s="231">
        <v>252441</v>
      </c>
      <c r="EW74" s="231">
        <v>256523</v>
      </c>
      <c r="EX74" s="231">
        <v>-4082</v>
      </c>
      <c r="EY74" s="229">
        <v>-1.5900000000000001E-2</v>
      </c>
      <c r="EZ74" s="229">
        <v>0.59989999999999999</v>
      </c>
      <c r="FA74" s="227" t="s">
        <v>567</v>
      </c>
      <c r="FB74" s="161">
        <f t="shared" si="1"/>
        <v>3845050</v>
      </c>
    </row>
    <row r="75" spans="1:158" ht="17.25" thickBot="1" x14ac:dyDescent="0.3">
      <c r="A75" s="226">
        <v>46135</v>
      </c>
      <c r="B75" s="227" t="s">
        <v>157</v>
      </c>
      <c r="C75" s="227" t="s">
        <v>219</v>
      </c>
      <c r="D75" s="228">
        <v>250</v>
      </c>
      <c r="E75" s="231">
        <v>2738.9</v>
      </c>
      <c r="F75" s="231">
        <v>2784.1</v>
      </c>
      <c r="G75" s="228">
        <v>-45.2</v>
      </c>
      <c r="H75" s="229">
        <v>-1.6199999999999999E-2</v>
      </c>
      <c r="I75" s="231">
        <v>2735</v>
      </c>
      <c r="J75" s="231">
        <v>2776.6</v>
      </c>
      <c r="K75" s="228">
        <v>-41.6</v>
      </c>
      <c r="L75" s="229">
        <v>-1.4999999999999999E-2</v>
      </c>
      <c r="M75" s="231">
        <v>2738.9</v>
      </c>
      <c r="N75" s="231">
        <v>2784.1</v>
      </c>
      <c r="O75" s="228">
        <v>-45.2</v>
      </c>
      <c r="P75" s="229">
        <v>-1.6199999999999999E-2</v>
      </c>
      <c r="Q75" s="231">
        <v>2753.1</v>
      </c>
      <c r="R75" s="231">
        <v>2799.7</v>
      </c>
      <c r="S75" s="228">
        <v>-46.6</v>
      </c>
      <c r="T75" s="229">
        <v>-1.66E-2</v>
      </c>
      <c r="U75" s="231">
        <v>2769.7</v>
      </c>
      <c r="V75" s="231">
        <v>2814.9</v>
      </c>
      <c r="W75" s="228">
        <v>-45.2</v>
      </c>
      <c r="X75" s="229">
        <v>-1.61E-2</v>
      </c>
      <c r="Y75" s="228">
        <v>3.9</v>
      </c>
      <c r="Z75" s="228">
        <v>7.5</v>
      </c>
      <c r="AA75" s="228">
        <v>-3.6</v>
      </c>
      <c r="AB75" s="229">
        <v>1.4E-3</v>
      </c>
      <c r="AC75" s="228">
        <v>3.9</v>
      </c>
      <c r="AD75" s="228">
        <v>7.5</v>
      </c>
      <c r="AE75" s="228">
        <v>-3.6</v>
      </c>
      <c r="AF75" s="229">
        <v>1.4E-3</v>
      </c>
      <c r="AG75" s="228">
        <v>18.100000000000001</v>
      </c>
      <c r="AH75" s="228">
        <v>23.1</v>
      </c>
      <c r="AI75" s="228">
        <v>-5</v>
      </c>
      <c r="AJ75" s="229">
        <v>6.6E-3</v>
      </c>
      <c r="AK75" s="228">
        <v>34.700000000000003</v>
      </c>
      <c r="AL75" s="228">
        <v>38.299999999999997</v>
      </c>
      <c r="AM75" s="228">
        <v>-3.6</v>
      </c>
      <c r="AN75" s="229">
        <v>1.2699999999999999E-2</v>
      </c>
      <c r="AO75" s="231">
        <v>2754.75</v>
      </c>
      <c r="AP75" s="231">
        <v>2769.38</v>
      </c>
      <c r="AQ75" s="228">
        <v>0</v>
      </c>
      <c r="AR75" s="230">
        <v>7147000</v>
      </c>
      <c r="AS75" s="230">
        <v>4210750</v>
      </c>
      <c r="AT75" s="230">
        <v>2936250</v>
      </c>
      <c r="AU75" s="229">
        <v>0.69730000000000003</v>
      </c>
      <c r="AV75" s="230">
        <v>3626500</v>
      </c>
      <c r="AW75" s="230">
        <v>2246500</v>
      </c>
      <c r="AX75" s="230">
        <v>1380000</v>
      </c>
      <c r="AY75" s="229">
        <v>0.61429999999999996</v>
      </c>
      <c r="AZ75" s="230">
        <v>3320000</v>
      </c>
      <c r="BA75" s="230">
        <v>1874750</v>
      </c>
      <c r="BB75" s="230">
        <v>1445250</v>
      </c>
      <c r="BC75" s="229">
        <v>0.77090000000000003</v>
      </c>
      <c r="BD75" s="230">
        <v>200500</v>
      </c>
      <c r="BE75" s="230">
        <v>89500</v>
      </c>
      <c r="BF75" s="230">
        <v>111000</v>
      </c>
      <c r="BG75" s="229">
        <v>1.2402</v>
      </c>
      <c r="BH75" s="230">
        <v>1139250</v>
      </c>
      <c r="BI75" s="230">
        <v>2627750</v>
      </c>
      <c r="BJ75" s="230">
        <v>-1488500</v>
      </c>
      <c r="BK75" s="229">
        <v>-0.5665</v>
      </c>
      <c r="BL75" s="230">
        <v>838000</v>
      </c>
      <c r="BM75" s="230">
        <v>1199500</v>
      </c>
      <c r="BN75" s="230">
        <v>-361500</v>
      </c>
      <c r="BO75" s="229">
        <v>-0.3014</v>
      </c>
      <c r="BP75" s="230">
        <v>9124250</v>
      </c>
      <c r="BQ75" s="230">
        <v>8038000</v>
      </c>
      <c r="BR75" s="230">
        <v>1086250</v>
      </c>
      <c r="BS75" s="229">
        <v>0.1351</v>
      </c>
      <c r="BT75" s="230">
        <v>919493</v>
      </c>
      <c r="BU75" s="230">
        <v>939445</v>
      </c>
      <c r="BV75" s="230">
        <v>-19952</v>
      </c>
      <c r="BW75" s="229">
        <v>-2.12E-2</v>
      </c>
      <c r="BX75" s="230">
        <v>14285500</v>
      </c>
      <c r="BY75" s="230">
        <v>14168500</v>
      </c>
      <c r="BZ75" s="230">
        <v>117000</v>
      </c>
      <c r="CA75" s="229">
        <v>8.3000000000000001E-3</v>
      </c>
      <c r="CB75" s="230">
        <v>6089500</v>
      </c>
      <c r="CC75" s="230">
        <v>9210250</v>
      </c>
      <c r="CD75" s="230">
        <v>-3120750</v>
      </c>
      <c r="CE75" s="229">
        <v>-0.33879999999999999</v>
      </c>
      <c r="CF75" s="230">
        <v>7545000</v>
      </c>
      <c r="CG75" s="230">
        <v>4497000</v>
      </c>
      <c r="CH75" s="230">
        <v>3048000</v>
      </c>
      <c r="CI75" s="229">
        <v>0.67779999999999996</v>
      </c>
      <c r="CJ75" s="230">
        <v>651000</v>
      </c>
      <c r="CK75" s="230">
        <v>461250</v>
      </c>
      <c r="CL75" s="230">
        <v>189750</v>
      </c>
      <c r="CM75" s="229">
        <v>0.41139999999999999</v>
      </c>
      <c r="CN75" s="230">
        <v>1490000</v>
      </c>
      <c r="CO75" s="230">
        <v>1529250</v>
      </c>
      <c r="CP75" s="230">
        <v>-39250</v>
      </c>
      <c r="CQ75" s="229">
        <v>-2.5700000000000001E-2</v>
      </c>
      <c r="CR75" s="230">
        <v>1318500</v>
      </c>
      <c r="CS75" s="230">
        <v>1285500</v>
      </c>
      <c r="CT75" s="230">
        <v>33000</v>
      </c>
      <c r="CU75" s="229">
        <v>2.5700000000000001E-2</v>
      </c>
      <c r="CV75" s="230">
        <v>17094000</v>
      </c>
      <c r="CW75" s="230">
        <v>16983250</v>
      </c>
      <c r="CX75" s="230">
        <v>110750</v>
      </c>
      <c r="CY75" s="229">
        <v>6.4999999999999997E-3</v>
      </c>
      <c r="CZ75" s="228">
        <v>27.25</v>
      </c>
      <c r="DA75" s="228">
        <v>24.37</v>
      </c>
      <c r="DB75" s="228">
        <v>2.88</v>
      </c>
      <c r="DC75" s="228">
        <v>2.88</v>
      </c>
      <c r="DD75" s="228">
        <v>28.24</v>
      </c>
      <c r="DE75" s="228">
        <v>28.22</v>
      </c>
      <c r="DF75" s="228">
        <v>-0.99</v>
      </c>
      <c r="DG75" s="228">
        <v>0.02</v>
      </c>
      <c r="DH75" s="228">
        <v>27.42</v>
      </c>
      <c r="DI75" s="228">
        <v>22.66</v>
      </c>
      <c r="DJ75" s="228">
        <v>4.76</v>
      </c>
      <c r="DK75" s="228">
        <v>4.76</v>
      </c>
      <c r="DL75" s="228">
        <v>27.11</v>
      </c>
      <c r="DM75" s="228">
        <v>28.12</v>
      </c>
      <c r="DN75" s="228">
        <v>-1.01</v>
      </c>
      <c r="DO75" s="228">
        <v>-1.01</v>
      </c>
      <c r="DP75" s="228">
        <v>0.88</v>
      </c>
      <c r="DQ75" s="228">
        <v>0.84</v>
      </c>
      <c r="DR75" s="228">
        <v>0.04</v>
      </c>
      <c r="DS75" s="229">
        <v>4.7600000000000003E-2</v>
      </c>
      <c r="DT75" s="231">
        <v>2800</v>
      </c>
      <c r="DU75" s="231">
        <v>2700</v>
      </c>
      <c r="DV75" s="228">
        <v>0.74</v>
      </c>
      <c r="DW75" s="228">
        <v>0.46</v>
      </c>
      <c r="DX75" s="228">
        <v>0.28000000000000003</v>
      </c>
      <c r="DY75" s="229">
        <v>0.60870000000000002</v>
      </c>
      <c r="DZ75" s="229">
        <v>0.57369999999999999</v>
      </c>
      <c r="EA75" s="230">
        <v>4958250</v>
      </c>
      <c r="EB75" s="229">
        <v>5.1999999999999998E-3</v>
      </c>
      <c r="EC75" s="229">
        <v>0.57369999999999999</v>
      </c>
      <c r="ED75" s="228">
        <v>14.63</v>
      </c>
      <c r="EE75" s="229">
        <v>5.3E-3</v>
      </c>
      <c r="EF75" s="230">
        <v>557782</v>
      </c>
      <c r="EG75" s="230">
        <v>539407</v>
      </c>
      <c r="EH75" s="229">
        <v>3.4099999999999998E-2</v>
      </c>
      <c r="EI75" s="229">
        <v>0.60660000000000003</v>
      </c>
      <c r="EJ75" s="231">
        <v>32210</v>
      </c>
      <c r="EK75" s="231">
        <v>22976.65</v>
      </c>
      <c r="EL75" s="231">
        <v>197442.53</v>
      </c>
      <c r="EM75" s="231">
        <v>9897</v>
      </c>
      <c r="EN75" s="231">
        <v>252629.18</v>
      </c>
      <c r="EO75" s="231">
        <v>225432.77</v>
      </c>
      <c r="EP75" s="231">
        <v>27196.41</v>
      </c>
      <c r="EQ75" s="229">
        <v>0.1206</v>
      </c>
      <c r="ER75" s="231">
        <v>42037</v>
      </c>
      <c r="ES75" s="231">
        <v>34315</v>
      </c>
      <c r="ET75" s="231">
        <v>392537</v>
      </c>
      <c r="EU75" s="231">
        <v>38401443</v>
      </c>
      <c r="EV75" s="231">
        <v>468889</v>
      </c>
      <c r="EW75" s="231">
        <v>471938</v>
      </c>
      <c r="EX75" s="231">
        <v>-3049</v>
      </c>
      <c r="EY75" s="229">
        <v>-6.4999999999999997E-3</v>
      </c>
      <c r="EZ75" s="229">
        <v>0.4451</v>
      </c>
      <c r="FA75" s="227" t="s">
        <v>566</v>
      </c>
      <c r="FB75" s="161">
        <f t="shared" si="1"/>
        <v>8196000</v>
      </c>
    </row>
    <row r="76" spans="1:158" ht="17.25" thickBot="1" x14ac:dyDescent="0.3">
      <c r="A76" s="226">
        <v>46135</v>
      </c>
      <c r="B76" s="227" t="s">
        <v>184</v>
      </c>
      <c r="C76" s="227" t="s">
        <v>513</v>
      </c>
      <c r="D76" s="228">
        <v>150</v>
      </c>
      <c r="E76" s="231">
        <v>4357.7</v>
      </c>
      <c r="F76" s="231">
        <v>4399.8</v>
      </c>
      <c r="G76" s="228">
        <v>-42.1</v>
      </c>
      <c r="H76" s="229">
        <v>-9.5999999999999992E-3</v>
      </c>
      <c r="I76" s="231">
        <v>4352.5</v>
      </c>
      <c r="J76" s="231">
        <v>4400.6000000000004</v>
      </c>
      <c r="K76" s="228">
        <v>-48.1</v>
      </c>
      <c r="L76" s="229">
        <v>-1.09E-2</v>
      </c>
      <c r="M76" s="231">
        <v>4357.7</v>
      </c>
      <c r="N76" s="231">
        <v>4399.8</v>
      </c>
      <c r="O76" s="228">
        <v>-42.1</v>
      </c>
      <c r="P76" s="229">
        <v>-9.5999999999999992E-3</v>
      </c>
      <c r="Q76" s="231">
        <v>4381.7</v>
      </c>
      <c r="R76" s="231">
        <v>4424.2</v>
      </c>
      <c r="S76" s="228">
        <v>-42.5</v>
      </c>
      <c r="T76" s="229">
        <v>-9.5999999999999992E-3</v>
      </c>
      <c r="U76" s="231">
        <v>4407.2</v>
      </c>
      <c r="V76" s="231">
        <v>4452</v>
      </c>
      <c r="W76" s="228">
        <v>-44.8</v>
      </c>
      <c r="X76" s="229">
        <v>-1.01E-2</v>
      </c>
      <c r="Y76" s="228">
        <v>5.2</v>
      </c>
      <c r="Z76" s="228">
        <v>-0.8</v>
      </c>
      <c r="AA76" s="228">
        <v>6</v>
      </c>
      <c r="AB76" s="229">
        <v>1.1999999999999999E-3</v>
      </c>
      <c r="AC76" s="228">
        <v>5.2</v>
      </c>
      <c r="AD76" s="228">
        <v>-0.8</v>
      </c>
      <c r="AE76" s="228">
        <v>6</v>
      </c>
      <c r="AF76" s="229">
        <v>1.1999999999999999E-3</v>
      </c>
      <c r="AG76" s="228">
        <v>29.2</v>
      </c>
      <c r="AH76" s="228">
        <v>23.6</v>
      </c>
      <c r="AI76" s="228">
        <v>5.6</v>
      </c>
      <c r="AJ76" s="229">
        <v>6.7000000000000002E-3</v>
      </c>
      <c r="AK76" s="228">
        <v>54.7</v>
      </c>
      <c r="AL76" s="228">
        <v>51.4</v>
      </c>
      <c r="AM76" s="228">
        <v>3.3</v>
      </c>
      <c r="AN76" s="229">
        <v>1.26E-2</v>
      </c>
      <c r="AO76" s="231">
        <v>4360.5200000000004</v>
      </c>
      <c r="AP76" s="231">
        <v>4382.9399999999996</v>
      </c>
      <c r="AQ76" s="228">
        <v>0</v>
      </c>
      <c r="AR76" s="230">
        <v>2703150</v>
      </c>
      <c r="AS76" s="230">
        <v>2058150</v>
      </c>
      <c r="AT76" s="230">
        <v>645000</v>
      </c>
      <c r="AU76" s="229">
        <v>0.31340000000000001</v>
      </c>
      <c r="AV76" s="230">
        <v>1431000</v>
      </c>
      <c r="AW76" s="230">
        <v>1214250</v>
      </c>
      <c r="AX76" s="230">
        <v>216750</v>
      </c>
      <c r="AY76" s="229">
        <v>0.17849999999999999</v>
      </c>
      <c r="AZ76" s="230">
        <v>1242450</v>
      </c>
      <c r="BA76" s="230">
        <v>468750</v>
      </c>
      <c r="BB76" s="230">
        <v>773700</v>
      </c>
      <c r="BC76" s="229">
        <v>1.6506000000000001</v>
      </c>
      <c r="BD76" s="230">
        <v>29700</v>
      </c>
      <c r="BE76" s="230">
        <v>375150</v>
      </c>
      <c r="BF76" s="230">
        <v>-345450</v>
      </c>
      <c r="BG76" s="229">
        <v>-0.92079999999999995</v>
      </c>
      <c r="BH76" s="230">
        <v>4587450</v>
      </c>
      <c r="BI76" s="230">
        <v>5005350</v>
      </c>
      <c r="BJ76" s="230">
        <v>-417900</v>
      </c>
      <c r="BK76" s="229">
        <v>-8.3500000000000005E-2</v>
      </c>
      <c r="BL76" s="230">
        <v>2430900</v>
      </c>
      <c r="BM76" s="230">
        <v>2483700</v>
      </c>
      <c r="BN76" s="230">
        <v>-52800</v>
      </c>
      <c r="BO76" s="229">
        <v>-2.1299999999999999E-2</v>
      </c>
      <c r="BP76" s="230">
        <v>9721500</v>
      </c>
      <c r="BQ76" s="230">
        <v>9547200</v>
      </c>
      <c r="BR76" s="230">
        <v>174300</v>
      </c>
      <c r="BS76" s="229">
        <v>1.83E-2</v>
      </c>
      <c r="BT76" s="230">
        <v>668128</v>
      </c>
      <c r="BU76" s="230">
        <v>838309</v>
      </c>
      <c r="BV76" s="230">
        <v>-170181</v>
      </c>
      <c r="BW76" s="229">
        <v>-0.20300000000000001</v>
      </c>
      <c r="BX76" s="230">
        <v>7596000</v>
      </c>
      <c r="BY76" s="230">
        <v>7529700</v>
      </c>
      <c r="BZ76" s="230">
        <v>66300</v>
      </c>
      <c r="CA76" s="229">
        <v>8.8000000000000005E-3</v>
      </c>
      <c r="CB76" s="230">
        <v>4695900</v>
      </c>
      <c r="CC76" s="230">
        <v>5672850</v>
      </c>
      <c r="CD76" s="230">
        <v>-976950</v>
      </c>
      <c r="CE76" s="229">
        <v>-0.17219999999999999</v>
      </c>
      <c r="CF76" s="230">
        <v>2293500</v>
      </c>
      <c r="CG76" s="230">
        <v>1263000</v>
      </c>
      <c r="CH76" s="230">
        <v>1030500</v>
      </c>
      <c r="CI76" s="229">
        <v>0.81589999999999996</v>
      </c>
      <c r="CJ76" s="230">
        <v>606600</v>
      </c>
      <c r="CK76" s="230">
        <v>593850</v>
      </c>
      <c r="CL76" s="230">
        <v>12750</v>
      </c>
      <c r="CM76" s="229">
        <v>2.1499999999999998E-2</v>
      </c>
      <c r="CN76" s="230">
        <v>3356250</v>
      </c>
      <c r="CO76" s="230">
        <v>3406050</v>
      </c>
      <c r="CP76" s="230">
        <v>-49800</v>
      </c>
      <c r="CQ76" s="229">
        <v>-1.46E-2</v>
      </c>
      <c r="CR76" s="230">
        <v>3175200</v>
      </c>
      <c r="CS76" s="230">
        <v>3181650</v>
      </c>
      <c r="CT76" s="230">
        <v>-6450</v>
      </c>
      <c r="CU76" s="229">
        <v>-2E-3</v>
      </c>
      <c r="CV76" s="230">
        <v>14127450</v>
      </c>
      <c r="CW76" s="230">
        <v>14117400</v>
      </c>
      <c r="CX76" s="230">
        <v>10050</v>
      </c>
      <c r="CY76" s="229">
        <v>6.9999999999999999E-4</v>
      </c>
      <c r="CZ76" s="228">
        <v>33.47</v>
      </c>
      <c r="DA76" s="228">
        <v>30.36</v>
      </c>
      <c r="DB76" s="228">
        <v>3.11</v>
      </c>
      <c r="DC76" s="228">
        <v>3.11</v>
      </c>
      <c r="DD76" s="228">
        <v>38.86</v>
      </c>
      <c r="DE76" s="228">
        <v>38.94</v>
      </c>
      <c r="DF76" s="228">
        <v>-5.39</v>
      </c>
      <c r="DG76" s="228">
        <v>-0.08</v>
      </c>
      <c r="DH76" s="228">
        <v>33.75</v>
      </c>
      <c r="DI76" s="228">
        <v>28.47</v>
      </c>
      <c r="DJ76" s="228">
        <v>5.28</v>
      </c>
      <c r="DK76" s="228">
        <v>5.28</v>
      </c>
      <c r="DL76" s="228">
        <v>33</v>
      </c>
      <c r="DM76" s="228">
        <v>34.159999999999997</v>
      </c>
      <c r="DN76" s="228">
        <v>-1.1599999999999999</v>
      </c>
      <c r="DO76" s="228">
        <v>-1.1599999999999999</v>
      </c>
      <c r="DP76" s="228">
        <v>0.95</v>
      </c>
      <c r="DQ76" s="228">
        <v>0.93</v>
      </c>
      <c r="DR76" s="228">
        <v>0.02</v>
      </c>
      <c r="DS76" s="229">
        <v>2.1499999999999998E-2</v>
      </c>
      <c r="DT76" s="231">
        <v>4500</v>
      </c>
      <c r="DU76" s="231">
        <v>4000</v>
      </c>
      <c r="DV76" s="228">
        <v>0.53</v>
      </c>
      <c r="DW76" s="228">
        <v>0.5</v>
      </c>
      <c r="DX76" s="228">
        <v>0.03</v>
      </c>
      <c r="DY76" s="229">
        <v>0.06</v>
      </c>
      <c r="DZ76" s="229">
        <v>0.38179999999999997</v>
      </c>
      <c r="EA76" s="230">
        <v>1856850</v>
      </c>
      <c r="EB76" s="229">
        <v>5.4999999999999997E-3</v>
      </c>
      <c r="EC76" s="229">
        <v>0.38179999999999997</v>
      </c>
      <c r="ED76" s="228">
        <v>22.42</v>
      </c>
      <c r="EE76" s="229">
        <v>5.1000000000000004E-3</v>
      </c>
      <c r="EF76" s="230">
        <v>265854</v>
      </c>
      <c r="EG76" s="230">
        <v>408153</v>
      </c>
      <c r="EH76" s="229">
        <v>-0.34860000000000002</v>
      </c>
      <c r="EI76" s="229">
        <v>0.39789999999999998</v>
      </c>
      <c r="EJ76" s="231">
        <v>207296.4</v>
      </c>
      <c r="EK76" s="231">
        <v>103155.09</v>
      </c>
      <c r="EL76" s="231">
        <v>118165.12</v>
      </c>
      <c r="EM76" s="231">
        <v>9886</v>
      </c>
      <c r="EN76" s="231">
        <v>428616.61</v>
      </c>
      <c r="EO76" s="231">
        <v>421972.51</v>
      </c>
      <c r="EP76" s="231">
        <v>6644.1</v>
      </c>
      <c r="EQ76" s="229">
        <v>1.5699999999999999E-2</v>
      </c>
      <c r="ER76" s="231">
        <v>143270</v>
      </c>
      <c r="ES76" s="231">
        <v>127189</v>
      </c>
      <c r="ET76" s="231">
        <v>331862</v>
      </c>
      <c r="EU76" s="231">
        <v>28450886</v>
      </c>
      <c r="EV76" s="231">
        <v>602320</v>
      </c>
      <c r="EW76" s="231">
        <v>604163</v>
      </c>
      <c r="EX76" s="231">
        <v>-1843</v>
      </c>
      <c r="EY76" s="229">
        <v>-3.0999999999999999E-3</v>
      </c>
      <c r="EZ76" s="229">
        <v>0.49659999999999999</v>
      </c>
      <c r="FA76" s="227" t="s">
        <v>566</v>
      </c>
      <c r="FB76" s="161">
        <f t="shared" si="1"/>
        <v>2900100</v>
      </c>
    </row>
    <row r="77" spans="1:158" ht="17.25" thickBot="1" x14ac:dyDescent="0.3">
      <c r="A77" s="226">
        <v>46135</v>
      </c>
      <c r="B77" s="227" t="s">
        <v>184</v>
      </c>
      <c r="C77" s="227" t="s">
        <v>220</v>
      </c>
      <c r="D77" s="228">
        <v>500</v>
      </c>
      <c r="E77" s="231">
        <v>1243</v>
      </c>
      <c r="F77" s="231">
        <v>1343.7</v>
      </c>
      <c r="G77" s="228">
        <v>-100.7</v>
      </c>
      <c r="H77" s="229">
        <v>-7.4899999999999994E-2</v>
      </c>
      <c r="I77" s="231">
        <v>1260.3</v>
      </c>
      <c r="J77" s="231">
        <v>1348.7</v>
      </c>
      <c r="K77" s="228">
        <v>-88.4</v>
      </c>
      <c r="L77" s="229">
        <v>-6.5500000000000003E-2</v>
      </c>
      <c r="M77" s="231">
        <v>1243</v>
      </c>
      <c r="N77" s="231">
        <v>1343.7</v>
      </c>
      <c r="O77" s="228">
        <v>-100.7</v>
      </c>
      <c r="P77" s="229">
        <v>-7.4899999999999994E-2</v>
      </c>
      <c r="Q77" s="231">
        <v>1233</v>
      </c>
      <c r="R77" s="231">
        <v>1347</v>
      </c>
      <c r="S77" s="228">
        <v>-114</v>
      </c>
      <c r="T77" s="229">
        <v>-8.4599999999999995E-2</v>
      </c>
      <c r="U77" s="231">
        <v>1233.0999999999999</v>
      </c>
      <c r="V77" s="231">
        <v>1348.7</v>
      </c>
      <c r="W77" s="228">
        <v>-115.6</v>
      </c>
      <c r="X77" s="229">
        <v>-8.5699999999999998E-2</v>
      </c>
      <c r="Y77" s="228">
        <v>-17.3</v>
      </c>
      <c r="Z77" s="228">
        <v>-5</v>
      </c>
      <c r="AA77" s="228">
        <v>-12.3</v>
      </c>
      <c r="AB77" s="229">
        <v>-1.37E-2</v>
      </c>
      <c r="AC77" s="228">
        <v>-17.3</v>
      </c>
      <c r="AD77" s="228">
        <v>-5</v>
      </c>
      <c r="AE77" s="228">
        <v>-12.3</v>
      </c>
      <c r="AF77" s="229">
        <v>-1.37E-2</v>
      </c>
      <c r="AG77" s="228">
        <v>-27.3</v>
      </c>
      <c r="AH77" s="228">
        <v>-1.7</v>
      </c>
      <c r="AI77" s="228">
        <v>-25.6</v>
      </c>
      <c r="AJ77" s="229">
        <v>-2.1700000000000001E-2</v>
      </c>
      <c r="AK77" s="228">
        <v>-27.2</v>
      </c>
      <c r="AL77" s="228">
        <v>0</v>
      </c>
      <c r="AM77" s="228">
        <v>-27.2</v>
      </c>
      <c r="AN77" s="229">
        <v>-2.1600000000000001E-2</v>
      </c>
      <c r="AO77" s="231">
        <v>1259.44</v>
      </c>
      <c r="AP77" s="231">
        <v>1253.6099999999999</v>
      </c>
      <c r="AQ77" s="228">
        <v>0</v>
      </c>
      <c r="AR77" s="230">
        <v>15457500</v>
      </c>
      <c r="AS77" s="230">
        <v>13969000</v>
      </c>
      <c r="AT77" s="230">
        <v>1488500</v>
      </c>
      <c r="AU77" s="229">
        <v>0.1066</v>
      </c>
      <c r="AV77" s="230">
        <v>8029500</v>
      </c>
      <c r="AW77" s="230">
        <v>11038000</v>
      </c>
      <c r="AX77" s="230">
        <v>-3008500</v>
      </c>
      <c r="AY77" s="229">
        <v>-0.27260000000000001</v>
      </c>
      <c r="AZ77" s="230">
        <v>7055000</v>
      </c>
      <c r="BA77" s="230">
        <v>2751000</v>
      </c>
      <c r="BB77" s="230">
        <v>4304000</v>
      </c>
      <c r="BC77" s="229">
        <v>1.5645</v>
      </c>
      <c r="BD77" s="230">
        <v>373000</v>
      </c>
      <c r="BE77" s="230">
        <v>180000</v>
      </c>
      <c r="BF77" s="230">
        <v>193000</v>
      </c>
      <c r="BG77" s="229">
        <v>1.0722</v>
      </c>
      <c r="BH77" s="230">
        <v>49589000</v>
      </c>
      <c r="BI77" s="230">
        <v>82821500</v>
      </c>
      <c r="BJ77" s="230">
        <v>-33232500</v>
      </c>
      <c r="BK77" s="229">
        <v>-0.40129999999999999</v>
      </c>
      <c r="BL77" s="230">
        <v>30427500</v>
      </c>
      <c r="BM77" s="230">
        <v>34307000</v>
      </c>
      <c r="BN77" s="230">
        <v>-3879500</v>
      </c>
      <c r="BO77" s="229">
        <v>-0.11310000000000001</v>
      </c>
      <c r="BP77" s="230">
        <v>95474000</v>
      </c>
      <c r="BQ77" s="230">
        <v>131097500</v>
      </c>
      <c r="BR77" s="230">
        <v>-35623500</v>
      </c>
      <c r="BS77" s="229">
        <v>-0.2717</v>
      </c>
      <c r="BT77" s="230">
        <v>5962026</v>
      </c>
      <c r="BU77" s="230">
        <v>4974464</v>
      </c>
      <c r="BV77" s="230">
        <v>987562</v>
      </c>
      <c r="BW77" s="229">
        <v>0.19850000000000001</v>
      </c>
      <c r="BX77" s="230">
        <v>10918500</v>
      </c>
      <c r="BY77" s="230">
        <v>10479000</v>
      </c>
      <c r="BZ77" s="230">
        <v>439500</v>
      </c>
      <c r="CA77" s="229">
        <v>4.19E-2</v>
      </c>
      <c r="CB77" s="230">
        <v>5671500</v>
      </c>
      <c r="CC77" s="230">
        <v>8852500</v>
      </c>
      <c r="CD77" s="230">
        <v>-3181000</v>
      </c>
      <c r="CE77" s="229">
        <v>-0.35930000000000001</v>
      </c>
      <c r="CF77" s="230">
        <v>5006500</v>
      </c>
      <c r="CG77" s="230">
        <v>1551500</v>
      </c>
      <c r="CH77" s="230">
        <v>3455000</v>
      </c>
      <c r="CI77" s="229">
        <v>2.2269000000000001</v>
      </c>
      <c r="CJ77" s="230">
        <v>240500</v>
      </c>
      <c r="CK77" s="230">
        <v>75000</v>
      </c>
      <c r="CL77" s="230">
        <v>165500</v>
      </c>
      <c r="CM77" s="229">
        <v>2.2067000000000001</v>
      </c>
      <c r="CN77" s="230">
        <v>14337500</v>
      </c>
      <c r="CO77" s="230">
        <v>11355500</v>
      </c>
      <c r="CP77" s="230">
        <v>2982000</v>
      </c>
      <c r="CQ77" s="229">
        <v>0.2626</v>
      </c>
      <c r="CR77" s="230">
        <v>5956000</v>
      </c>
      <c r="CS77" s="230">
        <v>5427000</v>
      </c>
      <c r="CT77" s="230">
        <v>529000</v>
      </c>
      <c r="CU77" s="229">
        <v>9.7500000000000003E-2</v>
      </c>
      <c r="CV77" s="230">
        <v>31212000</v>
      </c>
      <c r="CW77" s="230">
        <v>27261500</v>
      </c>
      <c r="CX77" s="230">
        <v>3950500</v>
      </c>
      <c r="CY77" s="229">
        <v>0.1449</v>
      </c>
      <c r="CZ77" s="228">
        <v>34.01</v>
      </c>
      <c r="DA77" s="228">
        <v>45.89</v>
      </c>
      <c r="DB77" s="228">
        <v>-11.88</v>
      </c>
      <c r="DC77" s="228">
        <v>-11.88</v>
      </c>
      <c r="DD77" s="228">
        <v>31.25</v>
      </c>
      <c r="DE77" s="228">
        <v>29.5</v>
      </c>
      <c r="DF77" s="228">
        <v>2.76</v>
      </c>
      <c r="DG77" s="228">
        <v>1.75</v>
      </c>
      <c r="DH77" s="228">
        <v>34.4</v>
      </c>
      <c r="DI77" s="228">
        <v>46.31</v>
      </c>
      <c r="DJ77" s="228">
        <v>-11.91</v>
      </c>
      <c r="DK77" s="228">
        <v>-11.91</v>
      </c>
      <c r="DL77" s="228">
        <v>33.11</v>
      </c>
      <c r="DM77" s="228">
        <v>44.89</v>
      </c>
      <c r="DN77" s="228">
        <v>-11.78</v>
      </c>
      <c r="DO77" s="228">
        <v>-11.78</v>
      </c>
      <c r="DP77" s="228">
        <v>0.42</v>
      </c>
      <c r="DQ77" s="228">
        <v>0.48</v>
      </c>
      <c r="DR77" s="228">
        <v>-0.06</v>
      </c>
      <c r="DS77" s="229">
        <v>-0.125</v>
      </c>
      <c r="DT77" s="231">
        <v>1400</v>
      </c>
      <c r="DU77" s="231">
        <v>1200</v>
      </c>
      <c r="DV77" s="228">
        <v>0.61</v>
      </c>
      <c r="DW77" s="228">
        <v>0.41</v>
      </c>
      <c r="DX77" s="228">
        <v>0.2</v>
      </c>
      <c r="DY77" s="229">
        <v>0.48780000000000001</v>
      </c>
      <c r="DZ77" s="229">
        <v>0.48060000000000003</v>
      </c>
      <c r="EA77" s="230">
        <v>1626500</v>
      </c>
      <c r="EB77" s="229">
        <v>-8.0000000000000002E-3</v>
      </c>
      <c r="EC77" s="229">
        <v>0.48060000000000003</v>
      </c>
      <c r="ED77" s="228">
        <v>-5.83</v>
      </c>
      <c r="EE77" s="229">
        <v>-4.5999999999999999E-3</v>
      </c>
      <c r="EF77" s="230">
        <v>2562302</v>
      </c>
      <c r="EG77" s="230">
        <v>1029559</v>
      </c>
      <c r="EH77" s="229">
        <v>1.4886999999999999</v>
      </c>
      <c r="EI77" s="229">
        <v>0.42980000000000002</v>
      </c>
      <c r="EJ77" s="231">
        <v>671067.03</v>
      </c>
      <c r="EK77" s="231">
        <v>387484.51</v>
      </c>
      <c r="EL77" s="231">
        <v>194245.12</v>
      </c>
      <c r="EM77" s="231">
        <v>8517</v>
      </c>
      <c r="EN77" s="231">
        <v>1252796.6599999999</v>
      </c>
      <c r="EO77" s="231">
        <v>1825403.55</v>
      </c>
      <c r="EP77" s="231">
        <v>-572606.89</v>
      </c>
      <c r="EQ77" s="229">
        <v>-0.31369999999999998</v>
      </c>
      <c r="ER77" s="231">
        <v>195741</v>
      </c>
      <c r="ES77" s="231">
        <v>74787</v>
      </c>
      <c r="ET77" s="231">
        <v>135192</v>
      </c>
      <c r="EU77" s="231">
        <v>29751886</v>
      </c>
      <c r="EV77" s="231">
        <v>405720</v>
      </c>
      <c r="EW77" s="231">
        <v>368790</v>
      </c>
      <c r="EX77" s="231">
        <v>36930</v>
      </c>
      <c r="EY77" s="229">
        <v>0.10009999999999999</v>
      </c>
      <c r="EZ77" s="229">
        <v>1.0490999999999999</v>
      </c>
      <c r="FA77" s="227" t="s">
        <v>566</v>
      </c>
      <c r="FB77" s="161">
        <f t="shared" si="1"/>
        <v>5247000</v>
      </c>
    </row>
    <row r="78" spans="1:158" ht="17.25" thickBot="1" x14ac:dyDescent="0.3">
      <c r="A78" s="226">
        <v>46135</v>
      </c>
      <c r="B78" s="227" t="s">
        <v>221</v>
      </c>
      <c r="C78" s="227" t="s">
        <v>222</v>
      </c>
      <c r="D78" s="228">
        <v>350</v>
      </c>
      <c r="E78" s="231">
        <v>1247.9000000000001</v>
      </c>
      <c r="F78" s="231">
        <v>1264.5</v>
      </c>
      <c r="G78" s="228">
        <v>-16.600000000000001</v>
      </c>
      <c r="H78" s="229">
        <v>-1.3100000000000001E-2</v>
      </c>
      <c r="I78" s="231">
        <v>1277.5999999999999</v>
      </c>
      <c r="J78" s="231">
        <v>1285.3</v>
      </c>
      <c r="K78" s="228">
        <v>-7.7</v>
      </c>
      <c r="L78" s="229">
        <v>-6.0000000000000001E-3</v>
      </c>
      <c r="M78" s="231">
        <v>1247.9000000000001</v>
      </c>
      <c r="N78" s="231">
        <v>1264.5</v>
      </c>
      <c r="O78" s="228">
        <v>-16.600000000000001</v>
      </c>
      <c r="P78" s="229">
        <v>-1.3100000000000001E-2</v>
      </c>
      <c r="Q78" s="231">
        <v>1231.2</v>
      </c>
      <c r="R78" s="231">
        <v>1255.0999999999999</v>
      </c>
      <c r="S78" s="228">
        <v>-23.9</v>
      </c>
      <c r="T78" s="229">
        <v>-1.9E-2</v>
      </c>
      <c r="U78" s="231">
        <v>1225.5999999999999</v>
      </c>
      <c r="V78" s="231">
        <v>1257.4000000000001</v>
      </c>
      <c r="W78" s="228">
        <v>-31.8</v>
      </c>
      <c r="X78" s="229">
        <v>-2.53E-2</v>
      </c>
      <c r="Y78" s="228">
        <v>-29.7</v>
      </c>
      <c r="Z78" s="228">
        <v>-20.8</v>
      </c>
      <c r="AA78" s="228">
        <v>-8.9</v>
      </c>
      <c r="AB78" s="229">
        <v>-2.3199999999999998E-2</v>
      </c>
      <c r="AC78" s="228">
        <v>-29.7</v>
      </c>
      <c r="AD78" s="228">
        <v>-20.8</v>
      </c>
      <c r="AE78" s="228">
        <v>-8.9</v>
      </c>
      <c r="AF78" s="229">
        <v>-2.3199999999999998E-2</v>
      </c>
      <c r="AG78" s="228">
        <v>-46.4</v>
      </c>
      <c r="AH78" s="228">
        <v>-30.2</v>
      </c>
      <c r="AI78" s="228">
        <v>-16.2</v>
      </c>
      <c r="AJ78" s="229">
        <v>-3.6299999999999999E-2</v>
      </c>
      <c r="AK78" s="228">
        <v>-52</v>
      </c>
      <c r="AL78" s="228">
        <v>-27.9</v>
      </c>
      <c r="AM78" s="228">
        <v>-24.1</v>
      </c>
      <c r="AN78" s="229">
        <v>-4.07E-2</v>
      </c>
      <c r="AO78" s="231">
        <v>1250.9000000000001</v>
      </c>
      <c r="AP78" s="231">
        <v>1234.58</v>
      </c>
      <c r="AQ78" s="228">
        <v>0</v>
      </c>
      <c r="AR78" s="230">
        <v>36887900</v>
      </c>
      <c r="AS78" s="230">
        <v>42683550</v>
      </c>
      <c r="AT78" s="230">
        <v>-5795650</v>
      </c>
      <c r="AU78" s="229">
        <v>-0.1358</v>
      </c>
      <c r="AV78" s="230">
        <v>17729250</v>
      </c>
      <c r="AW78" s="230">
        <v>27792100</v>
      </c>
      <c r="AX78" s="230">
        <v>-10062850</v>
      </c>
      <c r="AY78" s="229">
        <v>-0.36209999999999998</v>
      </c>
      <c r="AZ78" s="230">
        <v>18471250</v>
      </c>
      <c r="BA78" s="230">
        <v>13991250</v>
      </c>
      <c r="BB78" s="230">
        <v>4480000</v>
      </c>
      <c r="BC78" s="229">
        <v>0.32019999999999998</v>
      </c>
      <c r="BD78" s="230">
        <v>687400</v>
      </c>
      <c r="BE78" s="230">
        <v>900200</v>
      </c>
      <c r="BF78" s="230">
        <v>-212800</v>
      </c>
      <c r="BG78" s="229">
        <v>-0.2364</v>
      </c>
      <c r="BH78" s="230">
        <v>73749200</v>
      </c>
      <c r="BI78" s="230">
        <v>154794500</v>
      </c>
      <c r="BJ78" s="230">
        <v>-81045300</v>
      </c>
      <c r="BK78" s="229">
        <v>-0.52359999999999995</v>
      </c>
      <c r="BL78" s="230">
        <v>27052200</v>
      </c>
      <c r="BM78" s="230">
        <v>98750050</v>
      </c>
      <c r="BN78" s="230">
        <v>-71697850</v>
      </c>
      <c r="BO78" s="229">
        <v>-0.72609999999999997</v>
      </c>
      <c r="BP78" s="230">
        <v>137689300</v>
      </c>
      <c r="BQ78" s="230">
        <v>296228100</v>
      </c>
      <c r="BR78" s="230">
        <v>-158538800</v>
      </c>
      <c r="BS78" s="229">
        <v>-0.53520000000000001</v>
      </c>
      <c r="BT78" s="230">
        <v>8790348</v>
      </c>
      <c r="BU78" s="230">
        <v>35017097</v>
      </c>
      <c r="BV78" s="230">
        <v>-26226749</v>
      </c>
      <c r="BW78" s="229">
        <v>-0.749</v>
      </c>
      <c r="BX78" s="230">
        <v>48702150</v>
      </c>
      <c r="BY78" s="230">
        <v>51966250</v>
      </c>
      <c r="BZ78" s="230">
        <v>-3264100</v>
      </c>
      <c r="CA78" s="229">
        <v>-6.2799999999999995E-2</v>
      </c>
      <c r="CB78" s="230">
        <v>22625750</v>
      </c>
      <c r="CC78" s="230">
        <v>35454650</v>
      </c>
      <c r="CD78" s="230">
        <v>-12828900</v>
      </c>
      <c r="CE78" s="229">
        <v>-0.36180000000000001</v>
      </c>
      <c r="CF78" s="230">
        <v>24930850</v>
      </c>
      <c r="CG78" s="230">
        <v>15700650</v>
      </c>
      <c r="CH78" s="230">
        <v>9230200</v>
      </c>
      <c r="CI78" s="229">
        <v>0.58789999999999998</v>
      </c>
      <c r="CJ78" s="230">
        <v>1145550</v>
      </c>
      <c r="CK78" s="230">
        <v>810950</v>
      </c>
      <c r="CL78" s="230">
        <v>334600</v>
      </c>
      <c r="CM78" s="229">
        <v>0.41260000000000002</v>
      </c>
      <c r="CN78" s="230">
        <v>39749500</v>
      </c>
      <c r="CO78" s="230">
        <v>37766400</v>
      </c>
      <c r="CP78" s="230">
        <v>1983100</v>
      </c>
      <c r="CQ78" s="229">
        <v>5.2499999999999998E-2</v>
      </c>
      <c r="CR78" s="230">
        <v>17385200</v>
      </c>
      <c r="CS78" s="230">
        <v>16535400</v>
      </c>
      <c r="CT78" s="230">
        <v>849800</v>
      </c>
      <c r="CU78" s="229">
        <v>5.1400000000000001E-2</v>
      </c>
      <c r="CV78" s="230">
        <v>105836850</v>
      </c>
      <c r="CW78" s="230">
        <v>106268050</v>
      </c>
      <c r="CX78" s="230">
        <v>-431200</v>
      </c>
      <c r="CY78" s="229">
        <v>-4.1000000000000003E-3</v>
      </c>
      <c r="CZ78" s="228">
        <v>33.42</v>
      </c>
      <c r="DA78" s="228">
        <v>37.950000000000003</v>
      </c>
      <c r="DB78" s="228">
        <v>-4.53</v>
      </c>
      <c r="DC78" s="228">
        <v>-4.53</v>
      </c>
      <c r="DD78" s="228">
        <v>32.950000000000003</v>
      </c>
      <c r="DE78" s="228">
        <v>33.020000000000003</v>
      </c>
      <c r="DF78" s="228">
        <v>0.47</v>
      </c>
      <c r="DG78" s="228">
        <v>-7.0000000000000007E-2</v>
      </c>
      <c r="DH78" s="228">
        <v>33.78</v>
      </c>
      <c r="DI78" s="228">
        <v>39.549999999999997</v>
      </c>
      <c r="DJ78" s="228">
        <v>-5.77</v>
      </c>
      <c r="DK78" s="228">
        <v>-5.77</v>
      </c>
      <c r="DL78" s="228">
        <v>32.54</v>
      </c>
      <c r="DM78" s="228">
        <v>35.450000000000003</v>
      </c>
      <c r="DN78" s="228">
        <v>-2.91</v>
      </c>
      <c r="DO78" s="228">
        <v>-2.91</v>
      </c>
      <c r="DP78" s="228">
        <v>0.44</v>
      </c>
      <c r="DQ78" s="228">
        <v>0.44</v>
      </c>
      <c r="DR78" s="228">
        <v>0</v>
      </c>
      <c r="DS78" s="229">
        <v>0</v>
      </c>
      <c r="DT78" s="231">
        <v>1300</v>
      </c>
      <c r="DU78" s="231">
        <v>1200</v>
      </c>
      <c r="DV78" s="228">
        <v>0.37</v>
      </c>
      <c r="DW78" s="228">
        <v>0.64</v>
      </c>
      <c r="DX78" s="228">
        <v>-0.27</v>
      </c>
      <c r="DY78" s="229">
        <v>-0.4219</v>
      </c>
      <c r="DZ78" s="229">
        <v>0.53539999999999999</v>
      </c>
      <c r="EA78" s="230">
        <v>16511600</v>
      </c>
      <c r="EB78" s="229">
        <v>-1.34E-2</v>
      </c>
      <c r="EC78" s="229">
        <v>0.53539999999999999</v>
      </c>
      <c r="ED78" s="228">
        <v>-16.32</v>
      </c>
      <c r="EE78" s="229">
        <v>-1.2999999999999999E-2</v>
      </c>
      <c r="EF78" s="230">
        <v>4232838</v>
      </c>
      <c r="EG78" s="230">
        <v>15901185</v>
      </c>
      <c r="EH78" s="229">
        <v>-0.73380000000000001</v>
      </c>
      <c r="EI78" s="229">
        <v>0.48149999999999998</v>
      </c>
      <c r="EJ78" s="231">
        <v>980871.5</v>
      </c>
      <c r="EK78" s="231">
        <v>341063.47</v>
      </c>
      <c r="EL78" s="231">
        <v>458282.96</v>
      </c>
      <c r="EM78" s="231">
        <v>42899</v>
      </c>
      <c r="EN78" s="231">
        <v>1780217.93</v>
      </c>
      <c r="EO78" s="231">
        <v>3951786.16</v>
      </c>
      <c r="EP78" s="231">
        <v>-2171568.23</v>
      </c>
      <c r="EQ78" s="229">
        <v>-0.54949999999999999</v>
      </c>
      <c r="ER78" s="231">
        <v>539603</v>
      </c>
      <c r="ES78" s="231">
        <v>221424</v>
      </c>
      <c r="ET78" s="231">
        <v>603335</v>
      </c>
      <c r="EU78" s="231">
        <v>145140505</v>
      </c>
      <c r="EV78" s="231">
        <v>1364362</v>
      </c>
      <c r="EW78" s="231">
        <v>1384462</v>
      </c>
      <c r="EX78" s="231">
        <v>-20100</v>
      </c>
      <c r="EY78" s="229">
        <v>-1.4500000000000001E-2</v>
      </c>
      <c r="EZ78" s="229">
        <v>0.72919999999999996</v>
      </c>
      <c r="FA78" s="227" t="s">
        <v>567</v>
      </c>
      <c r="FB78" s="161">
        <f t="shared" si="1"/>
        <v>26076400</v>
      </c>
    </row>
    <row r="79" spans="1:158" ht="17.25" thickBot="1" x14ac:dyDescent="0.3">
      <c r="A79" s="226">
        <v>46135</v>
      </c>
      <c r="B79" s="227" t="s">
        <v>175</v>
      </c>
      <c r="C79" s="227" t="s">
        <v>475</v>
      </c>
      <c r="D79" s="228">
        <v>300</v>
      </c>
      <c r="E79" s="231">
        <v>2713.8</v>
      </c>
      <c r="F79" s="231">
        <v>2770.5</v>
      </c>
      <c r="G79" s="228">
        <v>-56.7</v>
      </c>
      <c r="H79" s="229">
        <v>-2.0500000000000001E-2</v>
      </c>
      <c r="I79" s="231">
        <v>2708.2</v>
      </c>
      <c r="J79" s="231">
        <v>2766.4</v>
      </c>
      <c r="K79" s="228">
        <v>-58.2</v>
      </c>
      <c r="L79" s="229">
        <v>-2.1000000000000001E-2</v>
      </c>
      <c r="M79" s="231">
        <v>2713.8</v>
      </c>
      <c r="N79" s="231">
        <v>2770.5</v>
      </c>
      <c r="O79" s="228">
        <v>-56.7</v>
      </c>
      <c r="P79" s="229">
        <v>-2.0500000000000001E-2</v>
      </c>
      <c r="Q79" s="231">
        <v>2726.9</v>
      </c>
      <c r="R79" s="231">
        <v>2785.2</v>
      </c>
      <c r="S79" s="228">
        <v>-58.3</v>
      </c>
      <c r="T79" s="229">
        <v>-2.0899999999999998E-2</v>
      </c>
      <c r="U79" s="231">
        <v>2739.6</v>
      </c>
      <c r="V79" s="231">
        <v>2798.6</v>
      </c>
      <c r="W79" s="228">
        <v>-59</v>
      </c>
      <c r="X79" s="229">
        <v>-2.1100000000000001E-2</v>
      </c>
      <c r="Y79" s="228">
        <v>5.6</v>
      </c>
      <c r="Z79" s="228">
        <v>4.0999999999999996</v>
      </c>
      <c r="AA79" s="228">
        <v>1.5</v>
      </c>
      <c r="AB79" s="229">
        <v>2.0999999999999999E-3</v>
      </c>
      <c r="AC79" s="228">
        <v>5.6</v>
      </c>
      <c r="AD79" s="228">
        <v>4.0999999999999996</v>
      </c>
      <c r="AE79" s="228">
        <v>1.5</v>
      </c>
      <c r="AF79" s="229">
        <v>2.0999999999999999E-3</v>
      </c>
      <c r="AG79" s="228">
        <v>18.7</v>
      </c>
      <c r="AH79" s="228">
        <v>18.8</v>
      </c>
      <c r="AI79" s="228">
        <v>-0.1</v>
      </c>
      <c r="AJ79" s="229">
        <v>6.8999999999999999E-3</v>
      </c>
      <c r="AK79" s="228">
        <v>31.4</v>
      </c>
      <c r="AL79" s="228">
        <v>32.200000000000003</v>
      </c>
      <c r="AM79" s="228">
        <v>-0.8</v>
      </c>
      <c r="AN79" s="229">
        <v>1.1599999999999999E-2</v>
      </c>
      <c r="AO79" s="231">
        <v>2736.42</v>
      </c>
      <c r="AP79" s="231">
        <v>2749.5</v>
      </c>
      <c r="AQ79" s="228">
        <v>0</v>
      </c>
      <c r="AR79" s="230">
        <v>3535200</v>
      </c>
      <c r="AS79" s="230">
        <v>905700</v>
      </c>
      <c r="AT79" s="230">
        <v>2629500</v>
      </c>
      <c r="AU79" s="229">
        <v>2.9033000000000002</v>
      </c>
      <c r="AV79" s="230">
        <v>1814100</v>
      </c>
      <c r="AW79" s="230">
        <v>594300</v>
      </c>
      <c r="AX79" s="230">
        <v>1219800</v>
      </c>
      <c r="AY79" s="229">
        <v>2.0525000000000002</v>
      </c>
      <c r="AZ79" s="230">
        <v>1717800</v>
      </c>
      <c r="BA79" s="230">
        <v>307500</v>
      </c>
      <c r="BB79" s="230">
        <v>1410300</v>
      </c>
      <c r="BC79" s="229">
        <v>4.5862999999999996</v>
      </c>
      <c r="BD79" s="230">
        <v>3300</v>
      </c>
      <c r="BE79" s="230">
        <v>3900</v>
      </c>
      <c r="BF79" s="228">
        <v>-600</v>
      </c>
      <c r="BG79" s="229">
        <v>-0.15379999999999999</v>
      </c>
      <c r="BH79" s="230">
        <v>2673300</v>
      </c>
      <c r="BI79" s="230">
        <v>2424600</v>
      </c>
      <c r="BJ79" s="230">
        <v>248700</v>
      </c>
      <c r="BK79" s="229">
        <v>0.1026</v>
      </c>
      <c r="BL79" s="230">
        <v>2428800</v>
      </c>
      <c r="BM79" s="230">
        <v>2106900</v>
      </c>
      <c r="BN79" s="230">
        <v>321900</v>
      </c>
      <c r="BO79" s="229">
        <v>0.15279999999999999</v>
      </c>
      <c r="BP79" s="230">
        <v>8637300</v>
      </c>
      <c r="BQ79" s="230">
        <v>5437200</v>
      </c>
      <c r="BR79" s="230">
        <v>3200100</v>
      </c>
      <c r="BS79" s="229">
        <v>0.58860000000000001</v>
      </c>
      <c r="BT79" s="230">
        <v>1209438</v>
      </c>
      <c r="BU79" s="230">
        <v>1209545</v>
      </c>
      <c r="BV79" s="228">
        <v>-107</v>
      </c>
      <c r="BW79" s="229">
        <v>-1E-4</v>
      </c>
      <c r="BX79" s="230">
        <v>5360100</v>
      </c>
      <c r="BY79" s="230">
        <v>5415600</v>
      </c>
      <c r="BZ79" s="230">
        <v>-55500</v>
      </c>
      <c r="CA79" s="229">
        <v>-1.0200000000000001E-2</v>
      </c>
      <c r="CB79" s="230">
        <v>3684300</v>
      </c>
      <c r="CC79" s="230">
        <v>4932300</v>
      </c>
      <c r="CD79" s="230">
        <v>-1248000</v>
      </c>
      <c r="CE79" s="229">
        <v>-0.253</v>
      </c>
      <c r="CF79" s="230">
        <v>1611600</v>
      </c>
      <c r="CG79" s="230">
        <v>419400</v>
      </c>
      <c r="CH79" s="230">
        <v>1192200</v>
      </c>
      <c r="CI79" s="229">
        <v>2.8426</v>
      </c>
      <c r="CJ79" s="230">
        <v>64200</v>
      </c>
      <c r="CK79" s="230">
        <v>63900</v>
      </c>
      <c r="CL79" s="228">
        <v>300</v>
      </c>
      <c r="CM79" s="229">
        <v>4.7000000000000002E-3</v>
      </c>
      <c r="CN79" s="230">
        <v>2029800</v>
      </c>
      <c r="CO79" s="230">
        <v>2278500</v>
      </c>
      <c r="CP79" s="230">
        <v>-248700</v>
      </c>
      <c r="CQ79" s="229">
        <v>-0.10920000000000001</v>
      </c>
      <c r="CR79" s="230">
        <v>1671600</v>
      </c>
      <c r="CS79" s="230">
        <v>1932600</v>
      </c>
      <c r="CT79" s="230">
        <v>-261000</v>
      </c>
      <c r="CU79" s="229">
        <v>-0.1351</v>
      </c>
      <c r="CV79" s="230">
        <v>9061500</v>
      </c>
      <c r="CW79" s="230">
        <v>9626700</v>
      </c>
      <c r="CX79" s="230">
        <v>-565200</v>
      </c>
      <c r="CY79" s="229">
        <v>-5.8700000000000002E-2</v>
      </c>
      <c r="CZ79" s="228">
        <v>30.35</v>
      </c>
      <c r="DA79" s="228">
        <v>32.6</v>
      </c>
      <c r="DB79" s="228">
        <v>-2.25</v>
      </c>
      <c r="DC79" s="228">
        <v>-2.25</v>
      </c>
      <c r="DD79" s="228">
        <v>39.19</v>
      </c>
      <c r="DE79" s="228">
        <v>39.18</v>
      </c>
      <c r="DF79" s="228">
        <v>-8.84</v>
      </c>
      <c r="DG79" s="228">
        <v>0.01</v>
      </c>
      <c r="DH79" s="228">
        <v>29.86</v>
      </c>
      <c r="DI79" s="228">
        <v>30.81</v>
      </c>
      <c r="DJ79" s="228">
        <v>-0.95</v>
      </c>
      <c r="DK79" s="228">
        <v>-0.95</v>
      </c>
      <c r="DL79" s="228">
        <v>30.92</v>
      </c>
      <c r="DM79" s="228">
        <v>34.659999999999997</v>
      </c>
      <c r="DN79" s="228">
        <v>-3.74</v>
      </c>
      <c r="DO79" s="228">
        <v>-3.74</v>
      </c>
      <c r="DP79" s="228">
        <v>0.82</v>
      </c>
      <c r="DQ79" s="228">
        <v>0.85</v>
      </c>
      <c r="DR79" s="228">
        <v>-0.03</v>
      </c>
      <c r="DS79" s="229">
        <v>-3.5299999999999998E-2</v>
      </c>
      <c r="DT79" s="231">
        <v>2800</v>
      </c>
      <c r="DU79" s="231">
        <v>2500</v>
      </c>
      <c r="DV79" s="228">
        <v>0.91</v>
      </c>
      <c r="DW79" s="228">
        <v>0.87</v>
      </c>
      <c r="DX79" s="228">
        <v>0.04</v>
      </c>
      <c r="DY79" s="229">
        <v>4.5999999999999999E-2</v>
      </c>
      <c r="DZ79" s="229">
        <v>0.31259999999999999</v>
      </c>
      <c r="EA79" s="230">
        <v>483300</v>
      </c>
      <c r="EB79" s="229">
        <v>4.7999999999999996E-3</v>
      </c>
      <c r="EC79" s="229">
        <v>0.31259999999999999</v>
      </c>
      <c r="ED79" s="228">
        <v>13.08</v>
      </c>
      <c r="EE79" s="229">
        <v>4.7999999999999996E-3</v>
      </c>
      <c r="EF79" s="230">
        <v>771433</v>
      </c>
      <c r="EG79" s="230">
        <v>766144</v>
      </c>
      <c r="EH79" s="229">
        <v>6.8999999999999999E-3</v>
      </c>
      <c r="EI79" s="229">
        <v>0.63780000000000003</v>
      </c>
      <c r="EJ79" s="231">
        <v>75965</v>
      </c>
      <c r="EK79" s="231">
        <v>64954.28</v>
      </c>
      <c r="EL79" s="231">
        <v>96963.44</v>
      </c>
      <c r="EM79" s="231">
        <v>6131</v>
      </c>
      <c r="EN79" s="231">
        <v>237882.72</v>
      </c>
      <c r="EO79" s="231">
        <v>151825.35</v>
      </c>
      <c r="EP79" s="231">
        <v>86057.37</v>
      </c>
      <c r="EQ79" s="229">
        <v>0.56679999999999997</v>
      </c>
      <c r="ER79" s="231">
        <v>55803</v>
      </c>
      <c r="ES79" s="231">
        <v>42388</v>
      </c>
      <c r="ET79" s="231">
        <v>145690</v>
      </c>
      <c r="EU79" s="231">
        <v>30592324</v>
      </c>
      <c r="EV79" s="231">
        <v>243881</v>
      </c>
      <c r="EW79" s="231">
        <v>262367</v>
      </c>
      <c r="EX79" s="231">
        <v>-18486</v>
      </c>
      <c r="EY79" s="229">
        <v>-7.0499999999999993E-2</v>
      </c>
      <c r="EZ79" s="229">
        <v>0.29620000000000002</v>
      </c>
      <c r="FA79" s="227" t="s">
        <v>567</v>
      </c>
      <c r="FB79" s="161">
        <f t="shared" si="1"/>
        <v>1675800</v>
      </c>
    </row>
    <row r="80" spans="1:158" ht="17.25" thickBot="1" x14ac:dyDescent="0.3">
      <c r="A80" s="226">
        <v>46135</v>
      </c>
      <c r="B80" s="227" t="s">
        <v>172</v>
      </c>
      <c r="C80" s="227" t="s">
        <v>224</v>
      </c>
      <c r="D80" s="228">
        <v>550</v>
      </c>
      <c r="E80" s="228">
        <v>784.45</v>
      </c>
      <c r="F80" s="228">
        <v>800</v>
      </c>
      <c r="G80" s="228">
        <v>-15.55</v>
      </c>
      <c r="H80" s="229">
        <v>-1.9400000000000001E-2</v>
      </c>
      <c r="I80" s="228">
        <v>784.35</v>
      </c>
      <c r="J80" s="228">
        <v>799.9</v>
      </c>
      <c r="K80" s="228">
        <v>-15.55</v>
      </c>
      <c r="L80" s="229">
        <v>-1.9400000000000001E-2</v>
      </c>
      <c r="M80" s="228">
        <v>784.45</v>
      </c>
      <c r="N80" s="228">
        <v>800</v>
      </c>
      <c r="O80" s="228">
        <v>-15.55</v>
      </c>
      <c r="P80" s="229">
        <v>-1.9400000000000001E-2</v>
      </c>
      <c r="Q80" s="228">
        <v>788.75</v>
      </c>
      <c r="R80" s="228">
        <v>804.6</v>
      </c>
      <c r="S80" s="228">
        <v>-15.85</v>
      </c>
      <c r="T80" s="229">
        <v>-1.9699999999999999E-2</v>
      </c>
      <c r="U80" s="228">
        <v>780.55</v>
      </c>
      <c r="V80" s="228">
        <v>796.3</v>
      </c>
      <c r="W80" s="228">
        <v>-15.75</v>
      </c>
      <c r="X80" s="229">
        <v>-1.9800000000000002E-2</v>
      </c>
      <c r="Y80" s="228">
        <v>0.1</v>
      </c>
      <c r="Z80" s="228">
        <v>0.1</v>
      </c>
      <c r="AA80" s="228">
        <v>0</v>
      </c>
      <c r="AB80" s="229">
        <v>1E-4</v>
      </c>
      <c r="AC80" s="228">
        <v>0.1</v>
      </c>
      <c r="AD80" s="228">
        <v>0.1</v>
      </c>
      <c r="AE80" s="228">
        <v>0</v>
      </c>
      <c r="AF80" s="229">
        <v>1E-4</v>
      </c>
      <c r="AG80" s="228">
        <v>4.4000000000000004</v>
      </c>
      <c r="AH80" s="228">
        <v>4.7</v>
      </c>
      <c r="AI80" s="228">
        <v>-0.3</v>
      </c>
      <c r="AJ80" s="229">
        <v>5.5999999999999999E-3</v>
      </c>
      <c r="AK80" s="228">
        <v>-3.8</v>
      </c>
      <c r="AL80" s="228">
        <v>-3.6</v>
      </c>
      <c r="AM80" s="228">
        <v>-0.2</v>
      </c>
      <c r="AN80" s="229">
        <v>-4.7999999999999996E-3</v>
      </c>
      <c r="AO80" s="228">
        <v>788.17</v>
      </c>
      <c r="AP80" s="228">
        <v>792.63</v>
      </c>
      <c r="AQ80" s="228">
        <v>0</v>
      </c>
      <c r="AR80" s="230">
        <v>133863400</v>
      </c>
      <c r="AS80" s="230">
        <v>58096500</v>
      </c>
      <c r="AT80" s="230">
        <v>75766900</v>
      </c>
      <c r="AU80" s="229">
        <v>1.3042</v>
      </c>
      <c r="AV80" s="230">
        <v>67612050</v>
      </c>
      <c r="AW80" s="230">
        <v>33264000</v>
      </c>
      <c r="AX80" s="230">
        <v>34348050</v>
      </c>
      <c r="AY80" s="229">
        <v>1.0326</v>
      </c>
      <c r="AZ80" s="230">
        <v>55832150</v>
      </c>
      <c r="BA80" s="230">
        <v>16608900</v>
      </c>
      <c r="BB80" s="230">
        <v>39223250</v>
      </c>
      <c r="BC80" s="229">
        <v>2.3616000000000001</v>
      </c>
      <c r="BD80" s="230">
        <v>10419200</v>
      </c>
      <c r="BE80" s="230">
        <v>8223600</v>
      </c>
      <c r="BF80" s="230">
        <v>2195600</v>
      </c>
      <c r="BG80" s="229">
        <v>0.26700000000000002</v>
      </c>
      <c r="BH80" s="230">
        <v>141496850</v>
      </c>
      <c r="BI80" s="230">
        <v>109769000</v>
      </c>
      <c r="BJ80" s="230">
        <v>31727850</v>
      </c>
      <c r="BK80" s="229">
        <v>0.28899999999999998</v>
      </c>
      <c r="BL80" s="230">
        <v>83007100</v>
      </c>
      <c r="BM80" s="230">
        <v>71830000</v>
      </c>
      <c r="BN80" s="230">
        <v>11177100</v>
      </c>
      <c r="BO80" s="229">
        <v>0.15559999999999999</v>
      </c>
      <c r="BP80" s="230">
        <v>358367350</v>
      </c>
      <c r="BQ80" s="230">
        <v>239695500</v>
      </c>
      <c r="BR80" s="230">
        <v>118671850</v>
      </c>
      <c r="BS80" s="229">
        <v>0.49509999999999998</v>
      </c>
      <c r="BT80" s="230">
        <v>41366901</v>
      </c>
      <c r="BU80" s="230">
        <v>24823211</v>
      </c>
      <c r="BV80" s="230">
        <v>16543690</v>
      </c>
      <c r="BW80" s="229">
        <v>0.66649999999999998</v>
      </c>
      <c r="BX80" s="230">
        <v>330663850</v>
      </c>
      <c r="BY80" s="230">
        <v>324209600</v>
      </c>
      <c r="BZ80" s="230">
        <v>6454250</v>
      </c>
      <c r="CA80" s="229">
        <v>1.9900000000000001E-2</v>
      </c>
      <c r="CB80" s="230">
        <v>166111550</v>
      </c>
      <c r="CC80" s="230">
        <v>219327900</v>
      </c>
      <c r="CD80" s="230">
        <v>-53216350</v>
      </c>
      <c r="CE80" s="229">
        <v>-0.24260000000000001</v>
      </c>
      <c r="CF80" s="230">
        <v>115642450</v>
      </c>
      <c r="CG80" s="230">
        <v>65913100</v>
      </c>
      <c r="CH80" s="230">
        <v>49729350</v>
      </c>
      <c r="CI80" s="229">
        <v>0.75449999999999995</v>
      </c>
      <c r="CJ80" s="230">
        <v>48909850</v>
      </c>
      <c r="CK80" s="230">
        <v>38968600</v>
      </c>
      <c r="CL80" s="230">
        <v>9941250</v>
      </c>
      <c r="CM80" s="229">
        <v>0.25509999999999999</v>
      </c>
      <c r="CN80" s="230">
        <v>105068150</v>
      </c>
      <c r="CO80" s="230">
        <v>95838050</v>
      </c>
      <c r="CP80" s="230">
        <v>9230100</v>
      </c>
      <c r="CQ80" s="229">
        <v>9.6299999999999997E-2</v>
      </c>
      <c r="CR80" s="230">
        <v>53672850</v>
      </c>
      <c r="CS80" s="230">
        <v>53365400</v>
      </c>
      <c r="CT80" s="230">
        <v>307450</v>
      </c>
      <c r="CU80" s="229">
        <v>5.7999999999999996E-3</v>
      </c>
      <c r="CV80" s="230">
        <v>489404850</v>
      </c>
      <c r="CW80" s="230">
        <v>473413050</v>
      </c>
      <c r="CX80" s="230">
        <v>15991800</v>
      </c>
      <c r="CY80" s="229">
        <v>3.3799999999999997E-2</v>
      </c>
      <c r="CZ80" s="228">
        <v>27.25</v>
      </c>
      <c r="DA80" s="228">
        <v>26.79</v>
      </c>
      <c r="DB80" s="228">
        <v>0.46</v>
      </c>
      <c r="DC80" s="228">
        <v>0.46</v>
      </c>
      <c r="DD80" s="228">
        <v>25.47</v>
      </c>
      <c r="DE80" s="228">
        <v>25.4</v>
      </c>
      <c r="DF80" s="228">
        <v>1.78</v>
      </c>
      <c r="DG80" s="228">
        <v>7.0000000000000007E-2</v>
      </c>
      <c r="DH80" s="228">
        <v>27.51</v>
      </c>
      <c r="DI80" s="228">
        <v>27.33</v>
      </c>
      <c r="DJ80" s="228">
        <v>0.18</v>
      </c>
      <c r="DK80" s="228">
        <v>0.18</v>
      </c>
      <c r="DL80" s="228">
        <v>26.77</v>
      </c>
      <c r="DM80" s="228">
        <v>25.96</v>
      </c>
      <c r="DN80" s="228">
        <v>0.81</v>
      </c>
      <c r="DO80" s="228">
        <v>0.81</v>
      </c>
      <c r="DP80" s="228">
        <v>0.51</v>
      </c>
      <c r="DQ80" s="228">
        <v>0.56000000000000005</v>
      </c>
      <c r="DR80" s="228">
        <v>-0.05</v>
      </c>
      <c r="DS80" s="229">
        <v>-8.9300000000000004E-2</v>
      </c>
      <c r="DT80" s="228">
        <v>800</v>
      </c>
      <c r="DU80" s="228">
        <v>800</v>
      </c>
      <c r="DV80" s="228">
        <v>0.59</v>
      </c>
      <c r="DW80" s="228">
        <v>0.65</v>
      </c>
      <c r="DX80" s="228">
        <v>-0.06</v>
      </c>
      <c r="DY80" s="229">
        <v>-9.2299999999999993E-2</v>
      </c>
      <c r="DZ80" s="229">
        <v>0.49759999999999999</v>
      </c>
      <c r="EA80" s="230">
        <v>104881700</v>
      </c>
      <c r="EB80" s="229">
        <v>5.4999999999999997E-3</v>
      </c>
      <c r="EC80" s="229">
        <v>0.49759999999999999</v>
      </c>
      <c r="ED80" s="228">
        <v>4.46</v>
      </c>
      <c r="EE80" s="229">
        <v>5.7000000000000002E-3</v>
      </c>
      <c r="EF80" s="230">
        <v>22753657</v>
      </c>
      <c r="EG80" s="230">
        <v>15591957</v>
      </c>
      <c r="EH80" s="229">
        <v>0.45929999999999999</v>
      </c>
      <c r="EI80" s="229">
        <v>0.55000000000000004</v>
      </c>
      <c r="EJ80" s="231">
        <v>1164655.07</v>
      </c>
      <c r="EK80" s="231">
        <v>649210.31000000006</v>
      </c>
      <c r="EL80" s="231">
        <v>1057095.1200000001</v>
      </c>
      <c r="EM80" s="231">
        <v>103865</v>
      </c>
      <c r="EN80" s="231">
        <v>2870960.5</v>
      </c>
      <c r="EO80" s="231">
        <v>1957548.06</v>
      </c>
      <c r="EP80" s="231">
        <v>913412.44</v>
      </c>
      <c r="EQ80" s="229">
        <v>0.46660000000000001</v>
      </c>
      <c r="ER80" s="231">
        <v>874203</v>
      </c>
      <c r="ES80" s="231">
        <v>417903</v>
      </c>
      <c r="ET80" s="231">
        <v>2596958</v>
      </c>
      <c r="EU80" s="231">
        <v>1496665645</v>
      </c>
      <c r="EV80" s="231">
        <v>3889063</v>
      </c>
      <c r="EW80" s="231">
        <v>3813347</v>
      </c>
      <c r="EX80" s="231">
        <v>75716</v>
      </c>
      <c r="EY80" s="229">
        <v>1.9900000000000001E-2</v>
      </c>
      <c r="EZ80" s="229">
        <v>0.32700000000000001</v>
      </c>
      <c r="FA80" s="227" t="s">
        <v>566</v>
      </c>
      <c r="FB80" s="161">
        <f t="shared" si="1"/>
        <v>164552300</v>
      </c>
    </row>
    <row r="81" spans="1:158" ht="17.25" thickBot="1" x14ac:dyDescent="0.3">
      <c r="A81" s="226">
        <v>46135</v>
      </c>
      <c r="B81" s="227" t="s">
        <v>175</v>
      </c>
      <c r="C81" s="227" t="s">
        <v>225</v>
      </c>
      <c r="D81" s="228">
        <v>1100</v>
      </c>
      <c r="E81" s="228">
        <v>598.95000000000005</v>
      </c>
      <c r="F81" s="228">
        <v>604.70000000000005</v>
      </c>
      <c r="G81" s="228">
        <v>-5.75</v>
      </c>
      <c r="H81" s="229">
        <v>-9.4999999999999998E-3</v>
      </c>
      <c r="I81" s="228">
        <v>598.65</v>
      </c>
      <c r="J81" s="228">
        <v>604.04999999999995</v>
      </c>
      <c r="K81" s="228">
        <v>-5.4</v>
      </c>
      <c r="L81" s="229">
        <v>-8.8999999999999999E-3</v>
      </c>
      <c r="M81" s="228">
        <v>598.95000000000005</v>
      </c>
      <c r="N81" s="228">
        <v>604.70000000000005</v>
      </c>
      <c r="O81" s="228">
        <v>-5.75</v>
      </c>
      <c r="P81" s="229">
        <v>-9.4999999999999998E-3</v>
      </c>
      <c r="Q81" s="228">
        <v>602.35</v>
      </c>
      <c r="R81" s="228">
        <v>607.95000000000005</v>
      </c>
      <c r="S81" s="228">
        <v>-5.6</v>
      </c>
      <c r="T81" s="229">
        <v>-9.1999999999999998E-3</v>
      </c>
      <c r="U81" s="228">
        <v>603.5</v>
      </c>
      <c r="V81" s="228">
        <v>610.1</v>
      </c>
      <c r="W81" s="228">
        <v>-6.6</v>
      </c>
      <c r="X81" s="229">
        <v>-1.0800000000000001E-2</v>
      </c>
      <c r="Y81" s="228">
        <v>0.3</v>
      </c>
      <c r="Z81" s="228">
        <v>0.65</v>
      </c>
      <c r="AA81" s="228">
        <v>-0.35</v>
      </c>
      <c r="AB81" s="229">
        <v>5.0000000000000001E-4</v>
      </c>
      <c r="AC81" s="228">
        <v>0.3</v>
      </c>
      <c r="AD81" s="228">
        <v>0.65</v>
      </c>
      <c r="AE81" s="228">
        <v>-0.35</v>
      </c>
      <c r="AF81" s="229">
        <v>5.0000000000000001E-4</v>
      </c>
      <c r="AG81" s="228">
        <v>3.7</v>
      </c>
      <c r="AH81" s="228">
        <v>3.9</v>
      </c>
      <c r="AI81" s="228">
        <v>-0.2</v>
      </c>
      <c r="AJ81" s="229">
        <v>6.1999999999999998E-3</v>
      </c>
      <c r="AK81" s="228">
        <v>4.8499999999999996</v>
      </c>
      <c r="AL81" s="228">
        <v>6.05</v>
      </c>
      <c r="AM81" s="228">
        <v>-1.2</v>
      </c>
      <c r="AN81" s="229">
        <v>8.0999999999999996E-3</v>
      </c>
      <c r="AO81" s="228">
        <v>601.99</v>
      </c>
      <c r="AP81" s="228">
        <v>605.30999999999995</v>
      </c>
      <c r="AQ81" s="228">
        <v>0</v>
      </c>
      <c r="AR81" s="230">
        <v>17617600</v>
      </c>
      <c r="AS81" s="230">
        <v>11983400</v>
      </c>
      <c r="AT81" s="230">
        <v>5634200</v>
      </c>
      <c r="AU81" s="229">
        <v>0.47020000000000001</v>
      </c>
      <c r="AV81" s="230">
        <v>8879200</v>
      </c>
      <c r="AW81" s="230">
        <v>6419600</v>
      </c>
      <c r="AX81" s="230">
        <v>2459600</v>
      </c>
      <c r="AY81" s="229">
        <v>0.3831</v>
      </c>
      <c r="AZ81" s="230">
        <v>7944200</v>
      </c>
      <c r="BA81" s="230">
        <v>3232900</v>
      </c>
      <c r="BB81" s="230">
        <v>4711300</v>
      </c>
      <c r="BC81" s="229">
        <v>1.4573</v>
      </c>
      <c r="BD81" s="230">
        <v>794200</v>
      </c>
      <c r="BE81" s="230">
        <v>2330900</v>
      </c>
      <c r="BF81" s="230">
        <v>-1536700</v>
      </c>
      <c r="BG81" s="229">
        <v>-0.6593</v>
      </c>
      <c r="BH81" s="230">
        <v>30453500</v>
      </c>
      <c r="BI81" s="230">
        <v>26107400</v>
      </c>
      <c r="BJ81" s="230">
        <v>4346100</v>
      </c>
      <c r="BK81" s="229">
        <v>0.16650000000000001</v>
      </c>
      <c r="BL81" s="230">
        <v>13532200</v>
      </c>
      <c r="BM81" s="230">
        <v>11024200</v>
      </c>
      <c r="BN81" s="230">
        <v>2508000</v>
      </c>
      <c r="BO81" s="229">
        <v>0.22750000000000001</v>
      </c>
      <c r="BP81" s="230">
        <v>61603300</v>
      </c>
      <c r="BQ81" s="230">
        <v>49115000</v>
      </c>
      <c r="BR81" s="230">
        <v>12488300</v>
      </c>
      <c r="BS81" s="229">
        <v>0.25430000000000003</v>
      </c>
      <c r="BT81" s="230">
        <v>4695367</v>
      </c>
      <c r="BU81" s="230">
        <v>4272762</v>
      </c>
      <c r="BV81" s="230">
        <v>422605</v>
      </c>
      <c r="BW81" s="229">
        <v>9.8900000000000002E-2</v>
      </c>
      <c r="BX81" s="230">
        <v>46142800</v>
      </c>
      <c r="BY81" s="230">
        <v>45625800</v>
      </c>
      <c r="BZ81" s="230">
        <v>517000</v>
      </c>
      <c r="CA81" s="229">
        <v>1.1299999999999999E-2</v>
      </c>
      <c r="CB81" s="230">
        <v>24825900</v>
      </c>
      <c r="CC81" s="230">
        <v>31270800</v>
      </c>
      <c r="CD81" s="230">
        <v>-6444900</v>
      </c>
      <c r="CE81" s="229">
        <v>-0.20610000000000001</v>
      </c>
      <c r="CF81" s="230">
        <v>17938800</v>
      </c>
      <c r="CG81" s="230">
        <v>11656700</v>
      </c>
      <c r="CH81" s="230">
        <v>6282100</v>
      </c>
      <c r="CI81" s="229">
        <v>0.53890000000000005</v>
      </c>
      <c r="CJ81" s="230">
        <v>3378100</v>
      </c>
      <c r="CK81" s="230">
        <v>2698300</v>
      </c>
      <c r="CL81" s="230">
        <v>679800</v>
      </c>
      <c r="CM81" s="229">
        <v>0.25190000000000001</v>
      </c>
      <c r="CN81" s="230">
        <v>19900100</v>
      </c>
      <c r="CO81" s="230">
        <v>21015500</v>
      </c>
      <c r="CP81" s="230">
        <v>-1115400</v>
      </c>
      <c r="CQ81" s="229">
        <v>-5.3100000000000001E-2</v>
      </c>
      <c r="CR81" s="230">
        <v>11008800</v>
      </c>
      <c r="CS81" s="230">
        <v>11942700</v>
      </c>
      <c r="CT81" s="230">
        <v>-933900</v>
      </c>
      <c r="CU81" s="229">
        <v>-7.8200000000000006E-2</v>
      </c>
      <c r="CV81" s="230">
        <v>77051700</v>
      </c>
      <c r="CW81" s="230">
        <v>78584000</v>
      </c>
      <c r="CX81" s="230">
        <v>-1532300</v>
      </c>
      <c r="CY81" s="229">
        <v>-1.95E-2</v>
      </c>
      <c r="CZ81" s="228">
        <v>27.59</v>
      </c>
      <c r="DA81" s="228">
        <v>28.58</v>
      </c>
      <c r="DB81" s="228">
        <v>-0.99</v>
      </c>
      <c r="DC81" s="228">
        <v>-0.99</v>
      </c>
      <c r="DD81" s="228">
        <v>27.68</v>
      </c>
      <c r="DE81" s="228">
        <v>27.72</v>
      </c>
      <c r="DF81" s="228">
        <v>-0.09</v>
      </c>
      <c r="DG81" s="228">
        <v>-0.04</v>
      </c>
      <c r="DH81" s="228">
        <v>27.67</v>
      </c>
      <c r="DI81" s="228">
        <v>29.41</v>
      </c>
      <c r="DJ81" s="228">
        <v>-1.74</v>
      </c>
      <c r="DK81" s="228">
        <v>-1.74</v>
      </c>
      <c r="DL81" s="228">
        <v>27.31</v>
      </c>
      <c r="DM81" s="228">
        <v>26.63</v>
      </c>
      <c r="DN81" s="228">
        <v>0.68</v>
      </c>
      <c r="DO81" s="228">
        <v>0.68</v>
      </c>
      <c r="DP81" s="228">
        <v>0.55000000000000004</v>
      </c>
      <c r="DQ81" s="228">
        <v>0.56999999999999995</v>
      </c>
      <c r="DR81" s="228">
        <v>-0.02</v>
      </c>
      <c r="DS81" s="229">
        <v>-3.5099999999999999E-2</v>
      </c>
      <c r="DT81" s="228">
        <v>600</v>
      </c>
      <c r="DU81" s="228">
        <v>520</v>
      </c>
      <c r="DV81" s="228">
        <v>0.44</v>
      </c>
      <c r="DW81" s="228">
        <v>0.42</v>
      </c>
      <c r="DX81" s="228">
        <v>0.02</v>
      </c>
      <c r="DY81" s="229">
        <v>4.7600000000000003E-2</v>
      </c>
      <c r="DZ81" s="229">
        <v>0.46200000000000002</v>
      </c>
      <c r="EA81" s="230">
        <v>14355000</v>
      </c>
      <c r="EB81" s="229">
        <v>5.7000000000000002E-3</v>
      </c>
      <c r="EC81" s="229">
        <v>0.46200000000000002</v>
      </c>
      <c r="ED81" s="228">
        <v>3.32</v>
      </c>
      <c r="EE81" s="229">
        <v>5.4999999999999997E-3</v>
      </c>
      <c r="EF81" s="230">
        <v>2653752</v>
      </c>
      <c r="EG81" s="230">
        <v>2788450</v>
      </c>
      <c r="EH81" s="229">
        <v>-4.8300000000000003E-2</v>
      </c>
      <c r="EI81" s="229">
        <v>0.56520000000000004</v>
      </c>
      <c r="EJ81" s="231">
        <v>190714.13</v>
      </c>
      <c r="EK81" s="231">
        <v>82182.259999999995</v>
      </c>
      <c r="EL81" s="231">
        <v>106359.93</v>
      </c>
      <c r="EM81" s="231">
        <v>9513</v>
      </c>
      <c r="EN81" s="231">
        <v>379256.32000000001</v>
      </c>
      <c r="EO81" s="231">
        <v>306886.71999999997</v>
      </c>
      <c r="EP81" s="231">
        <v>72369.600000000006</v>
      </c>
      <c r="EQ81" s="229">
        <v>0.23580000000000001</v>
      </c>
      <c r="ER81" s="231">
        <v>127220</v>
      </c>
      <c r="ES81" s="231">
        <v>64684</v>
      </c>
      <c r="ET81" s="231">
        <v>277136</v>
      </c>
      <c r="EU81" s="231">
        <v>156090005</v>
      </c>
      <c r="EV81" s="231">
        <v>469039</v>
      </c>
      <c r="EW81" s="231">
        <v>481402</v>
      </c>
      <c r="EX81" s="231">
        <v>-12363</v>
      </c>
      <c r="EY81" s="229">
        <v>-2.5700000000000001E-2</v>
      </c>
      <c r="EZ81" s="229">
        <v>0.49359999999999998</v>
      </c>
      <c r="FA81" s="227" t="s">
        <v>566</v>
      </c>
      <c r="FB81" s="161">
        <f t="shared" si="1"/>
        <v>21316900</v>
      </c>
    </row>
    <row r="82" spans="1:158" ht="17.25" thickBot="1" x14ac:dyDescent="0.3">
      <c r="A82" s="226">
        <v>46135</v>
      </c>
      <c r="B82" s="227" t="s">
        <v>162</v>
      </c>
      <c r="C82" s="227" t="s">
        <v>226</v>
      </c>
      <c r="D82" s="228">
        <v>150</v>
      </c>
      <c r="E82" s="231">
        <v>5034.5</v>
      </c>
      <c r="F82" s="231">
        <v>5193</v>
      </c>
      <c r="G82" s="228">
        <v>-158.5</v>
      </c>
      <c r="H82" s="229">
        <v>-3.0499999999999999E-2</v>
      </c>
      <c r="I82" s="231">
        <v>5032</v>
      </c>
      <c r="J82" s="231">
        <v>5189</v>
      </c>
      <c r="K82" s="228">
        <v>-157</v>
      </c>
      <c r="L82" s="229">
        <v>-3.0300000000000001E-2</v>
      </c>
      <c r="M82" s="231">
        <v>5034.5</v>
      </c>
      <c r="N82" s="231">
        <v>5193</v>
      </c>
      <c r="O82" s="228">
        <v>-158.5</v>
      </c>
      <c r="P82" s="229">
        <v>-3.0499999999999999E-2</v>
      </c>
      <c r="Q82" s="231">
        <v>5062.5</v>
      </c>
      <c r="R82" s="231">
        <v>5222</v>
      </c>
      <c r="S82" s="228">
        <v>-159.5</v>
      </c>
      <c r="T82" s="229">
        <v>-3.0499999999999999E-2</v>
      </c>
      <c r="U82" s="231">
        <v>5087.5</v>
      </c>
      <c r="V82" s="231">
        <v>5256</v>
      </c>
      <c r="W82" s="228">
        <v>-168.5</v>
      </c>
      <c r="X82" s="229">
        <v>-3.2099999999999997E-2</v>
      </c>
      <c r="Y82" s="228">
        <v>2.5</v>
      </c>
      <c r="Z82" s="228">
        <v>4</v>
      </c>
      <c r="AA82" s="228">
        <v>-1.5</v>
      </c>
      <c r="AB82" s="229">
        <v>5.0000000000000001E-4</v>
      </c>
      <c r="AC82" s="228">
        <v>2.5</v>
      </c>
      <c r="AD82" s="228">
        <v>4</v>
      </c>
      <c r="AE82" s="228">
        <v>-1.5</v>
      </c>
      <c r="AF82" s="229">
        <v>5.0000000000000001E-4</v>
      </c>
      <c r="AG82" s="228">
        <v>30.5</v>
      </c>
      <c r="AH82" s="228">
        <v>33</v>
      </c>
      <c r="AI82" s="228">
        <v>-2.5</v>
      </c>
      <c r="AJ82" s="229">
        <v>6.1000000000000004E-3</v>
      </c>
      <c r="AK82" s="228">
        <v>55.5</v>
      </c>
      <c r="AL82" s="228">
        <v>67</v>
      </c>
      <c r="AM82" s="228">
        <v>-11.5</v>
      </c>
      <c r="AN82" s="229">
        <v>1.0999999999999999E-2</v>
      </c>
      <c r="AO82" s="231">
        <v>5065.67</v>
      </c>
      <c r="AP82" s="231">
        <v>5091.17</v>
      </c>
      <c r="AQ82" s="228">
        <v>0</v>
      </c>
      <c r="AR82" s="230">
        <v>2986050</v>
      </c>
      <c r="AS82" s="230">
        <v>701100</v>
      </c>
      <c r="AT82" s="230">
        <v>2284950</v>
      </c>
      <c r="AU82" s="229">
        <v>3.2591000000000001</v>
      </c>
      <c r="AV82" s="230">
        <v>1570050</v>
      </c>
      <c r="AW82" s="230">
        <v>451350</v>
      </c>
      <c r="AX82" s="230">
        <v>1118700</v>
      </c>
      <c r="AY82" s="229">
        <v>2.4786000000000001</v>
      </c>
      <c r="AZ82" s="230">
        <v>1387800</v>
      </c>
      <c r="BA82" s="230">
        <v>243450</v>
      </c>
      <c r="BB82" s="230">
        <v>1144350</v>
      </c>
      <c r="BC82" s="229">
        <v>4.7005999999999997</v>
      </c>
      <c r="BD82" s="230">
        <v>28200</v>
      </c>
      <c r="BE82" s="230">
        <v>6300</v>
      </c>
      <c r="BF82" s="230">
        <v>21900</v>
      </c>
      <c r="BG82" s="229">
        <v>3.4762</v>
      </c>
      <c r="BH82" s="230">
        <v>5404200</v>
      </c>
      <c r="BI82" s="230">
        <v>2864700</v>
      </c>
      <c r="BJ82" s="230">
        <v>2539500</v>
      </c>
      <c r="BK82" s="229">
        <v>0.88649999999999995</v>
      </c>
      <c r="BL82" s="230">
        <v>2298150</v>
      </c>
      <c r="BM82" s="230">
        <v>1068450</v>
      </c>
      <c r="BN82" s="230">
        <v>1229700</v>
      </c>
      <c r="BO82" s="229">
        <v>1.1509</v>
      </c>
      <c r="BP82" s="230">
        <v>10688400</v>
      </c>
      <c r="BQ82" s="230">
        <v>4634250</v>
      </c>
      <c r="BR82" s="230">
        <v>6054150</v>
      </c>
      <c r="BS82" s="229">
        <v>1.3064</v>
      </c>
      <c r="BT82" s="230">
        <v>655717</v>
      </c>
      <c r="BU82" s="230">
        <v>311869</v>
      </c>
      <c r="BV82" s="230">
        <v>343848</v>
      </c>
      <c r="BW82" s="229">
        <v>1.1025</v>
      </c>
      <c r="BX82" s="230">
        <v>4548150</v>
      </c>
      <c r="BY82" s="230">
        <v>4415550</v>
      </c>
      <c r="BZ82" s="230">
        <v>132600</v>
      </c>
      <c r="CA82" s="229">
        <v>0.03</v>
      </c>
      <c r="CB82" s="230">
        <v>2874300</v>
      </c>
      <c r="CC82" s="230">
        <v>3839850</v>
      </c>
      <c r="CD82" s="230">
        <v>-965550</v>
      </c>
      <c r="CE82" s="229">
        <v>-0.2515</v>
      </c>
      <c r="CF82" s="230">
        <v>1543950</v>
      </c>
      <c r="CG82" s="230">
        <v>462300</v>
      </c>
      <c r="CH82" s="230">
        <v>1081650</v>
      </c>
      <c r="CI82" s="229">
        <v>2.3397000000000001</v>
      </c>
      <c r="CJ82" s="230">
        <v>129900</v>
      </c>
      <c r="CK82" s="230">
        <v>113400</v>
      </c>
      <c r="CL82" s="230">
        <v>16500</v>
      </c>
      <c r="CM82" s="229">
        <v>0.14549999999999999</v>
      </c>
      <c r="CN82" s="230">
        <v>2998800</v>
      </c>
      <c r="CO82" s="230">
        <v>2538450</v>
      </c>
      <c r="CP82" s="230">
        <v>460350</v>
      </c>
      <c r="CQ82" s="229">
        <v>0.18140000000000001</v>
      </c>
      <c r="CR82" s="230">
        <v>1333350</v>
      </c>
      <c r="CS82" s="230">
        <v>1388400</v>
      </c>
      <c r="CT82" s="230">
        <v>-55050</v>
      </c>
      <c r="CU82" s="229">
        <v>-3.9600000000000003E-2</v>
      </c>
      <c r="CV82" s="230">
        <v>8880300</v>
      </c>
      <c r="CW82" s="230">
        <v>8342400</v>
      </c>
      <c r="CX82" s="230">
        <v>537900</v>
      </c>
      <c r="CY82" s="229">
        <v>6.4500000000000002E-2</v>
      </c>
      <c r="CZ82" s="228">
        <v>35.78</v>
      </c>
      <c r="DA82" s="228">
        <v>32.42</v>
      </c>
      <c r="DB82" s="228">
        <v>3.36</v>
      </c>
      <c r="DC82" s="228">
        <v>3.36</v>
      </c>
      <c r="DD82" s="228">
        <v>33.61</v>
      </c>
      <c r="DE82" s="228">
        <v>33.43</v>
      </c>
      <c r="DF82" s="228">
        <v>2.17</v>
      </c>
      <c r="DG82" s="228">
        <v>0.18</v>
      </c>
      <c r="DH82" s="228">
        <v>35.75</v>
      </c>
      <c r="DI82" s="228">
        <v>32.26</v>
      </c>
      <c r="DJ82" s="228">
        <v>3.49</v>
      </c>
      <c r="DK82" s="228">
        <v>3.49</v>
      </c>
      <c r="DL82" s="228">
        <v>35.869999999999997</v>
      </c>
      <c r="DM82" s="228">
        <v>32.82</v>
      </c>
      <c r="DN82" s="228">
        <v>3.05</v>
      </c>
      <c r="DO82" s="228">
        <v>3.05</v>
      </c>
      <c r="DP82" s="228">
        <v>0.44</v>
      </c>
      <c r="DQ82" s="228">
        <v>0.55000000000000004</v>
      </c>
      <c r="DR82" s="228">
        <v>-0.11</v>
      </c>
      <c r="DS82" s="229">
        <v>-0.2</v>
      </c>
      <c r="DT82" s="231">
        <v>5300</v>
      </c>
      <c r="DU82" s="231">
        <v>5200</v>
      </c>
      <c r="DV82" s="228">
        <v>0.43</v>
      </c>
      <c r="DW82" s="228">
        <v>0.37</v>
      </c>
      <c r="DX82" s="228">
        <v>0.06</v>
      </c>
      <c r="DY82" s="229">
        <v>0.16220000000000001</v>
      </c>
      <c r="DZ82" s="229">
        <v>0.36799999999999999</v>
      </c>
      <c r="EA82" s="230">
        <v>575700</v>
      </c>
      <c r="EB82" s="229">
        <v>5.5999999999999999E-3</v>
      </c>
      <c r="EC82" s="229">
        <v>0.36799999999999999</v>
      </c>
      <c r="ED82" s="228">
        <v>25.5</v>
      </c>
      <c r="EE82" s="229">
        <v>5.0000000000000001E-3</v>
      </c>
      <c r="EF82" s="230">
        <v>351338</v>
      </c>
      <c r="EG82" s="230">
        <v>172016</v>
      </c>
      <c r="EH82" s="229">
        <v>1.0425</v>
      </c>
      <c r="EI82" s="229">
        <v>0.53580000000000005</v>
      </c>
      <c r="EJ82" s="231">
        <v>290189.53999999998</v>
      </c>
      <c r="EK82" s="231">
        <v>116394.82</v>
      </c>
      <c r="EL82" s="231">
        <v>151633.79</v>
      </c>
      <c r="EM82" s="231">
        <v>4987</v>
      </c>
      <c r="EN82" s="231">
        <v>558218.15</v>
      </c>
      <c r="EO82" s="231">
        <v>248919.89</v>
      </c>
      <c r="EP82" s="231">
        <v>309298.26</v>
      </c>
      <c r="EQ82" s="229">
        <v>1.2425999999999999</v>
      </c>
      <c r="ER82" s="231">
        <v>161959</v>
      </c>
      <c r="ES82" s="231">
        <v>67386</v>
      </c>
      <c r="ET82" s="231">
        <v>229478</v>
      </c>
      <c r="EU82" s="231">
        <v>19589014</v>
      </c>
      <c r="EV82" s="231">
        <v>458823</v>
      </c>
      <c r="EW82" s="231">
        <v>438236</v>
      </c>
      <c r="EX82" s="231">
        <v>20587</v>
      </c>
      <c r="EY82" s="229">
        <v>4.7E-2</v>
      </c>
      <c r="EZ82" s="229">
        <v>0.45329999999999998</v>
      </c>
      <c r="FA82" s="227" t="s">
        <v>566</v>
      </c>
      <c r="FB82" s="161">
        <f t="shared" si="1"/>
        <v>1673850</v>
      </c>
    </row>
    <row r="83" spans="1:158" ht="17.25" thickBot="1" x14ac:dyDescent="0.3">
      <c r="A83" s="226">
        <v>46135</v>
      </c>
      <c r="B83" s="227" t="s">
        <v>227</v>
      </c>
      <c r="C83" s="227" t="s">
        <v>228</v>
      </c>
      <c r="D83" s="228">
        <v>700</v>
      </c>
      <c r="E83" s="231">
        <v>1039.05</v>
      </c>
      <c r="F83" s="231">
        <v>1039.25</v>
      </c>
      <c r="G83" s="228">
        <v>-0.2</v>
      </c>
      <c r="H83" s="229">
        <v>-2.0000000000000001E-4</v>
      </c>
      <c r="I83" s="231">
        <v>1041.3499999999999</v>
      </c>
      <c r="J83" s="231">
        <v>1039.9000000000001</v>
      </c>
      <c r="K83" s="228">
        <v>1.45</v>
      </c>
      <c r="L83" s="229">
        <v>1.4E-3</v>
      </c>
      <c r="M83" s="231">
        <v>1039.05</v>
      </c>
      <c r="N83" s="231">
        <v>1039.25</v>
      </c>
      <c r="O83" s="228">
        <v>-0.2</v>
      </c>
      <c r="P83" s="229">
        <v>-2.0000000000000001E-4</v>
      </c>
      <c r="Q83" s="231">
        <v>1045.45</v>
      </c>
      <c r="R83" s="231">
        <v>1044.9000000000001</v>
      </c>
      <c r="S83" s="228">
        <v>0.55000000000000004</v>
      </c>
      <c r="T83" s="229">
        <v>5.0000000000000001E-4</v>
      </c>
      <c r="U83" s="231">
        <v>1052.3</v>
      </c>
      <c r="V83" s="231">
        <v>1051.8</v>
      </c>
      <c r="W83" s="228">
        <v>0.5</v>
      </c>
      <c r="X83" s="229">
        <v>5.0000000000000001E-4</v>
      </c>
      <c r="Y83" s="228">
        <v>-2.2999999999999998</v>
      </c>
      <c r="Z83" s="228">
        <v>-0.65</v>
      </c>
      <c r="AA83" s="228">
        <v>-1.65</v>
      </c>
      <c r="AB83" s="229">
        <v>-2.2000000000000001E-3</v>
      </c>
      <c r="AC83" s="228">
        <v>-2.2999999999999998</v>
      </c>
      <c r="AD83" s="228">
        <v>-0.65</v>
      </c>
      <c r="AE83" s="228">
        <v>-1.65</v>
      </c>
      <c r="AF83" s="229">
        <v>-2.2000000000000001E-3</v>
      </c>
      <c r="AG83" s="228">
        <v>4.0999999999999996</v>
      </c>
      <c r="AH83" s="228">
        <v>5</v>
      </c>
      <c r="AI83" s="228">
        <v>-0.9</v>
      </c>
      <c r="AJ83" s="229">
        <v>3.8999999999999998E-3</v>
      </c>
      <c r="AK83" s="228">
        <v>10.95</v>
      </c>
      <c r="AL83" s="228">
        <v>11.9</v>
      </c>
      <c r="AM83" s="228">
        <v>-0.95</v>
      </c>
      <c r="AN83" s="229">
        <v>1.0500000000000001E-2</v>
      </c>
      <c r="AO83" s="231">
        <v>1039.51</v>
      </c>
      <c r="AP83" s="231">
        <v>1045.8699999999999</v>
      </c>
      <c r="AQ83" s="228">
        <v>0</v>
      </c>
      <c r="AR83" s="230">
        <v>19679800</v>
      </c>
      <c r="AS83" s="230">
        <v>8750000</v>
      </c>
      <c r="AT83" s="230">
        <v>10929800</v>
      </c>
      <c r="AU83" s="229">
        <v>1.2491000000000001</v>
      </c>
      <c r="AV83" s="230">
        <v>10496500</v>
      </c>
      <c r="AW83" s="230">
        <v>5627300</v>
      </c>
      <c r="AX83" s="230">
        <v>4869200</v>
      </c>
      <c r="AY83" s="229">
        <v>0.86529999999999996</v>
      </c>
      <c r="AZ83" s="230">
        <v>9063600</v>
      </c>
      <c r="BA83" s="230">
        <v>2979200</v>
      </c>
      <c r="BB83" s="230">
        <v>6084400</v>
      </c>
      <c r="BC83" s="229">
        <v>2.0423</v>
      </c>
      <c r="BD83" s="230">
        <v>119700</v>
      </c>
      <c r="BE83" s="230">
        <v>143500</v>
      </c>
      <c r="BF83" s="230">
        <v>-23800</v>
      </c>
      <c r="BG83" s="229">
        <v>-0.16589999999999999</v>
      </c>
      <c r="BH83" s="230">
        <v>26729500</v>
      </c>
      <c r="BI83" s="230">
        <v>31104500</v>
      </c>
      <c r="BJ83" s="230">
        <v>-4375000</v>
      </c>
      <c r="BK83" s="229">
        <v>-0.14069999999999999</v>
      </c>
      <c r="BL83" s="230">
        <v>14689500</v>
      </c>
      <c r="BM83" s="230">
        <v>14263900</v>
      </c>
      <c r="BN83" s="230">
        <v>425600</v>
      </c>
      <c r="BO83" s="229">
        <v>2.98E-2</v>
      </c>
      <c r="BP83" s="230">
        <v>61098800</v>
      </c>
      <c r="BQ83" s="230">
        <v>54118400</v>
      </c>
      <c r="BR83" s="230">
        <v>6980400</v>
      </c>
      <c r="BS83" s="229">
        <v>0.129</v>
      </c>
      <c r="BT83" s="230">
        <v>4519950</v>
      </c>
      <c r="BU83" s="230">
        <v>4835434</v>
      </c>
      <c r="BV83" s="230">
        <v>-315484</v>
      </c>
      <c r="BW83" s="229">
        <v>-6.5199999999999994E-2</v>
      </c>
      <c r="BX83" s="230">
        <v>36743000</v>
      </c>
      <c r="BY83" s="230">
        <v>36208200</v>
      </c>
      <c r="BZ83" s="230">
        <v>534800</v>
      </c>
      <c r="CA83" s="229">
        <v>1.4800000000000001E-2</v>
      </c>
      <c r="CB83" s="230">
        <v>19617500</v>
      </c>
      <c r="CC83" s="230">
        <v>26444600</v>
      </c>
      <c r="CD83" s="230">
        <v>-6827100</v>
      </c>
      <c r="CE83" s="229">
        <v>-0.25819999999999999</v>
      </c>
      <c r="CF83" s="230">
        <v>14876400</v>
      </c>
      <c r="CG83" s="230">
        <v>7588000</v>
      </c>
      <c r="CH83" s="230">
        <v>7288400</v>
      </c>
      <c r="CI83" s="229">
        <v>0.96050000000000002</v>
      </c>
      <c r="CJ83" s="230">
        <v>2249100</v>
      </c>
      <c r="CK83" s="230">
        <v>2175600</v>
      </c>
      <c r="CL83" s="230">
        <v>73500</v>
      </c>
      <c r="CM83" s="229">
        <v>3.3799999999999997E-2</v>
      </c>
      <c r="CN83" s="230">
        <v>15260700</v>
      </c>
      <c r="CO83" s="230">
        <v>15175300</v>
      </c>
      <c r="CP83" s="230">
        <v>85400</v>
      </c>
      <c r="CQ83" s="229">
        <v>5.5999999999999999E-3</v>
      </c>
      <c r="CR83" s="230">
        <v>11556300</v>
      </c>
      <c r="CS83" s="230">
        <v>11938500</v>
      </c>
      <c r="CT83" s="230">
        <v>-382200</v>
      </c>
      <c r="CU83" s="229">
        <v>-3.2000000000000001E-2</v>
      </c>
      <c r="CV83" s="230">
        <v>63560000</v>
      </c>
      <c r="CW83" s="230">
        <v>63322000</v>
      </c>
      <c r="CX83" s="230">
        <v>238000</v>
      </c>
      <c r="CY83" s="229">
        <v>3.8E-3</v>
      </c>
      <c r="CZ83" s="228">
        <v>35.47</v>
      </c>
      <c r="DA83" s="228">
        <v>32.15</v>
      </c>
      <c r="DB83" s="228">
        <v>3.32</v>
      </c>
      <c r="DC83" s="228">
        <v>3.32</v>
      </c>
      <c r="DD83" s="228">
        <v>36.44</v>
      </c>
      <c r="DE83" s="228">
        <v>36.53</v>
      </c>
      <c r="DF83" s="228">
        <v>-0.97</v>
      </c>
      <c r="DG83" s="228">
        <v>-0.09</v>
      </c>
      <c r="DH83" s="228">
        <v>35.44</v>
      </c>
      <c r="DI83" s="228">
        <v>31.14</v>
      </c>
      <c r="DJ83" s="228">
        <v>4.3</v>
      </c>
      <c r="DK83" s="228">
        <v>4.3</v>
      </c>
      <c r="DL83" s="228">
        <v>35.549999999999997</v>
      </c>
      <c r="DM83" s="228">
        <v>34.369999999999997</v>
      </c>
      <c r="DN83" s="228">
        <v>1.18</v>
      </c>
      <c r="DO83" s="228">
        <v>1.18</v>
      </c>
      <c r="DP83" s="228">
        <v>0.76</v>
      </c>
      <c r="DQ83" s="228">
        <v>0.79</v>
      </c>
      <c r="DR83" s="228">
        <v>-0.03</v>
      </c>
      <c r="DS83" s="229">
        <v>-3.7999999999999999E-2</v>
      </c>
      <c r="DT83" s="228">
        <v>900</v>
      </c>
      <c r="DU83" s="228">
        <v>900</v>
      </c>
      <c r="DV83" s="228">
        <v>0.55000000000000004</v>
      </c>
      <c r="DW83" s="228">
        <v>0.46</v>
      </c>
      <c r="DX83" s="228">
        <v>0.09</v>
      </c>
      <c r="DY83" s="229">
        <v>0.19570000000000001</v>
      </c>
      <c r="DZ83" s="229">
        <v>0.46610000000000001</v>
      </c>
      <c r="EA83" s="230">
        <v>9763600</v>
      </c>
      <c r="EB83" s="229">
        <v>6.1999999999999998E-3</v>
      </c>
      <c r="EC83" s="229">
        <v>0.46610000000000001</v>
      </c>
      <c r="ED83" s="228">
        <v>6.36</v>
      </c>
      <c r="EE83" s="229">
        <v>6.1000000000000004E-3</v>
      </c>
      <c r="EF83" s="230">
        <v>2603501</v>
      </c>
      <c r="EG83" s="230">
        <v>2673349</v>
      </c>
      <c r="EH83" s="229">
        <v>-2.6100000000000002E-2</v>
      </c>
      <c r="EI83" s="229">
        <v>0.57599999999999996</v>
      </c>
      <c r="EJ83" s="231">
        <v>287424.62</v>
      </c>
      <c r="EK83" s="231">
        <v>148705.15</v>
      </c>
      <c r="EL83" s="231">
        <v>205164.2</v>
      </c>
      <c r="EM83" s="231">
        <v>11150</v>
      </c>
      <c r="EN83" s="231">
        <v>641293.97</v>
      </c>
      <c r="EO83" s="231">
        <v>565039.85</v>
      </c>
      <c r="EP83" s="231">
        <v>76254.12</v>
      </c>
      <c r="EQ83" s="229">
        <v>0.13500000000000001</v>
      </c>
      <c r="ER83" s="231">
        <v>154175</v>
      </c>
      <c r="ES83" s="231">
        <v>109882</v>
      </c>
      <c r="ET83" s="231">
        <v>383028</v>
      </c>
      <c r="EU83" s="231">
        <v>218611634</v>
      </c>
      <c r="EV83" s="231">
        <v>647086</v>
      </c>
      <c r="EW83" s="231">
        <v>643190</v>
      </c>
      <c r="EX83" s="231">
        <v>3896</v>
      </c>
      <c r="EY83" s="229">
        <v>6.1000000000000004E-3</v>
      </c>
      <c r="EZ83" s="229">
        <v>0.29070000000000001</v>
      </c>
      <c r="FA83" s="227" t="s">
        <v>566</v>
      </c>
      <c r="FB83" s="161">
        <f t="shared" si="1"/>
        <v>17125500</v>
      </c>
    </row>
    <row r="84" spans="1:158" ht="17.25" thickBot="1" x14ac:dyDescent="0.3">
      <c r="A84" s="226">
        <v>46135</v>
      </c>
      <c r="B84" s="227" t="s">
        <v>193</v>
      </c>
      <c r="C84" s="227" t="s">
        <v>229</v>
      </c>
      <c r="D84" s="228">
        <v>2025</v>
      </c>
      <c r="E84" s="228">
        <v>376.65</v>
      </c>
      <c r="F84" s="228">
        <v>383.2</v>
      </c>
      <c r="G84" s="228">
        <v>-6.55</v>
      </c>
      <c r="H84" s="229">
        <v>-1.7100000000000001E-2</v>
      </c>
      <c r="I84" s="228">
        <v>376.9</v>
      </c>
      <c r="J84" s="228">
        <v>382.55</v>
      </c>
      <c r="K84" s="228">
        <v>-5.65</v>
      </c>
      <c r="L84" s="229">
        <v>-1.4800000000000001E-2</v>
      </c>
      <c r="M84" s="228">
        <v>376.65</v>
      </c>
      <c r="N84" s="228">
        <v>383.2</v>
      </c>
      <c r="O84" s="228">
        <v>-6.55</v>
      </c>
      <c r="P84" s="229">
        <v>-1.7100000000000001E-2</v>
      </c>
      <c r="Q84" s="228">
        <v>378.3</v>
      </c>
      <c r="R84" s="228">
        <v>385.05</v>
      </c>
      <c r="S84" s="228">
        <v>-6.75</v>
      </c>
      <c r="T84" s="229">
        <v>-1.7500000000000002E-2</v>
      </c>
      <c r="U84" s="228">
        <v>380.2</v>
      </c>
      <c r="V84" s="228">
        <v>387.2</v>
      </c>
      <c r="W84" s="228">
        <v>-7</v>
      </c>
      <c r="X84" s="229">
        <v>-1.8100000000000002E-2</v>
      </c>
      <c r="Y84" s="228">
        <v>-0.25</v>
      </c>
      <c r="Z84" s="228">
        <v>0.65</v>
      </c>
      <c r="AA84" s="228">
        <v>-0.9</v>
      </c>
      <c r="AB84" s="229">
        <v>-6.9999999999999999E-4</v>
      </c>
      <c r="AC84" s="228">
        <v>-0.25</v>
      </c>
      <c r="AD84" s="228">
        <v>0.65</v>
      </c>
      <c r="AE84" s="228">
        <v>-0.9</v>
      </c>
      <c r="AF84" s="229">
        <v>-6.9999999999999999E-4</v>
      </c>
      <c r="AG84" s="228">
        <v>1.4</v>
      </c>
      <c r="AH84" s="228">
        <v>2.5</v>
      </c>
      <c r="AI84" s="228">
        <v>-1.1000000000000001</v>
      </c>
      <c r="AJ84" s="229">
        <v>3.7000000000000002E-3</v>
      </c>
      <c r="AK84" s="228">
        <v>3.3</v>
      </c>
      <c r="AL84" s="228">
        <v>4.6500000000000004</v>
      </c>
      <c r="AM84" s="228">
        <v>-1.35</v>
      </c>
      <c r="AN84" s="229">
        <v>8.8000000000000005E-3</v>
      </c>
      <c r="AO84" s="228">
        <v>375.29</v>
      </c>
      <c r="AP84" s="228">
        <v>377.26</v>
      </c>
      <c r="AQ84" s="228">
        <v>0</v>
      </c>
      <c r="AR84" s="230">
        <v>27535950</v>
      </c>
      <c r="AS84" s="230">
        <v>10746675</v>
      </c>
      <c r="AT84" s="230">
        <v>16789275</v>
      </c>
      <c r="AU84" s="229">
        <v>1.5623</v>
      </c>
      <c r="AV84" s="230">
        <v>14974875</v>
      </c>
      <c r="AW84" s="230">
        <v>7496550</v>
      </c>
      <c r="AX84" s="230">
        <v>7478325</v>
      </c>
      <c r="AY84" s="229">
        <v>0.99760000000000004</v>
      </c>
      <c r="AZ84" s="230">
        <v>12397050</v>
      </c>
      <c r="BA84" s="230">
        <v>2340900</v>
      </c>
      <c r="BB84" s="230">
        <v>10056150</v>
      </c>
      <c r="BC84" s="229">
        <v>4.2957999999999998</v>
      </c>
      <c r="BD84" s="230">
        <v>164025</v>
      </c>
      <c r="BE84" s="230">
        <v>909225</v>
      </c>
      <c r="BF84" s="230">
        <v>-745200</v>
      </c>
      <c r="BG84" s="229">
        <v>-0.8196</v>
      </c>
      <c r="BH84" s="230">
        <v>21448800</v>
      </c>
      <c r="BI84" s="230">
        <v>20349225</v>
      </c>
      <c r="BJ84" s="230">
        <v>1099575</v>
      </c>
      <c r="BK84" s="229">
        <v>5.3999999999999999E-2</v>
      </c>
      <c r="BL84" s="230">
        <v>23224725</v>
      </c>
      <c r="BM84" s="230">
        <v>16281000</v>
      </c>
      <c r="BN84" s="230">
        <v>6943725</v>
      </c>
      <c r="BO84" s="229">
        <v>0.42649999999999999</v>
      </c>
      <c r="BP84" s="230">
        <v>72209475</v>
      </c>
      <c r="BQ84" s="230">
        <v>47376900</v>
      </c>
      <c r="BR84" s="230">
        <v>24832575</v>
      </c>
      <c r="BS84" s="229">
        <v>0.52410000000000001</v>
      </c>
      <c r="BT84" s="230">
        <v>7062182</v>
      </c>
      <c r="BU84" s="230">
        <v>4981893</v>
      </c>
      <c r="BV84" s="230">
        <v>2080289</v>
      </c>
      <c r="BW84" s="229">
        <v>0.41760000000000003</v>
      </c>
      <c r="BX84" s="230">
        <v>38637000</v>
      </c>
      <c r="BY84" s="230">
        <v>37741950</v>
      </c>
      <c r="BZ84" s="230">
        <v>895050</v>
      </c>
      <c r="CA84" s="229">
        <v>2.3699999999999999E-2</v>
      </c>
      <c r="CB84" s="230">
        <v>24923700</v>
      </c>
      <c r="CC84" s="230">
        <v>32221800</v>
      </c>
      <c r="CD84" s="230">
        <v>-7298100</v>
      </c>
      <c r="CE84" s="229">
        <v>-0.22650000000000001</v>
      </c>
      <c r="CF84" s="230">
        <v>12779775</v>
      </c>
      <c r="CG84" s="230">
        <v>4627125</v>
      </c>
      <c r="CH84" s="230">
        <v>8152650</v>
      </c>
      <c r="CI84" s="229">
        <v>1.7619</v>
      </c>
      <c r="CJ84" s="230">
        <v>933525</v>
      </c>
      <c r="CK84" s="230">
        <v>893025</v>
      </c>
      <c r="CL84" s="230">
        <v>40500</v>
      </c>
      <c r="CM84" s="229">
        <v>4.5400000000000003E-2</v>
      </c>
      <c r="CN84" s="230">
        <v>18160200</v>
      </c>
      <c r="CO84" s="230">
        <v>18109575</v>
      </c>
      <c r="CP84" s="230">
        <v>50625</v>
      </c>
      <c r="CQ84" s="229">
        <v>2.8E-3</v>
      </c>
      <c r="CR84" s="230">
        <v>17491950</v>
      </c>
      <c r="CS84" s="230">
        <v>18534825</v>
      </c>
      <c r="CT84" s="230">
        <v>-1042875</v>
      </c>
      <c r="CU84" s="229">
        <v>-5.6300000000000003E-2</v>
      </c>
      <c r="CV84" s="230">
        <v>74289150</v>
      </c>
      <c r="CW84" s="230">
        <v>74386350</v>
      </c>
      <c r="CX84" s="230">
        <v>-97200</v>
      </c>
      <c r="CY84" s="229">
        <v>-1.2999999999999999E-3</v>
      </c>
      <c r="CZ84" s="228">
        <v>41.19</v>
      </c>
      <c r="DA84" s="228">
        <v>42.3</v>
      </c>
      <c r="DB84" s="228">
        <v>-1.1100000000000001</v>
      </c>
      <c r="DC84" s="228">
        <v>-1.1100000000000001</v>
      </c>
      <c r="DD84" s="228">
        <v>44.04</v>
      </c>
      <c r="DE84" s="228">
        <v>44.11</v>
      </c>
      <c r="DF84" s="228">
        <v>-2.85</v>
      </c>
      <c r="DG84" s="228">
        <v>-7.0000000000000007E-2</v>
      </c>
      <c r="DH84" s="228">
        <v>41.1</v>
      </c>
      <c r="DI84" s="228">
        <v>41.95</v>
      </c>
      <c r="DJ84" s="228">
        <v>-0.85</v>
      </c>
      <c r="DK84" s="228">
        <v>-0.85</v>
      </c>
      <c r="DL84" s="228">
        <v>41.26</v>
      </c>
      <c r="DM84" s="228">
        <v>42.73</v>
      </c>
      <c r="DN84" s="228">
        <v>-1.47</v>
      </c>
      <c r="DO84" s="228">
        <v>-1.47</v>
      </c>
      <c r="DP84" s="228">
        <v>0.96</v>
      </c>
      <c r="DQ84" s="228">
        <v>1.02</v>
      </c>
      <c r="DR84" s="228">
        <v>-0.06</v>
      </c>
      <c r="DS84" s="229">
        <v>-5.8799999999999998E-2</v>
      </c>
      <c r="DT84" s="228">
        <v>400</v>
      </c>
      <c r="DU84" s="228">
        <v>350</v>
      </c>
      <c r="DV84" s="228">
        <v>1.08</v>
      </c>
      <c r="DW84" s="228">
        <v>0.8</v>
      </c>
      <c r="DX84" s="228">
        <v>0.28000000000000003</v>
      </c>
      <c r="DY84" s="229">
        <v>0.35</v>
      </c>
      <c r="DZ84" s="229">
        <v>0.35489999999999999</v>
      </c>
      <c r="EA84" s="230">
        <v>5520150</v>
      </c>
      <c r="EB84" s="229">
        <v>4.4000000000000003E-3</v>
      </c>
      <c r="EC84" s="229">
        <v>0.35489999999999999</v>
      </c>
      <c r="ED84" s="228">
        <v>1.97</v>
      </c>
      <c r="EE84" s="229">
        <v>5.1999999999999998E-3</v>
      </c>
      <c r="EF84" s="230">
        <v>2996487</v>
      </c>
      <c r="EG84" s="230">
        <v>2295473</v>
      </c>
      <c r="EH84" s="229">
        <v>0.3054</v>
      </c>
      <c r="EI84" s="229">
        <v>0.42430000000000001</v>
      </c>
      <c r="EJ84" s="231">
        <v>84297.72</v>
      </c>
      <c r="EK84" s="231">
        <v>86028.67</v>
      </c>
      <c r="EL84" s="231">
        <v>103589.75999999999</v>
      </c>
      <c r="EM84" s="231">
        <v>4752</v>
      </c>
      <c r="EN84" s="231">
        <v>273916.15000000002</v>
      </c>
      <c r="EO84" s="231">
        <v>183632.94</v>
      </c>
      <c r="EP84" s="231">
        <v>90283.21</v>
      </c>
      <c r="EQ84" s="229">
        <v>0.49170000000000003</v>
      </c>
      <c r="ER84" s="231">
        <v>69170</v>
      </c>
      <c r="ES84" s="231">
        <v>60854</v>
      </c>
      <c r="ET84" s="231">
        <v>145770</v>
      </c>
      <c r="EU84" s="231">
        <v>143933168</v>
      </c>
      <c r="EV84" s="231">
        <v>275795</v>
      </c>
      <c r="EW84" s="231">
        <v>277868</v>
      </c>
      <c r="EX84" s="231">
        <v>-2073</v>
      </c>
      <c r="EY84" s="229">
        <v>-7.4999999999999997E-3</v>
      </c>
      <c r="EZ84" s="229">
        <v>0.5161</v>
      </c>
      <c r="FA84" s="227" t="s">
        <v>566</v>
      </c>
      <c r="FB84" s="161">
        <f t="shared" si="1"/>
        <v>13713300</v>
      </c>
    </row>
    <row r="85" spans="1:158" ht="17.25" thickBot="1" x14ac:dyDescent="0.3">
      <c r="A85" s="226">
        <v>46135</v>
      </c>
      <c r="B85" s="227" t="s">
        <v>168</v>
      </c>
      <c r="C85" s="227" t="s">
        <v>230</v>
      </c>
      <c r="D85" s="228">
        <v>300</v>
      </c>
      <c r="E85" s="231">
        <v>2364.4</v>
      </c>
      <c r="F85" s="231">
        <v>2366.8000000000002</v>
      </c>
      <c r="G85" s="228">
        <v>-2.4</v>
      </c>
      <c r="H85" s="229">
        <v>-1E-3</v>
      </c>
      <c r="I85" s="231">
        <v>2366.4</v>
      </c>
      <c r="J85" s="231">
        <v>2368.8000000000002</v>
      </c>
      <c r="K85" s="228">
        <v>-2.4</v>
      </c>
      <c r="L85" s="229">
        <v>-1E-3</v>
      </c>
      <c r="M85" s="231">
        <v>2364.4</v>
      </c>
      <c r="N85" s="231">
        <v>2366.8000000000002</v>
      </c>
      <c r="O85" s="228">
        <v>-2.4</v>
      </c>
      <c r="P85" s="229">
        <v>-1E-3</v>
      </c>
      <c r="Q85" s="231">
        <v>2374.5</v>
      </c>
      <c r="R85" s="231">
        <v>2376.1999999999998</v>
      </c>
      <c r="S85" s="228">
        <v>-1.7</v>
      </c>
      <c r="T85" s="229">
        <v>-6.9999999999999999E-4</v>
      </c>
      <c r="U85" s="231">
        <v>2366.4</v>
      </c>
      <c r="V85" s="231">
        <v>2371</v>
      </c>
      <c r="W85" s="228">
        <v>-4.5999999999999996</v>
      </c>
      <c r="X85" s="229">
        <v>-1.9E-3</v>
      </c>
      <c r="Y85" s="228">
        <v>-2</v>
      </c>
      <c r="Z85" s="228">
        <v>-2</v>
      </c>
      <c r="AA85" s="228">
        <v>0</v>
      </c>
      <c r="AB85" s="229">
        <v>-8.0000000000000004E-4</v>
      </c>
      <c r="AC85" s="228">
        <v>-2</v>
      </c>
      <c r="AD85" s="228">
        <v>-2</v>
      </c>
      <c r="AE85" s="228">
        <v>0</v>
      </c>
      <c r="AF85" s="229">
        <v>-8.0000000000000004E-4</v>
      </c>
      <c r="AG85" s="228">
        <v>8.1</v>
      </c>
      <c r="AH85" s="228">
        <v>7.4</v>
      </c>
      <c r="AI85" s="228">
        <v>0.7</v>
      </c>
      <c r="AJ85" s="229">
        <v>3.3999999999999998E-3</v>
      </c>
      <c r="AK85" s="228">
        <v>0</v>
      </c>
      <c r="AL85" s="228">
        <v>2.2000000000000002</v>
      </c>
      <c r="AM85" s="228">
        <v>-2.2000000000000002</v>
      </c>
      <c r="AN85" s="229">
        <v>0</v>
      </c>
      <c r="AO85" s="231">
        <v>2368.9499999999998</v>
      </c>
      <c r="AP85" s="231">
        <v>2374.65</v>
      </c>
      <c r="AQ85" s="228">
        <v>0</v>
      </c>
      <c r="AR85" s="230">
        <v>13703100</v>
      </c>
      <c r="AS85" s="230">
        <v>5790000</v>
      </c>
      <c r="AT85" s="230">
        <v>7913100</v>
      </c>
      <c r="AU85" s="229">
        <v>1.3667</v>
      </c>
      <c r="AV85" s="230">
        <v>7144800</v>
      </c>
      <c r="AW85" s="230">
        <v>4449900</v>
      </c>
      <c r="AX85" s="230">
        <v>2694900</v>
      </c>
      <c r="AY85" s="229">
        <v>0.60560000000000003</v>
      </c>
      <c r="AZ85" s="230">
        <v>6432600</v>
      </c>
      <c r="BA85" s="230">
        <v>1246500</v>
      </c>
      <c r="BB85" s="230">
        <v>5186100</v>
      </c>
      <c r="BC85" s="229">
        <v>4.1604999999999999</v>
      </c>
      <c r="BD85" s="230">
        <v>125700</v>
      </c>
      <c r="BE85" s="230">
        <v>93600</v>
      </c>
      <c r="BF85" s="230">
        <v>32100</v>
      </c>
      <c r="BG85" s="229">
        <v>0.34289999999999998</v>
      </c>
      <c r="BH85" s="230">
        <v>17484600</v>
      </c>
      <c r="BI85" s="230">
        <v>51233400</v>
      </c>
      <c r="BJ85" s="230">
        <v>-33748800</v>
      </c>
      <c r="BK85" s="229">
        <v>-0.65869999999999995</v>
      </c>
      <c r="BL85" s="230">
        <v>10604100</v>
      </c>
      <c r="BM85" s="230">
        <v>23324100</v>
      </c>
      <c r="BN85" s="230">
        <v>-12720000</v>
      </c>
      <c r="BO85" s="229">
        <v>-0.5454</v>
      </c>
      <c r="BP85" s="230">
        <v>41791800</v>
      </c>
      <c r="BQ85" s="230">
        <v>80347500</v>
      </c>
      <c r="BR85" s="230">
        <v>-38555700</v>
      </c>
      <c r="BS85" s="229">
        <v>-0.47989999999999999</v>
      </c>
      <c r="BT85" s="230">
        <v>2102984</v>
      </c>
      <c r="BU85" s="230">
        <v>5938091</v>
      </c>
      <c r="BV85" s="230">
        <v>-3835107</v>
      </c>
      <c r="BW85" s="229">
        <v>-0.64580000000000004</v>
      </c>
      <c r="BX85" s="230">
        <v>18011700</v>
      </c>
      <c r="BY85" s="230">
        <v>18421200</v>
      </c>
      <c r="BZ85" s="230">
        <v>-409500</v>
      </c>
      <c r="CA85" s="229">
        <v>-2.2200000000000001E-2</v>
      </c>
      <c r="CB85" s="230">
        <v>11073300</v>
      </c>
      <c r="CC85" s="230">
        <v>16473900</v>
      </c>
      <c r="CD85" s="230">
        <v>-5400600</v>
      </c>
      <c r="CE85" s="229">
        <v>-0.32779999999999998</v>
      </c>
      <c r="CF85" s="230">
        <v>6663600</v>
      </c>
      <c r="CG85" s="230">
        <v>1725600</v>
      </c>
      <c r="CH85" s="230">
        <v>4938000</v>
      </c>
      <c r="CI85" s="229">
        <v>2.8616000000000001</v>
      </c>
      <c r="CJ85" s="230">
        <v>274800</v>
      </c>
      <c r="CK85" s="230">
        <v>221700</v>
      </c>
      <c r="CL85" s="230">
        <v>53100</v>
      </c>
      <c r="CM85" s="229">
        <v>0.23949999999999999</v>
      </c>
      <c r="CN85" s="230">
        <v>9144000</v>
      </c>
      <c r="CO85" s="230">
        <v>8886600</v>
      </c>
      <c r="CP85" s="230">
        <v>257400</v>
      </c>
      <c r="CQ85" s="229">
        <v>2.9000000000000001E-2</v>
      </c>
      <c r="CR85" s="230">
        <v>6976500</v>
      </c>
      <c r="CS85" s="230">
        <v>7006800</v>
      </c>
      <c r="CT85" s="230">
        <v>-30300</v>
      </c>
      <c r="CU85" s="229">
        <v>-4.3E-3</v>
      </c>
      <c r="CV85" s="230">
        <v>34132200</v>
      </c>
      <c r="CW85" s="230">
        <v>34314600</v>
      </c>
      <c r="CX85" s="230">
        <v>-182400</v>
      </c>
      <c r="CY85" s="229">
        <v>-5.3E-3</v>
      </c>
      <c r="CZ85" s="228">
        <v>27.34</v>
      </c>
      <c r="DA85" s="228">
        <v>24.36</v>
      </c>
      <c r="DB85" s="228">
        <v>2.98</v>
      </c>
      <c r="DC85" s="228">
        <v>2.98</v>
      </c>
      <c r="DD85" s="228">
        <v>24.39</v>
      </c>
      <c r="DE85" s="228">
        <v>24.45</v>
      </c>
      <c r="DF85" s="228">
        <v>2.95</v>
      </c>
      <c r="DG85" s="228">
        <v>-0.06</v>
      </c>
      <c r="DH85" s="228">
        <v>26.77</v>
      </c>
      <c r="DI85" s="228">
        <v>23.9</v>
      </c>
      <c r="DJ85" s="228">
        <v>2.87</v>
      </c>
      <c r="DK85" s="228">
        <v>2.87</v>
      </c>
      <c r="DL85" s="228">
        <v>28.3</v>
      </c>
      <c r="DM85" s="228">
        <v>25.38</v>
      </c>
      <c r="DN85" s="228">
        <v>2.92</v>
      </c>
      <c r="DO85" s="228">
        <v>2.92</v>
      </c>
      <c r="DP85" s="228">
        <v>0.76</v>
      </c>
      <c r="DQ85" s="228">
        <v>0.79</v>
      </c>
      <c r="DR85" s="228">
        <v>-0.03</v>
      </c>
      <c r="DS85" s="229">
        <v>-3.7999999999999999E-2</v>
      </c>
      <c r="DT85" s="231">
        <v>2260</v>
      </c>
      <c r="DU85" s="231">
        <v>2260</v>
      </c>
      <c r="DV85" s="228">
        <v>0.61</v>
      </c>
      <c r="DW85" s="228">
        <v>0.46</v>
      </c>
      <c r="DX85" s="228">
        <v>0.15</v>
      </c>
      <c r="DY85" s="229">
        <v>0.3261</v>
      </c>
      <c r="DZ85" s="229">
        <v>0.38519999999999999</v>
      </c>
      <c r="EA85" s="230">
        <v>1947300</v>
      </c>
      <c r="EB85" s="229">
        <v>4.3E-3</v>
      </c>
      <c r="EC85" s="229">
        <v>0.38519999999999999</v>
      </c>
      <c r="ED85" s="228">
        <v>5.7</v>
      </c>
      <c r="EE85" s="229">
        <v>2.3999999999999998E-3</v>
      </c>
      <c r="EF85" s="230">
        <v>1207201</v>
      </c>
      <c r="EG85" s="230">
        <v>3752988</v>
      </c>
      <c r="EH85" s="229">
        <v>-0.67830000000000001</v>
      </c>
      <c r="EI85" s="229">
        <v>0.57399999999999995</v>
      </c>
      <c r="EJ85" s="231">
        <v>425828.04</v>
      </c>
      <c r="EK85" s="231">
        <v>246864.33</v>
      </c>
      <c r="EL85" s="231">
        <v>324989.46000000002</v>
      </c>
      <c r="EM85" s="231">
        <v>12070</v>
      </c>
      <c r="EN85" s="231">
        <v>997681.83</v>
      </c>
      <c r="EO85" s="231">
        <v>1921502.07</v>
      </c>
      <c r="EP85" s="231">
        <v>-923820.24</v>
      </c>
      <c r="EQ85" s="229">
        <v>-0.48080000000000001</v>
      </c>
      <c r="ER85" s="231">
        <v>211717</v>
      </c>
      <c r="ES85" s="231">
        <v>152961</v>
      </c>
      <c r="ET85" s="231">
        <v>426547</v>
      </c>
      <c r="EU85" s="231">
        <v>89517840</v>
      </c>
      <c r="EV85" s="231">
        <v>791225</v>
      </c>
      <c r="EW85" s="231">
        <v>794485</v>
      </c>
      <c r="EX85" s="231">
        <v>-3260</v>
      </c>
      <c r="EY85" s="229">
        <v>-4.1000000000000003E-3</v>
      </c>
      <c r="EZ85" s="229">
        <v>0.38129999999999997</v>
      </c>
      <c r="FA85" s="227" t="s">
        <v>567</v>
      </c>
      <c r="FB85" s="161">
        <f t="shared" si="1"/>
        <v>6938400</v>
      </c>
    </row>
    <row r="86" spans="1:158" ht="17.25" thickBot="1" x14ac:dyDescent="0.3">
      <c r="A86" s="226">
        <v>46135</v>
      </c>
      <c r="B86" s="227" t="s">
        <v>227</v>
      </c>
      <c r="C86" s="227" t="s">
        <v>666</v>
      </c>
      <c r="D86" s="228">
        <v>1225</v>
      </c>
      <c r="E86" s="228">
        <v>594.04999999999995</v>
      </c>
      <c r="F86" s="228">
        <v>606.20000000000005</v>
      </c>
      <c r="G86" s="228">
        <v>-12.15</v>
      </c>
      <c r="H86" s="229">
        <v>-0.02</v>
      </c>
      <c r="I86" s="228">
        <v>592.1</v>
      </c>
      <c r="J86" s="228">
        <v>604.75</v>
      </c>
      <c r="K86" s="228">
        <v>-12.65</v>
      </c>
      <c r="L86" s="229">
        <v>-2.0899999999999998E-2</v>
      </c>
      <c r="M86" s="228">
        <v>594.04999999999995</v>
      </c>
      <c r="N86" s="228">
        <v>606.20000000000005</v>
      </c>
      <c r="O86" s="228">
        <v>-12.15</v>
      </c>
      <c r="P86" s="229">
        <v>-0.02</v>
      </c>
      <c r="Q86" s="228">
        <v>590.45000000000005</v>
      </c>
      <c r="R86" s="228">
        <v>606.20000000000005</v>
      </c>
      <c r="S86" s="228">
        <v>-15.75</v>
      </c>
      <c r="T86" s="229">
        <v>-2.5999999999999999E-2</v>
      </c>
      <c r="U86" s="228">
        <v>593.6</v>
      </c>
      <c r="V86" s="228">
        <v>608.65</v>
      </c>
      <c r="W86" s="228">
        <v>-15.05</v>
      </c>
      <c r="X86" s="229">
        <v>-2.47E-2</v>
      </c>
      <c r="Y86" s="228">
        <v>1.95</v>
      </c>
      <c r="Z86" s="228">
        <v>1.45</v>
      </c>
      <c r="AA86" s="228">
        <v>0.5</v>
      </c>
      <c r="AB86" s="229">
        <v>3.3E-3</v>
      </c>
      <c r="AC86" s="228">
        <v>1.95</v>
      </c>
      <c r="AD86" s="228">
        <v>1.45</v>
      </c>
      <c r="AE86" s="228">
        <v>0.5</v>
      </c>
      <c r="AF86" s="229">
        <v>3.3E-3</v>
      </c>
      <c r="AG86" s="228">
        <v>-1.65</v>
      </c>
      <c r="AH86" s="228">
        <v>1.45</v>
      </c>
      <c r="AI86" s="228">
        <v>-3.1</v>
      </c>
      <c r="AJ86" s="229">
        <v>-2.8E-3</v>
      </c>
      <c r="AK86" s="228">
        <v>1.5</v>
      </c>
      <c r="AL86" s="228">
        <v>3.9</v>
      </c>
      <c r="AM86" s="228">
        <v>-2.4</v>
      </c>
      <c r="AN86" s="229">
        <v>2.5000000000000001E-3</v>
      </c>
      <c r="AO86" s="228">
        <v>594.83000000000004</v>
      </c>
      <c r="AP86" s="228">
        <v>591.28</v>
      </c>
      <c r="AQ86" s="228">
        <v>0</v>
      </c>
      <c r="AR86" s="230">
        <v>22089200</v>
      </c>
      <c r="AS86" s="230">
        <v>15665300</v>
      </c>
      <c r="AT86" s="230">
        <v>6423900</v>
      </c>
      <c r="AU86" s="229">
        <v>0.41010000000000002</v>
      </c>
      <c r="AV86" s="230">
        <v>11105850</v>
      </c>
      <c r="AW86" s="230">
        <v>8822450</v>
      </c>
      <c r="AX86" s="230">
        <v>2283400</v>
      </c>
      <c r="AY86" s="229">
        <v>0.25879999999999997</v>
      </c>
      <c r="AZ86" s="230">
        <v>10762850</v>
      </c>
      <c r="BA86" s="230">
        <v>6580700</v>
      </c>
      <c r="BB86" s="230">
        <v>4182150</v>
      </c>
      <c r="BC86" s="229">
        <v>0.63549999999999995</v>
      </c>
      <c r="BD86" s="230">
        <v>220500</v>
      </c>
      <c r="BE86" s="230">
        <v>262150</v>
      </c>
      <c r="BF86" s="230">
        <v>-41650</v>
      </c>
      <c r="BG86" s="229">
        <v>-0.15890000000000001</v>
      </c>
      <c r="BH86" s="230">
        <v>30078650</v>
      </c>
      <c r="BI86" s="230">
        <v>50163750</v>
      </c>
      <c r="BJ86" s="230">
        <v>-20085100</v>
      </c>
      <c r="BK86" s="229">
        <v>-0.40039999999999998</v>
      </c>
      <c r="BL86" s="230">
        <v>14107100</v>
      </c>
      <c r="BM86" s="230">
        <v>19437075</v>
      </c>
      <c r="BN86" s="230">
        <v>-5329975</v>
      </c>
      <c r="BO86" s="229">
        <v>-0.2742</v>
      </c>
      <c r="BP86" s="230">
        <v>66274950</v>
      </c>
      <c r="BQ86" s="230">
        <v>85266125</v>
      </c>
      <c r="BR86" s="230">
        <v>-18991175</v>
      </c>
      <c r="BS86" s="229">
        <v>-0.22270000000000001</v>
      </c>
      <c r="BT86" s="230">
        <v>5078813</v>
      </c>
      <c r="BU86" s="230">
        <v>7416132</v>
      </c>
      <c r="BV86" s="230">
        <v>-2337319</v>
      </c>
      <c r="BW86" s="229">
        <v>-0.31519999999999998</v>
      </c>
      <c r="BX86" s="230">
        <v>42948500</v>
      </c>
      <c r="BY86" s="230">
        <v>38814125</v>
      </c>
      <c r="BZ86" s="230">
        <v>4134375</v>
      </c>
      <c r="CA86" s="229">
        <v>0.1065</v>
      </c>
      <c r="CB86" s="230">
        <v>27846700</v>
      </c>
      <c r="CC86" s="230">
        <v>30387350</v>
      </c>
      <c r="CD86" s="230">
        <v>-2540650</v>
      </c>
      <c r="CE86" s="229">
        <v>-8.3599999999999994E-2</v>
      </c>
      <c r="CF86" s="230">
        <v>14301875</v>
      </c>
      <c r="CG86" s="230">
        <v>7691775</v>
      </c>
      <c r="CH86" s="230">
        <v>6610100</v>
      </c>
      <c r="CI86" s="229">
        <v>0.85940000000000005</v>
      </c>
      <c r="CJ86" s="230">
        <v>799925</v>
      </c>
      <c r="CK86" s="230">
        <v>735000</v>
      </c>
      <c r="CL86" s="230">
        <v>64925</v>
      </c>
      <c r="CM86" s="229">
        <v>8.8300000000000003E-2</v>
      </c>
      <c r="CN86" s="230">
        <v>23185575</v>
      </c>
      <c r="CO86" s="230">
        <v>21356650</v>
      </c>
      <c r="CP86" s="230">
        <v>1828925</v>
      </c>
      <c r="CQ86" s="229">
        <v>8.5599999999999996E-2</v>
      </c>
      <c r="CR86" s="230">
        <v>16887850</v>
      </c>
      <c r="CS86" s="230">
        <v>17159800</v>
      </c>
      <c r="CT86" s="230">
        <v>-271950</v>
      </c>
      <c r="CU86" s="229">
        <v>-1.5800000000000002E-2</v>
      </c>
      <c r="CV86" s="230">
        <v>83021925</v>
      </c>
      <c r="CW86" s="230">
        <v>77330575</v>
      </c>
      <c r="CX86" s="230">
        <v>5691350</v>
      </c>
      <c r="CY86" s="229">
        <v>7.3599999999999999E-2</v>
      </c>
      <c r="CZ86" s="228">
        <v>40.520000000000003</v>
      </c>
      <c r="DA86" s="228">
        <v>43.21</v>
      </c>
      <c r="DB86" s="228">
        <v>-2.69</v>
      </c>
      <c r="DC86" s="228">
        <v>-2.69</v>
      </c>
      <c r="DD86" s="228">
        <v>50.26</v>
      </c>
      <c r="DE86" s="228">
        <v>50.32</v>
      </c>
      <c r="DF86" s="228">
        <v>-9.74</v>
      </c>
      <c r="DG86" s="228">
        <v>-0.06</v>
      </c>
      <c r="DH86" s="228">
        <v>40.75</v>
      </c>
      <c r="DI86" s="228">
        <v>41.93</v>
      </c>
      <c r="DJ86" s="228">
        <v>-1.18</v>
      </c>
      <c r="DK86" s="228">
        <v>-1.18</v>
      </c>
      <c r="DL86" s="228">
        <v>40.14</v>
      </c>
      <c r="DM86" s="228">
        <v>46.53</v>
      </c>
      <c r="DN86" s="228">
        <v>-6.39</v>
      </c>
      <c r="DO86" s="228">
        <v>-6.39</v>
      </c>
      <c r="DP86" s="228">
        <v>0.73</v>
      </c>
      <c r="DQ86" s="228">
        <v>0.8</v>
      </c>
      <c r="DR86" s="228">
        <v>-7.0000000000000007E-2</v>
      </c>
      <c r="DS86" s="229">
        <v>-8.7499999999999994E-2</v>
      </c>
      <c r="DT86" s="228">
        <v>600</v>
      </c>
      <c r="DU86" s="228">
        <v>570</v>
      </c>
      <c r="DV86" s="228">
        <v>0.47</v>
      </c>
      <c r="DW86" s="228">
        <v>0.39</v>
      </c>
      <c r="DX86" s="228">
        <v>0.08</v>
      </c>
      <c r="DY86" s="229">
        <v>0.2051</v>
      </c>
      <c r="DZ86" s="229">
        <v>0.35160000000000002</v>
      </c>
      <c r="EA86" s="230">
        <v>8426775</v>
      </c>
      <c r="EB86" s="229">
        <v>-6.1000000000000004E-3</v>
      </c>
      <c r="EC86" s="229">
        <v>0.35160000000000002</v>
      </c>
      <c r="ED86" s="228">
        <v>-3.55</v>
      </c>
      <c r="EE86" s="229">
        <v>-6.0000000000000001E-3</v>
      </c>
      <c r="EF86" s="230">
        <v>2465428</v>
      </c>
      <c r="EG86" s="230">
        <v>2594471</v>
      </c>
      <c r="EH86" s="229">
        <v>-4.9700000000000001E-2</v>
      </c>
      <c r="EI86" s="229">
        <v>0.4854</v>
      </c>
      <c r="EJ86" s="231">
        <v>187507.78</v>
      </c>
      <c r="EK86" s="231">
        <v>82743.06</v>
      </c>
      <c r="EL86" s="231">
        <v>131010.04</v>
      </c>
      <c r="EM86" s="231">
        <v>6094</v>
      </c>
      <c r="EN86" s="231">
        <v>401260.88</v>
      </c>
      <c r="EO86" s="231">
        <v>520419.06</v>
      </c>
      <c r="EP86" s="231">
        <v>-119158.18</v>
      </c>
      <c r="EQ86" s="229">
        <v>-0.22900000000000001</v>
      </c>
      <c r="ER86" s="231">
        <v>138413</v>
      </c>
      <c r="ES86" s="231">
        <v>92893</v>
      </c>
      <c r="ET86" s="231">
        <v>254617</v>
      </c>
      <c r="EU86" s="231">
        <v>241870587</v>
      </c>
      <c r="EV86" s="231">
        <v>485923</v>
      </c>
      <c r="EW86" s="231">
        <v>456594</v>
      </c>
      <c r="EX86" s="231">
        <v>29329</v>
      </c>
      <c r="EY86" s="229">
        <v>6.4199999999999993E-2</v>
      </c>
      <c r="EZ86" s="229">
        <v>0.34320000000000001</v>
      </c>
      <c r="FA86" s="227" t="s">
        <v>566</v>
      </c>
      <c r="FB86" s="161">
        <f t="shared" si="1"/>
        <v>15101800</v>
      </c>
    </row>
    <row r="87" spans="1:158" ht="17.25" thickBot="1" x14ac:dyDescent="0.3">
      <c r="A87" s="226">
        <v>46135</v>
      </c>
      <c r="B87" s="227" t="s">
        <v>206</v>
      </c>
      <c r="C87" s="227" t="s">
        <v>607</v>
      </c>
      <c r="D87" s="228">
        <v>2775</v>
      </c>
      <c r="E87" s="228">
        <v>205</v>
      </c>
      <c r="F87" s="228">
        <v>200.12</v>
      </c>
      <c r="G87" s="228">
        <v>4.88</v>
      </c>
      <c r="H87" s="229">
        <v>2.4400000000000002E-2</v>
      </c>
      <c r="I87" s="228">
        <v>204.46</v>
      </c>
      <c r="J87" s="228">
        <v>199.88</v>
      </c>
      <c r="K87" s="228">
        <v>4.58</v>
      </c>
      <c r="L87" s="229">
        <v>2.29E-2</v>
      </c>
      <c r="M87" s="228">
        <v>205</v>
      </c>
      <c r="N87" s="228">
        <v>200.12</v>
      </c>
      <c r="O87" s="228">
        <v>4.88</v>
      </c>
      <c r="P87" s="229">
        <v>2.4400000000000002E-2</v>
      </c>
      <c r="Q87" s="228">
        <v>0</v>
      </c>
      <c r="R87" s="228">
        <v>0</v>
      </c>
      <c r="S87" s="228">
        <v>0</v>
      </c>
      <c r="T87" s="229">
        <v>0</v>
      </c>
      <c r="U87" s="228">
        <v>0</v>
      </c>
      <c r="V87" s="228">
        <v>0</v>
      </c>
      <c r="W87" s="228">
        <v>0</v>
      </c>
      <c r="X87" s="229">
        <v>0</v>
      </c>
      <c r="Y87" s="228">
        <v>0.54</v>
      </c>
      <c r="Z87" s="228">
        <v>0.24</v>
      </c>
      <c r="AA87" s="228">
        <v>0.3</v>
      </c>
      <c r="AB87" s="229">
        <v>2.5999999999999999E-3</v>
      </c>
      <c r="AC87" s="228">
        <v>0.54</v>
      </c>
      <c r="AD87" s="228">
        <v>0.24</v>
      </c>
      <c r="AE87" s="228">
        <v>0.3</v>
      </c>
      <c r="AF87" s="229">
        <v>2.5999999999999999E-3</v>
      </c>
      <c r="AG87" s="228">
        <v>0</v>
      </c>
      <c r="AH87" s="228">
        <v>0</v>
      </c>
      <c r="AI87" s="228">
        <v>0</v>
      </c>
      <c r="AJ87" s="229">
        <v>0</v>
      </c>
      <c r="AK87" s="228">
        <v>0</v>
      </c>
      <c r="AL87" s="228">
        <v>0</v>
      </c>
      <c r="AM87" s="228">
        <v>0</v>
      </c>
      <c r="AN87" s="229">
        <v>0</v>
      </c>
      <c r="AO87" s="228">
        <v>204.46</v>
      </c>
      <c r="AP87" s="228">
        <v>0</v>
      </c>
      <c r="AQ87" s="228">
        <v>0</v>
      </c>
      <c r="AR87" s="230">
        <v>6740475</v>
      </c>
      <c r="AS87" s="230">
        <v>4395600</v>
      </c>
      <c r="AT87" s="230">
        <v>2344875</v>
      </c>
      <c r="AU87" s="229">
        <v>0.53349999999999997</v>
      </c>
      <c r="AV87" s="230">
        <v>6740475</v>
      </c>
      <c r="AW87" s="230">
        <v>4395600</v>
      </c>
      <c r="AX87" s="230">
        <v>2344875</v>
      </c>
      <c r="AY87" s="229">
        <v>0.53349999999999997</v>
      </c>
      <c r="AZ87" s="228">
        <v>0</v>
      </c>
      <c r="BA87" s="228">
        <v>0</v>
      </c>
      <c r="BB87" s="228">
        <v>0</v>
      </c>
      <c r="BC87" s="229">
        <v>0</v>
      </c>
      <c r="BD87" s="228">
        <v>0</v>
      </c>
      <c r="BE87" s="228">
        <v>0</v>
      </c>
      <c r="BF87" s="228">
        <v>0</v>
      </c>
      <c r="BG87" s="229">
        <v>0</v>
      </c>
      <c r="BH87" s="230">
        <v>31437975</v>
      </c>
      <c r="BI87" s="230">
        <v>13142400</v>
      </c>
      <c r="BJ87" s="230">
        <v>18295575</v>
      </c>
      <c r="BK87" s="229">
        <v>1.3920999999999999</v>
      </c>
      <c r="BL87" s="230">
        <v>14113650</v>
      </c>
      <c r="BM87" s="230">
        <v>4489950</v>
      </c>
      <c r="BN87" s="230">
        <v>9623700</v>
      </c>
      <c r="BO87" s="229">
        <v>2.1434000000000002</v>
      </c>
      <c r="BP87" s="230">
        <v>52292100</v>
      </c>
      <c r="BQ87" s="230">
        <v>22027950</v>
      </c>
      <c r="BR87" s="230">
        <v>30264150</v>
      </c>
      <c r="BS87" s="229">
        <v>1.3738999999999999</v>
      </c>
      <c r="BT87" s="230">
        <v>7745352</v>
      </c>
      <c r="BU87" s="230">
        <v>3549388</v>
      </c>
      <c r="BV87" s="230">
        <v>4195964</v>
      </c>
      <c r="BW87" s="229">
        <v>1.1821999999999999</v>
      </c>
      <c r="BX87" s="230">
        <v>22818825</v>
      </c>
      <c r="BY87" s="230">
        <v>24284025</v>
      </c>
      <c r="BZ87" s="230">
        <v>-1465200</v>
      </c>
      <c r="CA87" s="229">
        <v>-6.0299999999999999E-2</v>
      </c>
      <c r="CB87" s="230">
        <v>22818825</v>
      </c>
      <c r="CC87" s="230">
        <v>24284025</v>
      </c>
      <c r="CD87" s="230">
        <v>-1465200</v>
      </c>
      <c r="CE87" s="229">
        <v>-6.0299999999999999E-2</v>
      </c>
      <c r="CF87" s="228">
        <v>0</v>
      </c>
      <c r="CG87" s="228">
        <v>0</v>
      </c>
      <c r="CH87" s="228">
        <v>0</v>
      </c>
      <c r="CI87" s="229">
        <v>0</v>
      </c>
      <c r="CJ87" s="228">
        <v>0</v>
      </c>
      <c r="CK87" s="228">
        <v>0</v>
      </c>
      <c r="CL87" s="228">
        <v>0</v>
      </c>
      <c r="CM87" s="229">
        <v>0</v>
      </c>
      <c r="CN87" s="230">
        <v>12898200</v>
      </c>
      <c r="CO87" s="230">
        <v>13353300</v>
      </c>
      <c r="CP87" s="230">
        <v>-455100</v>
      </c>
      <c r="CQ87" s="229">
        <v>-3.4099999999999998E-2</v>
      </c>
      <c r="CR87" s="230">
        <v>12354300</v>
      </c>
      <c r="CS87" s="230">
        <v>10825275</v>
      </c>
      <c r="CT87" s="230">
        <v>1529025</v>
      </c>
      <c r="CU87" s="229">
        <v>0.14119999999999999</v>
      </c>
      <c r="CV87" s="230">
        <v>48071325</v>
      </c>
      <c r="CW87" s="230">
        <v>48462600</v>
      </c>
      <c r="CX87" s="230">
        <v>-391275</v>
      </c>
      <c r="CY87" s="229">
        <v>-8.0999999999999996E-3</v>
      </c>
      <c r="CZ87" s="228">
        <v>49.98</v>
      </c>
      <c r="DA87" s="228">
        <v>37.72</v>
      </c>
      <c r="DB87" s="228">
        <v>12.26</v>
      </c>
      <c r="DC87" s="228">
        <v>12.26</v>
      </c>
      <c r="DD87" s="228">
        <v>49.98</v>
      </c>
      <c r="DE87" s="228">
        <v>50</v>
      </c>
      <c r="DF87" s="228">
        <v>0</v>
      </c>
      <c r="DG87" s="228">
        <v>-0.02</v>
      </c>
      <c r="DH87" s="228">
        <v>49.98</v>
      </c>
      <c r="DI87" s="228">
        <v>35.83</v>
      </c>
      <c r="DJ87" s="228">
        <v>14.15</v>
      </c>
      <c r="DK87" s="228">
        <v>14.15</v>
      </c>
      <c r="DL87" s="228">
        <v>49.98</v>
      </c>
      <c r="DM87" s="228">
        <v>43.27</v>
      </c>
      <c r="DN87" s="228">
        <v>6.71</v>
      </c>
      <c r="DO87" s="228">
        <v>6.71</v>
      </c>
      <c r="DP87" s="228">
        <v>0.96</v>
      </c>
      <c r="DQ87" s="228">
        <v>0.81</v>
      </c>
      <c r="DR87" s="228">
        <v>0.15</v>
      </c>
      <c r="DS87" s="229">
        <v>0.1852</v>
      </c>
      <c r="DT87" s="228">
        <v>210</v>
      </c>
      <c r="DU87" s="228">
        <v>200</v>
      </c>
      <c r="DV87" s="228">
        <v>0.45</v>
      </c>
      <c r="DW87" s="228">
        <v>0.34</v>
      </c>
      <c r="DX87" s="228">
        <v>0.11</v>
      </c>
      <c r="DY87" s="229">
        <v>0.32350000000000001</v>
      </c>
      <c r="DZ87" s="229">
        <v>0</v>
      </c>
      <c r="EA87" s="228">
        <v>0</v>
      </c>
      <c r="EB87" s="229">
        <v>0</v>
      </c>
      <c r="EC87" s="229">
        <v>0</v>
      </c>
      <c r="ED87" s="228">
        <v>0</v>
      </c>
      <c r="EE87" s="229">
        <v>0</v>
      </c>
      <c r="EF87" s="230">
        <v>2709662</v>
      </c>
      <c r="EG87" s="230">
        <v>1164624</v>
      </c>
      <c r="EH87" s="229">
        <v>1.3266</v>
      </c>
      <c r="EI87" s="229">
        <v>0.3498</v>
      </c>
      <c r="EJ87" s="231">
        <v>65896.899999999994</v>
      </c>
      <c r="EK87" s="231">
        <v>27755.74</v>
      </c>
      <c r="EL87" s="231">
        <v>13781.89</v>
      </c>
      <c r="EM87" s="231">
        <v>2085</v>
      </c>
      <c r="EN87" s="231">
        <v>107434.53</v>
      </c>
      <c r="EO87" s="231">
        <v>44712.97</v>
      </c>
      <c r="EP87" s="231">
        <v>62721.56</v>
      </c>
      <c r="EQ87" s="229">
        <v>1.4028</v>
      </c>
      <c r="ER87" s="231">
        <v>25581</v>
      </c>
      <c r="ES87" s="231">
        <v>22875</v>
      </c>
      <c r="ET87" s="231">
        <v>46779</v>
      </c>
      <c r="EU87" s="231">
        <v>75071250</v>
      </c>
      <c r="EV87" s="231">
        <v>95234</v>
      </c>
      <c r="EW87" s="231">
        <v>94659</v>
      </c>
      <c r="EX87" s="228">
        <v>575</v>
      </c>
      <c r="EY87" s="229">
        <v>6.1000000000000004E-3</v>
      </c>
      <c r="EZ87" s="229">
        <v>0.64029999999999998</v>
      </c>
      <c r="FA87" s="227" t="s">
        <v>693</v>
      </c>
      <c r="FB87" s="161">
        <f t="shared" si="1"/>
        <v>0</v>
      </c>
    </row>
    <row r="88" spans="1:158" ht="17.25" thickBot="1" x14ac:dyDescent="0.3">
      <c r="A88" s="226">
        <v>46135</v>
      </c>
      <c r="B88" s="227" t="s">
        <v>162</v>
      </c>
      <c r="C88" s="227" t="s">
        <v>694</v>
      </c>
      <c r="D88" s="228">
        <v>275</v>
      </c>
      <c r="E88" s="231">
        <v>1847.1</v>
      </c>
      <c r="F88" s="231">
        <v>1841.8</v>
      </c>
      <c r="G88" s="228">
        <v>5.3</v>
      </c>
      <c r="H88" s="229">
        <v>2.8999999999999998E-3</v>
      </c>
      <c r="I88" s="231">
        <v>1844.2</v>
      </c>
      <c r="J88" s="231">
        <v>1849.5</v>
      </c>
      <c r="K88" s="228">
        <v>-5.3</v>
      </c>
      <c r="L88" s="229">
        <v>-2.8999999999999998E-3</v>
      </c>
      <c r="M88" s="231">
        <v>1847.1</v>
      </c>
      <c r="N88" s="231">
        <v>1841.8</v>
      </c>
      <c r="O88" s="228">
        <v>5.3</v>
      </c>
      <c r="P88" s="229">
        <v>2.8999999999999998E-3</v>
      </c>
      <c r="Q88" s="231">
        <v>1796.5</v>
      </c>
      <c r="R88" s="231">
        <v>1805.5</v>
      </c>
      <c r="S88" s="228">
        <v>-9</v>
      </c>
      <c r="T88" s="229">
        <v>-5.0000000000000001E-3</v>
      </c>
      <c r="U88" s="231">
        <v>1774.2</v>
      </c>
      <c r="V88" s="231">
        <v>1791.8</v>
      </c>
      <c r="W88" s="228">
        <v>-17.600000000000001</v>
      </c>
      <c r="X88" s="229">
        <v>-9.7999999999999997E-3</v>
      </c>
      <c r="Y88" s="228">
        <v>2.9</v>
      </c>
      <c r="Z88" s="228">
        <v>-7.7</v>
      </c>
      <c r="AA88" s="228">
        <v>10.6</v>
      </c>
      <c r="AB88" s="229">
        <v>1.6000000000000001E-3</v>
      </c>
      <c r="AC88" s="228">
        <v>2.9</v>
      </c>
      <c r="AD88" s="228">
        <v>-7.7</v>
      </c>
      <c r="AE88" s="228">
        <v>10.6</v>
      </c>
      <c r="AF88" s="229">
        <v>1.6000000000000001E-3</v>
      </c>
      <c r="AG88" s="228">
        <v>-47.7</v>
      </c>
      <c r="AH88" s="228">
        <v>-44</v>
      </c>
      <c r="AI88" s="228">
        <v>-3.7</v>
      </c>
      <c r="AJ88" s="229">
        <v>-2.5899999999999999E-2</v>
      </c>
      <c r="AK88" s="228">
        <v>-70</v>
      </c>
      <c r="AL88" s="228">
        <v>-57.7</v>
      </c>
      <c r="AM88" s="228">
        <v>-12.3</v>
      </c>
      <c r="AN88" s="229">
        <v>-3.7999999999999999E-2</v>
      </c>
      <c r="AO88" s="231">
        <v>1829.27</v>
      </c>
      <c r="AP88" s="231">
        <v>1781.87</v>
      </c>
      <c r="AQ88" s="228">
        <v>0</v>
      </c>
      <c r="AR88" s="230">
        <v>7578725</v>
      </c>
      <c r="AS88" s="230">
        <v>1798775</v>
      </c>
      <c r="AT88" s="230">
        <v>5779950</v>
      </c>
      <c r="AU88" s="229">
        <v>3.2132999999999998</v>
      </c>
      <c r="AV88" s="230">
        <v>3472150</v>
      </c>
      <c r="AW88" s="230">
        <v>926750</v>
      </c>
      <c r="AX88" s="230">
        <v>2545400</v>
      </c>
      <c r="AY88" s="229">
        <v>2.7465999999999999</v>
      </c>
      <c r="AZ88" s="230">
        <v>4043050</v>
      </c>
      <c r="BA88" s="230">
        <v>846450</v>
      </c>
      <c r="BB88" s="230">
        <v>3196600</v>
      </c>
      <c r="BC88" s="229">
        <v>3.7765</v>
      </c>
      <c r="BD88" s="230">
        <v>63525</v>
      </c>
      <c r="BE88" s="230">
        <v>25575</v>
      </c>
      <c r="BF88" s="230">
        <v>37950</v>
      </c>
      <c r="BG88" s="229">
        <v>1.4839</v>
      </c>
      <c r="BH88" s="230">
        <v>1940125</v>
      </c>
      <c r="BI88" s="230">
        <v>923450</v>
      </c>
      <c r="BJ88" s="230">
        <v>1016675</v>
      </c>
      <c r="BK88" s="229">
        <v>1.101</v>
      </c>
      <c r="BL88" s="230">
        <v>666325</v>
      </c>
      <c r="BM88" s="230">
        <v>251075</v>
      </c>
      <c r="BN88" s="230">
        <v>415250</v>
      </c>
      <c r="BO88" s="229">
        <v>1.6538999999999999</v>
      </c>
      <c r="BP88" s="230">
        <v>10185175</v>
      </c>
      <c r="BQ88" s="230">
        <v>2973300</v>
      </c>
      <c r="BR88" s="230">
        <v>7211875</v>
      </c>
      <c r="BS88" s="229">
        <v>2.4255</v>
      </c>
      <c r="BT88" s="230">
        <v>876210</v>
      </c>
      <c r="BU88" s="230">
        <v>549604</v>
      </c>
      <c r="BV88" s="230">
        <v>326606</v>
      </c>
      <c r="BW88" s="229">
        <v>0.59430000000000005</v>
      </c>
      <c r="BX88" s="230">
        <v>7871050</v>
      </c>
      <c r="BY88" s="230">
        <v>8926775</v>
      </c>
      <c r="BZ88" s="230">
        <v>-1055725</v>
      </c>
      <c r="CA88" s="229">
        <v>-0.1183</v>
      </c>
      <c r="CB88" s="230">
        <v>3428425</v>
      </c>
      <c r="CC88" s="230">
        <v>6108575</v>
      </c>
      <c r="CD88" s="230">
        <v>-2680150</v>
      </c>
      <c r="CE88" s="229">
        <v>-0.43880000000000002</v>
      </c>
      <c r="CF88" s="230">
        <v>4260300</v>
      </c>
      <c r="CG88" s="230">
        <v>2648800</v>
      </c>
      <c r="CH88" s="230">
        <v>1611500</v>
      </c>
      <c r="CI88" s="229">
        <v>0.60840000000000005</v>
      </c>
      <c r="CJ88" s="230">
        <v>182325</v>
      </c>
      <c r="CK88" s="230">
        <v>169400</v>
      </c>
      <c r="CL88" s="230">
        <v>12925</v>
      </c>
      <c r="CM88" s="229">
        <v>7.6300000000000007E-2</v>
      </c>
      <c r="CN88" s="230">
        <v>1062600</v>
      </c>
      <c r="CO88" s="230">
        <v>997425</v>
      </c>
      <c r="CP88" s="230">
        <v>65175</v>
      </c>
      <c r="CQ88" s="229">
        <v>6.5299999999999997E-2</v>
      </c>
      <c r="CR88" s="230">
        <v>587675</v>
      </c>
      <c r="CS88" s="230">
        <v>675950</v>
      </c>
      <c r="CT88" s="230">
        <v>-88275</v>
      </c>
      <c r="CU88" s="229">
        <v>-0.13059999999999999</v>
      </c>
      <c r="CV88" s="230">
        <v>9521325</v>
      </c>
      <c r="CW88" s="230">
        <v>10600150</v>
      </c>
      <c r="CX88" s="230">
        <v>-1078825</v>
      </c>
      <c r="CY88" s="229">
        <v>-0.1018</v>
      </c>
      <c r="CZ88" s="228">
        <v>40.200000000000003</v>
      </c>
      <c r="DA88" s="228">
        <v>39.840000000000003</v>
      </c>
      <c r="DB88" s="228">
        <v>0.36</v>
      </c>
      <c r="DC88" s="228">
        <v>0.36</v>
      </c>
      <c r="DD88" s="228">
        <v>33.450000000000003</v>
      </c>
      <c r="DE88" s="228">
        <v>33.53</v>
      </c>
      <c r="DF88" s="228">
        <v>6.75</v>
      </c>
      <c r="DG88" s="228">
        <v>-0.08</v>
      </c>
      <c r="DH88" s="228">
        <v>40.53</v>
      </c>
      <c r="DI88" s="228">
        <v>41.4</v>
      </c>
      <c r="DJ88" s="228">
        <v>-0.87</v>
      </c>
      <c r="DK88" s="228">
        <v>-0.87</v>
      </c>
      <c r="DL88" s="228">
        <v>39.42</v>
      </c>
      <c r="DM88" s="228">
        <v>34.119999999999997</v>
      </c>
      <c r="DN88" s="228">
        <v>5.3</v>
      </c>
      <c r="DO88" s="228">
        <v>5.3</v>
      </c>
      <c r="DP88" s="228">
        <v>0.55000000000000004</v>
      </c>
      <c r="DQ88" s="228">
        <v>0.68</v>
      </c>
      <c r="DR88" s="228">
        <v>-0.13</v>
      </c>
      <c r="DS88" s="229">
        <v>-0.19120000000000001</v>
      </c>
      <c r="DT88" s="231">
        <v>1900</v>
      </c>
      <c r="DU88" s="231">
        <v>1800</v>
      </c>
      <c r="DV88" s="228">
        <v>0.34</v>
      </c>
      <c r="DW88" s="228">
        <v>0.27</v>
      </c>
      <c r="DX88" s="228">
        <v>7.0000000000000007E-2</v>
      </c>
      <c r="DY88" s="229">
        <v>0.25929999999999997</v>
      </c>
      <c r="DZ88" s="229">
        <v>0.56440000000000001</v>
      </c>
      <c r="EA88" s="230">
        <v>2818200</v>
      </c>
      <c r="EB88" s="229">
        <v>-2.7400000000000001E-2</v>
      </c>
      <c r="EC88" s="229">
        <v>0.56440000000000001</v>
      </c>
      <c r="ED88" s="228">
        <v>-47.4</v>
      </c>
      <c r="EE88" s="229">
        <v>-2.5899999999999999E-2</v>
      </c>
      <c r="EF88" s="230">
        <v>385560</v>
      </c>
      <c r="EG88" s="230">
        <v>257466</v>
      </c>
      <c r="EH88" s="229">
        <v>0.4975</v>
      </c>
      <c r="EI88" s="229">
        <v>0.44</v>
      </c>
      <c r="EJ88" s="231">
        <v>37351.22</v>
      </c>
      <c r="EK88" s="231">
        <v>12059.69</v>
      </c>
      <c r="EL88" s="231">
        <v>136677.04</v>
      </c>
      <c r="EM88" s="231">
        <v>6480</v>
      </c>
      <c r="EN88" s="231">
        <v>186087.95</v>
      </c>
      <c r="EO88" s="231">
        <v>55934.39</v>
      </c>
      <c r="EP88" s="231">
        <v>130153.56</v>
      </c>
      <c r="EQ88" s="229">
        <v>2.3269000000000002</v>
      </c>
      <c r="ER88" s="231">
        <v>20143</v>
      </c>
      <c r="ES88" s="231">
        <v>10269</v>
      </c>
      <c r="ET88" s="231">
        <v>143098</v>
      </c>
      <c r="EU88" s="231">
        <v>21329205</v>
      </c>
      <c r="EV88" s="231">
        <v>173509</v>
      </c>
      <c r="EW88" s="231">
        <v>194088</v>
      </c>
      <c r="EX88" s="231">
        <v>-20579</v>
      </c>
      <c r="EY88" s="229">
        <v>-0.106</v>
      </c>
      <c r="EZ88" s="229">
        <v>0.44640000000000002</v>
      </c>
      <c r="FA88" s="227" t="s">
        <v>693</v>
      </c>
      <c r="FB88" s="161">
        <f t="shared" si="1"/>
        <v>4442625</v>
      </c>
    </row>
    <row r="89" spans="1:158" ht="17.25" thickBot="1" x14ac:dyDescent="0.3">
      <c r="A89" s="226">
        <v>46135</v>
      </c>
      <c r="B89" s="227" t="s">
        <v>172</v>
      </c>
      <c r="C89" s="227" t="s">
        <v>232</v>
      </c>
      <c r="D89" s="228">
        <v>700</v>
      </c>
      <c r="E89" s="231">
        <v>1347.1</v>
      </c>
      <c r="F89" s="231">
        <v>1368.2</v>
      </c>
      <c r="G89" s="228">
        <v>-21.1</v>
      </c>
      <c r="H89" s="229">
        <v>-1.54E-2</v>
      </c>
      <c r="I89" s="231">
        <v>1348</v>
      </c>
      <c r="J89" s="231">
        <v>1367.6</v>
      </c>
      <c r="K89" s="228">
        <v>-19.600000000000001</v>
      </c>
      <c r="L89" s="229">
        <v>-1.43E-2</v>
      </c>
      <c r="M89" s="231">
        <v>1347.1</v>
      </c>
      <c r="N89" s="231">
        <v>1368.2</v>
      </c>
      <c r="O89" s="228">
        <v>-21.1</v>
      </c>
      <c r="P89" s="229">
        <v>-1.54E-2</v>
      </c>
      <c r="Q89" s="231">
        <v>1353.9</v>
      </c>
      <c r="R89" s="231">
        <v>1375.8</v>
      </c>
      <c r="S89" s="228">
        <v>-21.9</v>
      </c>
      <c r="T89" s="229">
        <v>-1.5900000000000001E-2</v>
      </c>
      <c r="U89" s="231">
        <v>1364</v>
      </c>
      <c r="V89" s="231">
        <v>1384.4</v>
      </c>
      <c r="W89" s="228">
        <v>-20.399999999999999</v>
      </c>
      <c r="X89" s="229">
        <v>-1.47E-2</v>
      </c>
      <c r="Y89" s="228">
        <v>-0.9</v>
      </c>
      <c r="Z89" s="228">
        <v>0.6</v>
      </c>
      <c r="AA89" s="228">
        <v>-1.5</v>
      </c>
      <c r="AB89" s="229">
        <v>-6.9999999999999999E-4</v>
      </c>
      <c r="AC89" s="228">
        <v>-0.9</v>
      </c>
      <c r="AD89" s="228">
        <v>0.6</v>
      </c>
      <c r="AE89" s="228">
        <v>-1.5</v>
      </c>
      <c r="AF89" s="229">
        <v>-6.9999999999999999E-4</v>
      </c>
      <c r="AG89" s="228">
        <v>5.9</v>
      </c>
      <c r="AH89" s="228">
        <v>8.1999999999999993</v>
      </c>
      <c r="AI89" s="228">
        <v>-2.2999999999999998</v>
      </c>
      <c r="AJ89" s="229">
        <v>4.4000000000000003E-3</v>
      </c>
      <c r="AK89" s="228">
        <v>16</v>
      </c>
      <c r="AL89" s="228">
        <v>16.8</v>
      </c>
      <c r="AM89" s="228">
        <v>-0.8</v>
      </c>
      <c r="AN89" s="229">
        <v>1.1900000000000001E-2</v>
      </c>
      <c r="AO89" s="231">
        <v>1349.69</v>
      </c>
      <c r="AP89" s="231">
        <v>1357.31</v>
      </c>
      <c r="AQ89" s="228">
        <v>0</v>
      </c>
      <c r="AR89" s="230">
        <v>54941600</v>
      </c>
      <c r="AS89" s="230">
        <v>23956100</v>
      </c>
      <c r="AT89" s="230">
        <v>30985500</v>
      </c>
      <c r="AU89" s="229">
        <v>1.2934000000000001</v>
      </c>
      <c r="AV89" s="230">
        <v>28847700</v>
      </c>
      <c r="AW89" s="230">
        <v>15594600</v>
      </c>
      <c r="AX89" s="230">
        <v>13253100</v>
      </c>
      <c r="AY89" s="229">
        <v>0.84989999999999999</v>
      </c>
      <c r="AZ89" s="230">
        <v>19292000</v>
      </c>
      <c r="BA89" s="230">
        <v>5263300</v>
      </c>
      <c r="BB89" s="230">
        <v>14028700</v>
      </c>
      <c r="BC89" s="229">
        <v>2.6654</v>
      </c>
      <c r="BD89" s="230">
        <v>6801900</v>
      </c>
      <c r="BE89" s="230">
        <v>3098200</v>
      </c>
      <c r="BF89" s="230">
        <v>3703700</v>
      </c>
      <c r="BG89" s="229">
        <v>1.1954</v>
      </c>
      <c r="BH89" s="230">
        <v>60312000</v>
      </c>
      <c r="BI89" s="230">
        <v>54351500</v>
      </c>
      <c r="BJ89" s="230">
        <v>5960500</v>
      </c>
      <c r="BK89" s="229">
        <v>0.10970000000000001</v>
      </c>
      <c r="BL89" s="230">
        <v>40356400</v>
      </c>
      <c r="BM89" s="230">
        <v>38626700</v>
      </c>
      <c r="BN89" s="230">
        <v>1729700</v>
      </c>
      <c r="BO89" s="229">
        <v>4.48E-2</v>
      </c>
      <c r="BP89" s="230">
        <v>155610000</v>
      </c>
      <c r="BQ89" s="230">
        <v>116934300</v>
      </c>
      <c r="BR89" s="230">
        <v>38675700</v>
      </c>
      <c r="BS89" s="229">
        <v>0.33069999999999999</v>
      </c>
      <c r="BT89" s="230">
        <v>22205562</v>
      </c>
      <c r="BU89" s="230">
        <v>13988708</v>
      </c>
      <c r="BV89" s="230">
        <v>8216854</v>
      </c>
      <c r="BW89" s="229">
        <v>0.58740000000000003</v>
      </c>
      <c r="BX89" s="230">
        <v>115542700</v>
      </c>
      <c r="BY89" s="230">
        <v>114886100</v>
      </c>
      <c r="BZ89" s="230">
        <v>656600</v>
      </c>
      <c r="CA89" s="229">
        <v>5.7000000000000002E-3</v>
      </c>
      <c r="CB89" s="230">
        <v>50201200</v>
      </c>
      <c r="CC89" s="230">
        <v>72522100</v>
      </c>
      <c r="CD89" s="230">
        <v>-22320900</v>
      </c>
      <c r="CE89" s="229">
        <v>-0.30780000000000002</v>
      </c>
      <c r="CF89" s="230">
        <v>51034200</v>
      </c>
      <c r="CG89" s="230">
        <v>34658400</v>
      </c>
      <c r="CH89" s="230">
        <v>16375800</v>
      </c>
      <c r="CI89" s="229">
        <v>0.47249999999999998</v>
      </c>
      <c r="CJ89" s="230">
        <v>14307300</v>
      </c>
      <c r="CK89" s="230">
        <v>7705600</v>
      </c>
      <c r="CL89" s="230">
        <v>6601700</v>
      </c>
      <c r="CM89" s="229">
        <v>0.85670000000000002</v>
      </c>
      <c r="CN89" s="230">
        <v>28632100</v>
      </c>
      <c r="CO89" s="230">
        <v>29049300</v>
      </c>
      <c r="CP89" s="230">
        <v>-417200</v>
      </c>
      <c r="CQ89" s="229">
        <v>-1.44E-2</v>
      </c>
      <c r="CR89" s="230">
        <v>22106000</v>
      </c>
      <c r="CS89" s="230">
        <v>22897700</v>
      </c>
      <c r="CT89" s="230">
        <v>-791700</v>
      </c>
      <c r="CU89" s="229">
        <v>-3.4599999999999999E-2</v>
      </c>
      <c r="CV89" s="230">
        <v>166280800</v>
      </c>
      <c r="CW89" s="230">
        <v>166833100</v>
      </c>
      <c r="CX89" s="230">
        <v>-552300</v>
      </c>
      <c r="CY89" s="229">
        <v>-3.3E-3</v>
      </c>
      <c r="CZ89" s="228">
        <v>23.52</v>
      </c>
      <c r="DA89" s="228">
        <v>21.22</v>
      </c>
      <c r="DB89" s="228">
        <v>2.2999999999999998</v>
      </c>
      <c r="DC89" s="228">
        <v>2.2999999999999998</v>
      </c>
      <c r="DD89" s="228">
        <v>24.04</v>
      </c>
      <c r="DE89" s="228">
        <v>24.02</v>
      </c>
      <c r="DF89" s="228">
        <v>-0.52</v>
      </c>
      <c r="DG89" s="228">
        <v>0.02</v>
      </c>
      <c r="DH89" s="228">
        <v>23.45</v>
      </c>
      <c r="DI89" s="228">
        <v>20.78</v>
      </c>
      <c r="DJ89" s="228">
        <v>2.67</v>
      </c>
      <c r="DK89" s="228">
        <v>2.67</v>
      </c>
      <c r="DL89" s="228">
        <v>23.63</v>
      </c>
      <c r="DM89" s="228">
        <v>21.85</v>
      </c>
      <c r="DN89" s="228">
        <v>1.78</v>
      </c>
      <c r="DO89" s="228">
        <v>1.78</v>
      </c>
      <c r="DP89" s="228">
        <v>0.77</v>
      </c>
      <c r="DQ89" s="228">
        <v>0.79</v>
      </c>
      <c r="DR89" s="228">
        <v>-0.02</v>
      </c>
      <c r="DS89" s="229">
        <v>-2.53E-2</v>
      </c>
      <c r="DT89" s="231">
        <v>1400</v>
      </c>
      <c r="DU89" s="231">
        <v>1300</v>
      </c>
      <c r="DV89" s="228">
        <v>0.67</v>
      </c>
      <c r="DW89" s="228">
        <v>0.71</v>
      </c>
      <c r="DX89" s="228">
        <v>-0.04</v>
      </c>
      <c r="DY89" s="229">
        <v>-5.6300000000000003E-2</v>
      </c>
      <c r="DZ89" s="229">
        <v>0.5655</v>
      </c>
      <c r="EA89" s="230">
        <v>42364000</v>
      </c>
      <c r="EB89" s="229">
        <v>5.0000000000000001E-3</v>
      </c>
      <c r="EC89" s="229">
        <v>0.5655</v>
      </c>
      <c r="ED89" s="228">
        <v>7.62</v>
      </c>
      <c r="EE89" s="229">
        <v>5.5999999999999999E-3</v>
      </c>
      <c r="EF89" s="230">
        <v>13051885</v>
      </c>
      <c r="EG89" s="230">
        <v>9094385</v>
      </c>
      <c r="EH89" s="229">
        <v>0.43519999999999998</v>
      </c>
      <c r="EI89" s="229">
        <v>0.58779999999999999</v>
      </c>
      <c r="EJ89" s="231">
        <v>835057.56</v>
      </c>
      <c r="EK89" s="231">
        <v>542443.34</v>
      </c>
      <c r="EL89" s="231">
        <v>744070.7</v>
      </c>
      <c r="EM89" s="231">
        <v>30925</v>
      </c>
      <c r="EN89" s="231">
        <v>2121571.6</v>
      </c>
      <c r="EO89" s="231">
        <v>1616629.6</v>
      </c>
      <c r="EP89" s="231">
        <v>504942</v>
      </c>
      <c r="EQ89" s="229">
        <v>0.31230000000000002</v>
      </c>
      <c r="ER89" s="231">
        <v>390350</v>
      </c>
      <c r="ES89" s="231">
        <v>285558</v>
      </c>
      <c r="ET89" s="231">
        <v>1562364</v>
      </c>
      <c r="EU89" s="231">
        <v>668616020</v>
      </c>
      <c r="EV89" s="231">
        <v>2238272</v>
      </c>
      <c r="EW89" s="231">
        <v>2268382</v>
      </c>
      <c r="EX89" s="231">
        <v>-30110</v>
      </c>
      <c r="EY89" s="229">
        <v>-1.3299999999999999E-2</v>
      </c>
      <c r="EZ89" s="229">
        <v>0.2487</v>
      </c>
      <c r="FA89" s="227" t="s">
        <v>566</v>
      </c>
      <c r="FB89" s="161">
        <f t="shared" si="1"/>
        <v>65341500</v>
      </c>
    </row>
    <row r="90" spans="1:158" ht="17.25" thickBot="1" x14ac:dyDescent="0.3">
      <c r="A90" s="226">
        <v>46135</v>
      </c>
      <c r="B90" s="227" t="s">
        <v>175</v>
      </c>
      <c r="C90" s="227" t="s">
        <v>472</v>
      </c>
      <c r="D90" s="228">
        <v>325</v>
      </c>
      <c r="E90" s="231">
        <v>1808.8</v>
      </c>
      <c r="F90" s="231">
        <v>1832.4</v>
      </c>
      <c r="G90" s="228">
        <v>-23.6</v>
      </c>
      <c r="H90" s="229">
        <v>-1.29E-2</v>
      </c>
      <c r="I90" s="231">
        <v>1809.9</v>
      </c>
      <c r="J90" s="231">
        <v>1829</v>
      </c>
      <c r="K90" s="228">
        <v>-19.100000000000001</v>
      </c>
      <c r="L90" s="229">
        <v>-1.04E-2</v>
      </c>
      <c r="M90" s="231">
        <v>1808.8</v>
      </c>
      <c r="N90" s="231">
        <v>1832.4</v>
      </c>
      <c r="O90" s="228">
        <v>-23.6</v>
      </c>
      <c r="P90" s="229">
        <v>-1.29E-2</v>
      </c>
      <c r="Q90" s="231">
        <v>1818.6</v>
      </c>
      <c r="R90" s="231">
        <v>1840.1</v>
      </c>
      <c r="S90" s="228">
        <v>-21.5</v>
      </c>
      <c r="T90" s="229">
        <v>-1.17E-2</v>
      </c>
      <c r="U90" s="231">
        <v>1823.9</v>
      </c>
      <c r="V90" s="231">
        <v>1845.4</v>
      </c>
      <c r="W90" s="228">
        <v>-21.5</v>
      </c>
      <c r="X90" s="229">
        <v>-1.17E-2</v>
      </c>
      <c r="Y90" s="228">
        <v>-1.1000000000000001</v>
      </c>
      <c r="Z90" s="228">
        <v>3.4</v>
      </c>
      <c r="AA90" s="228">
        <v>-4.5</v>
      </c>
      <c r="AB90" s="229">
        <v>-5.9999999999999995E-4</v>
      </c>
      <c r="AC90" s="228">
        <v>-1.1000000000000001</v>
      </c>
      <c r="AD90" s="228">
        <v>3.4</v>
      </c>
      <c r="AE90" s="228">
        <v>-4.5</v>
      </c>
      <c r="AF90" s="229">
        <v>-5.9999999999999995E-4</v>
      </c>
      <c r="AG90" s="228">
        <v>8.6999999999999993</v>
      </c>
      <c r="AH90" s="228">
        <v>11.1</v>
      </c>
      <c r="AI90" s="228">
        <v>-2.4</v>
      </c>
      <c r="AJ90" s="229">
        <v>4.7999999999999996E-3</v>
      </c>
      <c r="AK90" s="228">
        <v>14</v>
      </c>
      <c r="AL90" s="228">
        <v>16.399999999999999</v>
      </c>
      <c r="AM90" s="228">
        <v>-2.4</v>
      </c>
      <c r="AN90" s="229">
        <v>7.7000000000000002E-3</v>
      </c>
      <c r="AO90" s="231">
        <v>1817.82</v>
      </c>
      <c r="AP90" s="231">
        <v>1827.57</v>
      </c>
      <c r="AQ90" s="228">
        <v>0</v>
      </c>
      <c r="AR90" s="230">
        <v>2688725</v>
      </c>
      <c r="AS90" s="230">
        <v>958750</v>
      </c>
      <c r="AT90" s="230">
        <v>1729975</v>
      </c>
      <c r="AU90" s="229">
        <v>1.8044</v>
      </c>
      <c r="AV90" s="230">
        <v>1300325</v>
      </c>
      <c r="AW90" s="230">
        <v>670800</v>
      </c>
      <c r="AX90" s="230">
        <v>629525</v>
      </c>
      <c r="AY90" s="229">
        <v>0.9385</v>
      </c>
      <c r="AZ90" s="230">
        <v>1386775</v>
      </c>
      <c r="BA90" s="230">
        <v>283725</v>
      </c>
      <c r="BB90" s="230">
        <v>1103050</v>
      </c>
      <c r="BC90" s="229">
        <v>3.8877000000000002</v>
      </c>
      <c r="BD90" s="230">
        <v>1625</v>
      </c>
      <c r="BE90" s="230">
        <v>4225</v>
      </c>
      <c r="BF90" s="230">
        <v>-2600</v>
      </c>
      <c r="BG90" s="229">
        <v>-0.61539999999999995</v>
      </c>
      <c r="BH90" s="230">
        <v>1512875</v>
      </c>
      <c r="BI90" s="230">
        <v>1319500</v>
      </c>
      <c r="BJ90" s="230">
        <v>193375</v>
      </c>
      <c r="BK90" s="229">
        <v>0.14660000000000001</v>
      </c>
      <c r="BL90" s="230">
        <v>810550</v>
      </c>
      <c r="BM90" s="230">
        <v>827450</v>
      </c>
      <c r="BN90" s="230">
        <v>-16900</v>
      </c>
      <c r="BO90" s="229">
        <v>-2.0400000000000001E-2</v>
      </c>
      <c r="BP90" s="230">
        <v>5012150</v>
      </c>
      <c r="BQ90" s="230">
        <v>3105700</v>
      </c>
      <c r="BR90" s="230">
        <v>1906450</v>
      </c>
      <c r="BS90" s="229">
        <v>0.6139</v>
      </c>
      <c r="BT90" s="230">
        <v>531916</v>
      </c>
      <c r="BU90" s="230">
        <v>994672</v>
      </c>
      <c r="BV90" s="230">
        <v>-462756</v>
      </c>
      <c r="BW90" s="229">
        <v>-0.4652</v>
      </c>
      <c r="BX90" s="230">
        <v>5542875</v>
      </c>
      <c r="BY90" s="230">
        <v>5526300</v>
      </c>
      <c r="BZ90" s="230">
        <v>16575</v>
      </c>
      <c r="CA90" s="229">
        <v>3.0000000000000001E-3</v>
      </c>
      <c r="CB90" s="230">
        <v>4113850</v>
      </c>
      <c r="CC90" s="230">
        <v>5154500</v>
      </c>
      <c r="CD90" s="230">
        <v>-1040650</v>
      </c>
      <c r="CE90" s="229">
        <v>-0.2019</v>
      </c>
      <c r="CF90" s="230">
        <v>1420575</v>
      </c>
      <c r="CG90" s="230">
        <v>364000</v>
      </c>
      <c r="CH90" s="230">
        <v>1056575</v>
      </c>
      <c r="CI90" s="229">
        <v>2.9026999999999998</v>
      </c>
      <c r="CJ90" s="230">
        <v>8450</v>
      </c>
      <c r="CK90" s="230">
        <v>7800</v>
      </c>
      <c r="CL90" s="228">
        <v>650</v>
      </c>
      <c r="CM90" s="229">
        <v>8.3299999999999999E-2</v>
      </c>
      <c r="CN90" s="230">
        <v>1198925</v>
      </c>
      <c r="CO90" s="230">
        <v>1241175</v>
      </c>
      <c r="CP90" s="230">
        <v>-42250</v>
      </c>
      <c r="CQ90" s="229">
        <v>-3.4000000000000002E-2</v>
      </c>
      <c r="CR90" s="230">
        <v>931775</v>
      </c>
      <c r="CS90" s="230">
        <v>1003925</v>
      </c>
      <c r="CT90" s="230">
        <v>-72150</v>
      </c>
      <c r="CU90" s="229">
        <v>-7.1900000000000006E-2</v>
      </c>
      <c r="CV90" s="230">
        <v>7673575</v>
      </c>
      <c r="CW90" s="230">
        <v>7771400</v>
      </c>
      <c r="CX90" s="230">
        <v>-97825</v>
      </c>
      <c r="CY90" s="229">
        <v>-1.26E-2</v>
      </c>
      <c r="CZ90" s="228">
        <v>25.05</v>
      </c>
      <c r="DA90" s="228">
        <v>25.45</v>
      </c>
      <c r="DB90" s="228">
        <v>-0.4</v>
      </c>
      <c r="DC90" s="228">
        <v>-0.4</v>
      </c>
      <c r="DD90" s="228">
        <v>27.1</v>
      </c>
      <c r="DE90" s="228">
        <v>27.13</v>
      </c>
      <c r="DF90" s="228">
        <v>-2.0499999999999998</v>
      </c>
      <c r="DG90" s="228">
        <v>-0.03</v>
      </c>
      <c r="DH90" s="228">
        <v>25.07</v>
      </c>
      <c r="DI90" s="228">
        <v>26.27</v>
      </c>
      <c r="DJ90" s="228">
        <v>-1.2</v>
      </c>
      <c r="DK90" s="228">
        <v>-1.2</v>
      </c>
      <c r="DL90" s="228">
        <v>24.86</v>
      </c>
      <c r="DM90" s="228">
        <v>24.16</v>
      </c>
      <c r="DN90" s="228">
        <v>0.7</v>
      </c>
      <c r="DO90" s="228">
        <v>0.7</v>
      </c>
      <c r="DP90" s="228">
        <v>0.78</v>
      </c>
      <c r="DQ90" s="228">
        <v>0.81</v>
      </c>
      <c r="DR90" s="228">
        <v>-0.03</v>
      </c>
      <c r="DS90" s="229">
        <v>-3.6999999999999998E-2</v>
      </c>
      <c r="DT90" s="231">
        <v>1900</v>
      </c>
      <c r="DU90" s="231">
        <v>1760</v>
      </c>
      <c r="DV90" s="228">
        <v>0.54</v>
      </c>
      <c r="DW90" s="228">
        <v>0.63</v>
      </c>
      <c r="DX90" s="228">
        <v>-0.09</v>
      </c>
      <c r="DY90" s="229">
        <v>-0.1429</v>
      </c>
      <c r="DZ90" s="229">
        <v>0.25779999999999997</v>
      </c>
      <c r="EA90" s="230">
        <v>371800</v>
      </c>
      <c r="EB90" s="229">
        <v>5.4000000000000003E-3</v>
      </c>
      <c r="EC90" s="229">
        <v>0.25779999999999997</v>
      </c>
      <c r="ED90" s="228">
        <v>9.75</v>
      </c>
      <c r="EE90" s="229">
        <v>5.4000000000000003E-3</v>
      </c>
      <c r="EF90" s="230">
        <v>294642</v>
      </c>
      <c r="EG90" s="230">
        <v>672314</v>
      </c>
      <c r="EH90" s="229">
        <v>-0.56169999999999998</v>
      </c>
      <c r="EI90" s="229">
        <v>0.55389999999999995</v>
      </c>
      <c r="EJ90" s="231">
        <v>28987.51</v>
      </c>
      <c r="EK90" s="231">
        <v>14600.41</v>
      </c>
      <c r="EL90" s="231">
        <v>49011.54</v>
      </c>
      <c r="EM90" s="231">
        <v>2649</v>
      </c>
      <c r="EN90" s="231">
        <v>92599.46</v>
      </c>
      <c r="EO90" s="231">
        <v>57758.89</v>
      </c>
      <c r="EP90" s="231">
        <v>34840.57</v>
      </c>
      <c r="EQ90" s="229">
        <v>0.60319999999999996</v>
      </c>
      <c r="ER90" s="231">
        <v>22654</v>
      </c>
      <c r="ES90" s="231">
        <v>16413</v>
      </c>
      <c r="ET90" s="231">
        <v>100400</v>
      </c>
      <c r="EU90" s="231">
        <v>27086521</v>
      </c>
      <c r="EV90" s="231">
        <v>139467</v>
      </c>
      <c r="EW90" s="231">
        <v>142579</v>
      </c>
      <c r="EX90" s="231">
        <v>-3112</v>
      </c>
      <c r="EY90" s="229">
        <v>-2.18E-2</v>
      </c>
      <c r="EZ90" s="229">
        <v>0.2833</v>
      </c>
      <c r="FA90" s="227" t="s">
        <v>566</v>
      </c>
      <c r="FB90" s="161">
        <f t="shared" si="1"/>
        <v>1429025</v>
      </c>
    </row>
    <row r="91" spans="1:158" ht="17.25" thickBot="1" x14ac:dyDescent="0.3">
      <c r="A91" s="226">
        <v>46135</v>
      </c>
      <c r="B91" s="227" t="s">
        <v>175</v>
      </c>
      <c r="C91" s="227" t="s">
        <v>233</v>
      </c>
      <c r="D91" s="228">
        <v>925</v>
      </c>
      <c r="E91" s="228">
        <v>534.6</v>
      </c>
      <c r="F91" s="228">
        <v>539.54999999999995</v>
      </c>
      <c r="G91" s="228">
        <v>-4.95</v>
      </c>
      <c r="H91" s="229">
        <v>-9.1999999999999998E-3</v>
      </c>
      <c r="I91" s="228">
        <v>535.29999999999995</v>
      </c>
      <c r="J91" s="228">
        <v>540.04999999999995</v>
      </c>
      <c r="K91" s="228">
        <v>-4.75</v>
      </c>
      <c r="L91" s="229">
        <v>-8.8000000000000005E-3</v>
      </c>
      <c r="M91" s="228">
        <v>534.6</v>
      </c>
      <c r="N91" s="228">
        <v>539.54999999999995</v>
      </c>
      <c r="O91" s="228">
        <v>-4.95</v>
      </c>
      <c r="P91" s="229">
        <v>-9.1999999999999998E-3</v>
      </c>
      <c r="Q91" s="228">
        <v>537.85</v>
      </c>
      <c r="R91" s="228">
        <v>542.6</v>
      </c>
      <c r="S91" s="228">
        <v>-4.75</v>
      </c>
      <c r="T91" s="229">
        <v>-8.8000000000000005E-3</v>
      </c>
      <c r="U91" s="228">
        <v>539.15</v>
      </c>
      <c r="V91" s="228">
        <v>544.15</v>
      </c>
      <c r="W91" s="228">
        <v>-5</v>
      </c>
      <c r="X91" s="229">
        <v>-9.1999999999999998E-3</v>
      </c>
      <c r="Y91" s="228">
        <v>-0.7</v>
      </c>
      <c r="Z91" s="228">
        <v>-0.5</v>
      </c>
      <c r="AA91" s="228">
        <v>-0.2</v>
      </c>
      <c r="AB91" s="229">
        <v>-1.2999999999999999E-3</v>
      </c>
      <c r="AC91" s="228">
        <v>-0.7</v>
      </c>
      <c r="AD91" s="228">
        <v>-0.5</v>
      </c>
      <c r="AE91" s="228">
        <v>-0.2</v>
      </c>
      <c r="AF91" s="229">
        <v>-1.2999999999999999E-3</v>
      </c>
      <c r="AG91" s="228">
        <v>2.5499999999999998</v>
      </c>
      <c r="AH91" s="228">
        <v>2.5499999999999998</v>
      </c>
      <c r="AI91" s="228">
        <v>0</v>
      </c>
      <c r="AJ91" s="229">
        <v>4.7999999999999996E-3</v>
      </c>
      <c r="AK91" s="228">
        <v>3.85</v>
      </c>
      <c r="AL91" s="228">
        <v>4.0999999999999996</v>
      </c>
      <c r="AM91" s="228">
        <v>-0.25</v>
      </c>
      <c r="AN91" s="229">
        <v>7.1999999999999998E-3</v>
      </c>
      <c r="AO91" s="228">
        <v>534.26</v>
      </c>
      <c r="AP91" s="228">
        <v>537.28</v>
      </c>
      <c r="AQ91" s="228">
        <v>0</v>
      </c>
      <c r="AR91" s="230">
        <v>12756675</v>
      </c>
      <c r="AS91" s="230">
        <v>3221775</v>
      </c>
      <c r="AT91" s="230">
        <v>9534900</v>
      </c>
      <c r="AU91" s="229">
        <v>2.9594999999999998</v>
      </c>
      <c r="AV91" s="230">
        <v>6666475</v>
      </c>
      <c r="AW91" s="230">
        <v>2440150</v>
      </c>
      <c r="AX91" s="230">
        <v>4226325</v>
      </c>
      <c r="AY91" s="229">
        <v>1.732</v>
      </c>
      <c r="AZ91" s="230">
        <v>6068925</v>
      </c>
      <c r="BA91" s="230">
        <v>749250</v>
      </c>
      <c r="BB91" s="230">
        <v>5319675</v>
      </c>
      <c r="BC91" s="229">
        <v>7.1</v>
      </c>
      <c r="BD91" s="230">
        <v>21275</v>
      </c>
      <c r="BE91" s="230">
        <v>32375</v>
      </c>
      <c r="BF91" s="230">
        <v>-11100</v>
      </c>
      <c r="BG91" s="229">
        <v>-0.34289999999999998</v>
      </c>
      <c r="BH91" s="230">
        <v>8400850</v>
      </c>
      <c r="BI91" s="230">
        <v>8781950</v>
      </c>
      <c r="BJ91" s="230">
        <v>-381100</v>
      </c>
      <c r="BK91" s="229">
        <v>-4.3400000000000001E-2</v>
      </c>
      <c r="BL91" s="230">
        <v>4276275</v>
      </c>
      <c r="BM91" s="230">
        <v>5298400</v>
      </c>
      <c r="BN91" s="230">
        <v>-1022125</v>
      </c>
      <c r="BO91" s="229">
        <v>-0.19289999999999999</v>
      </c>
      <c r="BP91" s="230">
        <v>25433800</v>
      </c>
      <c r="BQ91" s="230">
        <v>17302125</v>
      </c>
      <c r="BR91" s="230">
        <v>8131675</v>
      </c>
      <c r="BS91" s="229">
        <v>0.47</v>
      </c>
      <c r="BT91" s="230">
        <v>1165969</v>
      </c>
      <c r="BU91" s="230">
        <v>1557296</v>
      </c>
      <c r="BV91" s="230">
        <v>-391327</v>
      </c>
      <c r="BW91" s="229">
        <v>-0.25130000000000002</v>
      </c>
      <c r="BX91" s="230">
        <v>21651475</v>
      </c>
      <c r="BY91" s="230">
        <v>21470175</v>
      </c>
      <c r="BZ91" s="230">
        <v>181300</v>
      </c>
      <c r="CA91" s="229">
        <v>8.3999999999999995E-3</v>
      </c>
      <c r="CB91" s="230">
        <v>14821275</v>
      </c>
      <c r="CC91" s="230">
        <v>19924500</v>
      </c>
      <c r="CD91" s="230">
        <v>-5103225</v>
      </c>
      <c r="CE91" s="229">
        <v>-0.25609999999999999</v>
      </c>
      <c r="CF91" s="230">
        <v>6734000</v>
      </c>
      <c r="CG91" s="230">
        <v>1463350</v>
      </c>
      <c r="CH91" s="230">
        <v>5270650</v>
      </c>
      <c r="CI91" s="229">
        <v>3.6017999999999999</v>
      </c>
      <c r="CJ91" s="230">
        <v>96200</v>
      </c>
      <c r="CK91" s="230">
        <v>82325</v>
      </c>
      <c r="CL91" s="230">
        <v>13875</v>
      </c>
      <c r="CM91" s="229">
        <v>0.16850000000000001</v>
      </c>
      <c r="CN91" s="230">
        <v>7560950</v>
      </c>
      <c r="CO91" s="230">
        <v>7837525</v>
      </c>
      <c r="CP91" s="230">
        <v>-276575</v>
      </c>
      <c r="CQ91" s="229">
        <v>-3.5299999999999998E-2</v>
      </c>
      <c r="CR91" s="230">
        <v>5099525</v>
      </c>
      <c r="CS91" s="230">
        <v>4903425</v>
      </c>
      <c r="CT91" s="230">
        <v>196100</v>
      </c>
      <c r="CU91" s="229">
        <v>0.04</v>
      </c>
      <c r="CV91" s="230">
        <v>34311950</v>
      </c>
      <c r="CW91" s="230">
        <v>34211125</v>
      </c>
      <c r="CX91" s="230">
        <v>100825</v>
      </c>
      <c r="CY91" s="229">
        <v>2.8999999999999998E-3</v>
      </c>
      <c r="CZ91" s="228">
        <v>30.24</v>
      </c>
      <c r="DA91" s="228">
        <v>31.29</v>
      </c>
      <c r="DB91" s="228">
        <v>-1.05</v>
      </c>
      <c r="DC91" s="228">
        <v>-1.05</v>
      </c>
      <c r="DD91" s="228">
        <v>28.85</v>
      </c>
      <c r="DE91" s="228">
        <v>28.9</v>
      </c>
      <c r="DF91" s="228">
        <v>1.39</v>
      </c>
      <c r="DG91" s="228">
        <v>-0.05</v>
      </c>
      <c r="DH91" s="228">
        <v>30.06</v>
      </c>
      <c r="DI91" s="228">
        <v>32.11</v>
      </c>
      <c r="DJ91" s="228">
        <v>-2.0499999999999998</v>
      </c>
      <c r="DK91" s="228">
        <v>-2.0499999999999998</v>
      </c>
      <c r="DL91" s="228">
        <v>30.76</v>
      </c>
      <c r="DM91" s="228">
        <v>29.95</v>
      </c>
      <c r="DN91" s="228">
        <v>0.81</v>
      </c>
      <c r="DO91" s="228">
        <v>0.81</v>
      </c>
      <c r="DP91" s="228">
        <v>0.67</v>
      </c>
      <c r="DQ91" s="228">
        <v>0.63</v>
      </c>
      <c r="DR91" s="228">
        <v>0.04</v>
      </c>
      <c r="DS91" s="229">
        <v>6.3500000000000001E-2</v>
      </c>
      <c r="DT91" s="228">
        <v>600</v>
      </c>
      <c r="DU91" s="228">
        <v>550</v>
      </c>
      <c r="DV91" s="228">
        <v>0.51</v>
      </c>
      <c r="DW91" s="228">
        <v>0.6</v>
      </c>
      <c r="DX91" s="228">
        <v>-0.09</v>
      </c>
      <c r="DY91" s="229">
        <v>-0.15</v>
      </c>
      <c r="DZ91" s="229">
        <v>0.3155</v>
      </c>
      <c r="EA91" s="230">
        <v>1545675</v>
      </c>
      <c r="EB91" s="229">
        <v>6.1000000000000004E-3</v>
      </c>
      <c r="EC91" s="229">
        <v>0.3155</v>
      </c>
      <c r="ED91" s="228">
        <v>3.02</v>
      </c>
      <c r="EE91" s="229">
        <v>5.7000000000000002E-3</v>
      </c>
      <c r="EF91" s="230">
        <v>518986</v>
      </c>
      <c r="EG91" s="230">
        <v>756869</v>
      </c>
      <c r="EH91" s="229">
        <v>-0.31430000000000002</v>
      </c>
      <c r="EI91" s="229">
        <v>0.4451</v>
      </c>
      <c r="EJ91" s="231">
        <v>47040.25</v>
      </c>
      <c r="EK91" s="231">
        <v>22996.33</v>
      </c>
      <c r="EL91" s="231">
        <v>68337.81</v>
      </c>
      <c r="EM91" s="231">
        <v>3548</v>
      </c>
      <c r="EN91" s="231">
        <v>138374.39000000001</v>
      </c>
      <c r="EO91" s="231">
        <v>96369.97</v>
      </c>
      <c r="EP91" s="231">
        <v>42004.42</v>
      </c>
      <c r="EQ91" s="229">
        <v>0.43590000000000001</v>
      </c>
      <c r="ER91" s="231">
        <v>43462</v>
      </c>
      <c r="ES91" s="231">
        <v>27159</v>
      </c>
      <c r="ET91" s="231">
        <v>115972</v>
      </c>
      <c r="EU91" s="231">
        <v>58892926</v>
      </c>
      <c r="EV91" s="231">
        <v>186593</v>
      </c>
      <c r="EW91" s="231">
        <v>187299</v>
      </c>
      <c r="EX91" s="228">
        <v>-706</v>
      </c>
      <c r="EY91" s="229">
        <v>-3.8E-3</v>
      </c>
      <c r="EZ91" s="229">
        <v>0.58260000000000001</v>
      </c>
      <c r="FA91" s="227" t="s">
        <v>566</v>
      </c>
      <c r="FB91" s="161">
        <f t="shared" si="1"/>
        <v>6830200</v>
      </c>
    </row>
    <row r="92" spans="1:158" ht="17.25" thickBot="1" x14ac:dyDescent="0.3">
      <c r="A92" s="226">
        <v>46135</v>
      </c>
      <c r="B92" s="227" t="s">
        <v>188</v>
      </c>
      <c r="C92" s="227" t="s">
        <v>234</v>
      </c>
      <c r="D92" s="228">
        <v>71475</v>
      </c>
      <c r="E92" s="228">
        <v>9.57</v>
      </c>
      <c r="F92" s="228">
        <v>9.5299999999999994</v>
      </c>
      <c r="G92" s="228">
        <v>0.04</v>
      </c>
      <c r="H92" s="229">
        <v>4.1999999999999997E-3</v>
      </c>
      <c r="I92" s="228">
        <v>9.58</v>
      </c>
      <c r="J92" s="228">
        <v>9.5399999999999991</v>
      </c>
      <c r="K92" s="228">
        <v>0.04</v>
      </c>
      <c r="L92" s="229">
        <v>4.1999999999999997E-3</v>
      </c>
      <c r="M92" s="228">
        <v>9.57</v>
      </c>
      <c r="N92" s="228">
        <v>9.5299999999999994</v>
      </c>
      <c r="O92" s="228">
        <v>0.04</v>
      </c>
      <c r="P92" s="229">
        <v>4.1999999999999997E-3</v>
      </c>
      <c r="Q92" s="228">
        <v>9.6300000000000008</v>
      </c>
      <c r="R92" s="228">
        <v>9.59</v>
      </c>
      <c r="S92" s="228">
        <v>0.04</v>
      </c>
      <c r="T92" s="229">
        <v>4.1999999999999997E-3</v>
      </c>
      <c r="U92" s="228">
        <v>9.67</v>
      </c>
      <c r="V92" s="228">
        <v>9.65</v>
      </c>
      <c r="W92" s="228">
        <v>0.02</v>
      </c>
      <c r="X92" s="229">
        <v>2.0999999999999999E-3</v>
      </c>
      <c r="Y92" s="228">
        <v>-0.01</v>
      </c>
      <c r="Z92" s="228">
        <v>-0.01</v>
      </c>
      <c r="AA92" s="228">
        <v>0</v>
      </c>
      <c r="AB92" s="229">
        <v>-1E-3</v>
      </c>
      <c r="AC92" s="228">
        <v>-0.01</v>
      </c>
      <c r="AD92" s="228">
        <v>-0.01</v>
      </c>
      <c r="AE92" s="228">
        <v>0</v>
      </c>
      <c r="AF92" s="229">
        <v>-1E-3</v>
      </c>
      <c r="AG92" s="228">
        <v>0.05</v>
      </c>
      <c r="AH92" s="228">
        <v>0.05</v>
      </c>
      <c r="AI92" s="228">
        <v>0</v>
      </c>
      <c r="AJ92" s="229">
        <v>5.1999999999999998E-3</v>
      </c>
      <c r="AK92" s="228">
        <v>0.09</v>
      </c>
      <c r="AL92" s="228">
        <v>0.11</v>
      </c>
      <c r="AM92" s="228">
        <v>-0.02</v>
      </c>
      <c r="AN92" s="229">
        <v>9.4000000000000004E-3</v>
      </c>
      <c r="AO92" s="228">
        <v>9.52</v>
      </c>
      <c r="AP92" s="228">
        <v>9.58</v>
      </c>
      <c r="AQ92" s="228">
        <v>0</v>
      </c>
      <c r="AR92" s="230">
        <v>2115517050</v>
      </c>
      <c r="AS92" s="230">
        <v>1876290225</v>
      </c>
      <c r="AT92" s="230">
        <v>239226825</v>
      </c>
      <c r="AU92" s="229">
        <v>0.1275</v>
      </c>
      <c r="AV92" s="230">
        <v>1101715650</v>
      </c>
      <c r="AW92" s="230">
        <v>984139275</v>
      </c>
      <c r="AX92" s="230">
        <v>117576375</v>
      </c>
      <c r="AY92" s="229">
        <v>0.1195</v>
      </c>
      <c r="AZ92" s="230">
        <v>1004652600</v>
      </c>
      <c r="BA92" s="230">
        <v>881000850</v>
      </c>
      <c r="BB92" s="230">
        <v>123651750</v>
      </c>
      <c r="BC92" s="229">
        <v>0.1404</v>
      </c>
      <c r="BD92" s="230">
        <v>9148800</v>
      </c>
      <c r="BE92" s="230">
        <v>11150100</v>
      </c>
      <c r="BF92" s="230">
        <v>-2001300</v>
      </c>
      <c r="BG92" s="229">
        <v>-0.17949999999999999</v>
      </c>
      <c r="BH92" s="230">
        <v>651994950</v>
      </c>
      <c r="BI92" s="230">
        <v>756062550</v>
      </c>
      <c r="BJ92" s="230">
        <v>-104067600</v>
      </c>
      <c r="BK92" s="229">
        <v>-0.1376</v>
      </c>
      <c r="BL92" s="230">
        <v>233580300</v>
      </c>
      <c r="BM92" s="230">
        <v>227719350</v>
      </c>
      <c r="BN92" s="230">
        <v>5860950</v>
      </c>
      <c r="BO92" s="229">
        <v>2.5700000000000001E-2</v>
      </c>
      <c r="BP92" s="230">
        <v>3001092300</v>
      </c>
      <c r="BQ92" s="230">
        <v>2860072125</v>
      </c>
      <c r="BR92" s="230">
        <v>141020175</v>
      </c>
      <c r="BS92" s="229">
        <v>4.9299999999999997E-2</v>
      </c>
      <c r="BT92" s="230">
        <v>391361864</v>
      </c>
      <c r="BU92" s="230">
        <v>372867471</v>
      </c>
      <c r="BV92" s="230">
        <v>18494393</v>
      </c>
      <c r="BW92" s="229">
        <v>4.9599999999999998E-2</v>
      </c>
      <c r="BX92" s="230">
        <v>6628662975</v>
      </c>
      <c r="BY92" s="230">
        <v>6641671425</v>
      </c>
      <c r="BZ92" s="230">
        <v>-13008450</v>
      </c>
      <c r="CA92" s="229">
        <v>-2E-3</v>
      </c>
      <c r="CB92" s="230">
        <v>3827986575</v>
      </c>
      <c r="CC92" s="230">
        <v>4646804175</v>
      </c>
      <c r="CD92" s="230">
        <v>-818817600</v>
      </c>
      <c r="CE92" s="229">
        <v>-0.1762</v>
      </c>
      <c r="CF92" s="230">
        <v>2732346300</v>
      </c>
      <c r="CG92" s="230">
        <v>1931183025</v>
      </c>
      <c r="CH92" s="230">
        <v>801163275</v>
      </c>
      <c r="CI92" s="229">
        <v>0.41489999999999999</v>
      </c>
      <c r="CJ92" s="230">
        <v>68330100</v>
      </c>
      <c r="CK92" s="230">
        <v>63684225</v>
      </c>
      <c r="CL92" s="230">
        <v>4645875</v>
      </c>
      <c r="CM92" s="229">
        <v>7.2999999999999995E-2</v>
      </c>
      <c r="CN92" s="230">
        <v>1502547450</v>
      </c>
      <c r="CO92" s="230">
        <v>1497973050</v>
      </c>
      <c r="CP92" s="230">
        <v>4574400</v>
      </c>
      <c r="CQ92" s="229">
        <v>3.0999999999999999E-3</v>
      </c>
      <c r="CR92" s="230">
        <v>737693475</v>
      </c>
      <c r="CS92" s="230">
        <v>750916350</v>
      </c>
      <c r="CT92" s="230">
        <v>-13222875</v>
      </c>
      <c r="CU92" s="229">
        <v>-1.7600000000000001E-2</v>
      </c>
      <c r="CV92" s="230">
        <v>8868903900</v>
      </c>
      <c r="CW92" s="230">
        <v>8890560825</v>
      </c>
      <c r="CX92" s="230">
        <v>-21656925</v>
      </c>
      <c r="CY92" s="229">
        <v>-2.3999999999999998E-3</v>
      </c>
      <c r="CZ92" s="228">
        <v>52.25</v>
      </c>
      <c r="DA92" s="228">
        <v>50.18</v>
      </c>
      <c r="DB92" s="228">
        <v>2.0699999999999998</v>
      </c>
      <c r="DC92" s="228">
        <v>2.0699999999999998</v>
      </c>
      <c r="DD92" s="228">
        <v>64.06</v>
      </c>
      <c r="DE92" s="228">
        <v>64.22</v>
      </c>
      <c r="DF92" s="228">
        <v>-11.81</v>
      </c>
      <c r="DG92" s="228">
        <v>-0.16</v>
      </c>
      <c r="DH92" s="228">
        <v>52.95</v>
      </c>
      <c r="DI92" s="228">
        <v>50.07</v>
      </c>
      <c r="DJ92" s="228">
        <v>2.88</v>
      </c>
      <c r="DK92" s="228">
        <v>2.88</v>
      </c>
      <c r="DL92" s="228">
        <v>49.49</v>
      </c>
      <c r="DM92" s="228">
        <v>50.53</v>
      </c>
      <c r="DN92" s="228">
        <v>-1.04</v>
      </c>
      <c r="DO92" s="228">
        <v>-1.04</v>
      </c>
      <c r="DP92" s="228">
        <v>0.49</v>
      </c>
      <c r="DQ92" s="228">
        <v>0.5</v>
      </c>
      <c r="DR92" s="228">
        <v>-0.01</v>
      </c>
      <c r="DS92" s="229">
        <v>-0.02</v>
      </c>
      <c r="DT92" s="228">
        <v>10</v>
      </c>
      <c r="DU92" s="228">
        <v>9</v>
      </c>
      <c r="DV92" s="228">
        <v>0.36</v>
      </c>
      <c r="DW92" s="228">
        <v>0.3</v>
      </c>
      <c r="DX92" s="228">
        <v>0.06</v>
      </c>
      <c r="DY92" s="229">
        <v>0.2</v>
      </c>
      <c r="DZ92" s="229">
        <v>0.42249999999999999</v>
      </c>
      <c r="EA92" s="230">
        <v>1994867250</v>
      </c>
      <c r="EB92" s="229">
        <v>6.3E-3</v>
      </c>
      <c r="EC92" s="229">
        <v>0.42249999999999999</v>
      </c>
      <c r="ED92" s="228">
        <v>0.06</v>
      </c>
      <c r="EE92" s="229">
        <v>6.3E-3</v>
      </c>
      <c r="EF92" s="230">
        <v>108793537</v>
      </c>
      <c r="EG92" s="230">
        <v>117051917</v>
      </c>
      <c r="EH92" s="229">
        <v>-7.0599999999999996E-2</v>
      </c>
      <c r="EI92" s="229">
        <v>0.27800000000000002</v>
      </c>
      <c r="EJ92" s="231">
        <v>68539.490000000005</v>
      </c>
      <c r="EK92" s="231">
        <v>22622.22</v>
      </c>
      <c r="EL92" s="231">
        <v>202065.28</v>
      </c>
      <c r="EM92" s="231">
        <v>13624</v>
      </c>
      <c r="EN92" s="231">
        <v>293226.99</v>
      </c>
      <c r="EO92" s="231">
        <v>281243.05</v>
      </c>
      <c r="EP92" s="231">
        <v>11983.94</v>
      </c>
      <c r="EQ92" s="229">
        <v>4.2599999999999999E-2</v>
      </c>
      <c r="ER92" s="231">
        <v>162621</v>
      </c>
      <c r="ES92" s="231">
        <v>68011</v>
      </c>
      <c r="ET92" s="231">
        <v>636071</v>
      </c>
      <c r="EU92" s="231">
        <v>12096038468</v>
      </c>
      <c r="EV92" s="231">
        <v>866703</v>
      </c>
      <c r="EW92" s="231">
        <v>865201</v>
      </c>
      <c r="EX92" s="231">
        <v>1502</v>
      </c>
      <c r="EY92" s="229">
        <v>1.6999999999999999E-3</v>
      </c>
      <c r="EZ92" s="229">
        <v>0.73319999999999996</v>
      </c>
      <c r="FA92" s="227" t="s">
        <v>693</v>
      </c>
      <c r="FB92" s="161">
        <f t="shared" si="1"/>
        <v>2800676400</v>
      </c>
    </row>
    <row r="93" spans="1:158" ht="17.25" thickBot="1" x14ac:dyDescent="0.3">
      <c r="A93" s="226">
        <v>46135</v>
      </c>
      <c r="B93" s="227" t="s">
        <v>172</v>
      </c>
      <c r="C93" s="227" t="s">
        <v>235</v>
      </c>
      <c r="D93" s="228">
        <v>9275</v>
      </c>
      <c r="E93" s="228">
        <v>67.72</v>
      </c>
      <c r="F93" s="228">
        <v>68.42</v>
      </c>
      <c r="G93" s="228">
        <v>-0.7</v>
      </c>
      <c r="H93" s="229">
        <v>-1.0200000000000001E-2</v>
      </c>
      <c r="I93" s="228">
        <v>67.83</v>
      </c>
      <c r="J93" s="228">
        <v>68.38</v>
      </c>
      <c r="K93" s="228">
        <v>-0.55000000000000004</v>
      </c>
      <c r="L93" s="229">
        <v>-8.0000000000000002E-3</v>
      </c>
      <c r="M93" s="228">
        <v>67.72</v>
      </c>
      <c r="N93" s="228">
        <v>68.42</v>
      </c>
      <c r="O93" s="228">
        <v>-0.7</v>
      </c>
      <c r="P93" s="229">
        <v>-1.0200000000000001E-2</v>
      </c>
      <c r="Q93" s="228">
        <v>68.05</v>
      </c>
      <c r="R93" s="228">
        <v>68.819999999999993</v>
      </c>
      <c r="S93" s="228">
        <v>-0.77</v>
      </c>
      <c r="T93" s="229">
        <v>-1.12E-2</v>
      </c>
      <c r="U93" s="228">
        <v>68.44</v>
      </c>
      <c r="V93" s="228">
        <v>69.25</v>
      </c>
      <c r="W93" s="228">
        <v>-0.81</v>
      </c>
      <c r="X93" s="229">
        <v>-1.17E-2</v>
      </c>
      <c r="Y93" s="228">
        <v>-0.11</v>
      </c>
      <c r="Z93" s="228">
        <v>0.04</v>
      </c>
      <c r="AA93" s="228">
        <v>-0.15</v>
      </c>
      <c r="AB93" s="229">
        <v>-1.6000000000000001E-3</v>
      </c>
      <c r="AC93" s="228">
        <v>-0.11</v>
      </c>
      <c r="AD93" s="228">
        <v>0.04</v>
      </c>
      <c r="AE93" s="228">
        <v>-0.15</v>
      </c>
      <c r="AF93" s="229">
        <v>-1.6000000000000001E-3</v>
      </c>
      <c r="AG93" s="228">
        <v>0.22</v>
      </c>
      <c r="AH93" s="228">
        <v>0.44</v>
      </c>
      <c r="AI93" s="228">
        <v>-0.22</v>
      </c>
      <c r="AJ93" s="229">
        <v>3.2000000000000002E-3</v>
      </c>
      <c r="AK93" s="228">
        <v>0.61</v>
      </c>
      <c r="AL93" s="228">
        <v>0.87</v>
      </c>
      <c r="AM93" s="228">
        <v>-0.26</v>
      </c>
      <c r="AN93" s="229">
        <v>8.9999999999999993E-3</v>
      </c>
      <c r="AO93" s="228">
        <v>67.83</v>
      </c>
      <c r="AP93" s="228">
        <v>68.150000000000006</v>
      </c>
      <c r="AQ93" s="228">
        <v>0</v>
      </c>
      <c r="AR93" s="230">
        <v>213158050</v>
      </c>
      <c r="AS93" s="230">
        <v>70508550</v>
      </c>
      <c r="AT93" s="230">
        <v>142649500</v>
      </c>
      <c r="AU93" s="229">
        <v>2.0232000000000001</v>
      </c>
      <c r="AV93" s="230">
        <v>108480400</v>
      </c>
      <c r="AW93" s="230">
        <v>39251800</v>
      </c>
      <c r="AX93" s="230">
        <v>69228600</v>
      </c>
      <c r="AY93" s="229">
        <v>1.7637</v>
      </c>
      <c r="AZ93" s="230">
        <v>102488750</v>
      </c>
      <c r="BA93" s="230">
        <v>29948975</v>
      </c>
      <c r="BB93" s="230">
        <v>72539775</v>
      </c>
      <c r="BC93" s="229">
        <v>2.4220999999999999</v>
      </c>
      <c r="BD93" s="230">
        <v>2188900</v>
      </c>
      <c r="BE93" s="230">
        <v>1307775</v>
      </c>
      <c r="BF93" s="230">
        <v>881125</v>
      </c>
      <c r="BG93" s="229">
        <v>0.67379999999999995</v>
      </c>
      <c r="BH93" s="230">
        <v>63524475</v>
      </c>
      <c r="BI93" s="230">
        <v>57505000</v>
      </c>
      <c r="BJ93" s="230">
        <v>6019475</v>
      </c>
      <c r="BK93" s="229">
        <v>0.1047</v>
      </c>
      <c r="BL93" s="230">
        <v>56642425</v>
      </c>
      <c r="BM93" s="230">
        <v>63496650</v>
      </c>
      <c r="BN93" s="230">
        <v>-6854225</v>
      </c>
      <c r="BO93" s="229">
        <v>-0.1079</v>
      </c>
      <c r="BP93" s="230">
        <v>333324950</v>
      </c>
      <c r="BQ93" s="230">
        <v>191510200</v>
      </c>
      <c r="BR93" s="230">
        <v>141814750</v>
      </c>
      <c r="BS93" s="229">
        <v>0.74050000000000005</v>
      </c>
      <c r="BT93" s="230">
        <v>21369757</v>
      </c>
      <c r="BU93" s="230">
        <v>16570628</v>
      </c>
      <c r="BV93" s="230">
        <v>4799129</v>
      </c>
      <c r="BW93" s="229">
        <v>0.28960000000000002</v>
      </c>
      <c r="BX93" s="230">
        <v>402841075</v>
      </c>
      <c r="BY93" s="230">
        <v>408656500</v>
      </c>
      <c r="BZ93" s="230">
        <v>-5815425</v>
      </c>
      <c r="CA93" s="229">
        <v>-1.4200000000000001E-2</v>
      </c>
      <c r="CB93" s="230">
        <v>192437700</v>
      </c>
      <c r="CC93" s="230">
        <v>276079650</v>
      </c>
      <c r="CD93" s="230">
        <v>-83641950</v>
      </c>
      <c r="CE93" s="229">
        <v>-0.30299999999999999</v>
      </c>
      <c r="CF93" s="230">
        <v>181233500</v>
      </c>
      <c r="CG93" s="230">
        <v>104816775</v>
      </c>
      <c r="CH93" s="230">
        <v>76416725</v>
      </c>
      <c r="CI93" s="229">
        <v>0.72909999999999997</v>
      </c>
      <c r="CJ93" s="230">
        <v>29169875</v>
      </c>
      <c r="CK93" s="230">
        <v>27760075</v>
      </c>
      <c r="CL93" s="230">
        <v>1409800</v>
      </c>
      <c r="CM93" s="229">
        <v>5.0799999999999998E-2</v>
      </c>
      <c r="CN93" s="230">
        <v>128097025</v>
      </c>
      <c r="CO93" s="230">
        <v>125908125</v>
      </c>
      <c r="CP93" s="230">
        <v>2188900</v>
      </c>
      <c r="CQ93" s="229">
        <v>1.7399999999999999E-2</v>
      </c>
      <c r="CR93" s="230">
        <v>117959450</v>
      </c>
      <c r="CS93" s="230">
        <v>120259650</v>
      </c>
      <c r="CT93" s="230">
        <v>-2300200</v>
      </c>
      <c r="CU93" s="229">
        <v>-1.9099999999999999E-2</v>
      </c>
      <c r="CV93" s="230">
        <v>648897550</v>
      </c>
      <c r="CW93" s="230">
        <v>654824275</v>
      </c>
      <c r="CX93" s="230">
        <v>-5926725</v>
      </c>
      <c r="CY93" s="229">
        <v>-9.1000000000000004E-3</v>
      </c>
      <c r="CZ93" s="228">
        <v>37.97</v>
      </c>
      <c r="DA93" s="228">
        <v>46.48</v>
      </c>
      <c r="DB93" s="228">
        <v>-8.51</v>
      </c>
      <c r="DC93" s="228">
        <v>-8.51</v>
      </c>
      <c r="DD93" s="228">
        <v>41.25</v>
      </c>
      <c r="DE93" s="228">
        <v>41.33</v>
      </c>
      <c r="DF93" s="228">
        <v>-3.28</v>
      </c>
      <c r="DG93" s="228">
        <v>-0.08</v>
      </c>
      <c r="DH93" s="228">
        <v>38.01</v>
      </c>
      <c r="DI93" s="228">
        <v>44.08</v>
      </c>
      <c r="DJ93" s="228">
        <v>-6.07</v>
      </c>
      <c r="DK93" s="228">
        <v>-6.07</v>
      </c>
      <c r="DL93" s="228">
        <v>37.93</v>
      </c>
      <c r="DM93" s="228">
        <v>48.65</v>
      </c>
      <c r="DN93" s="228">
        <v>-10.72</v>
      </c>
      <c r="DO93" s="228">
        <v>-10.72</v>
      </c>
      <c r="DP93" s="228">
        <v>0.92</v>
      </c>
      <c r="DQ93" s="228">
        <v>0.96</v>
      </c>
      <c r="DR93" s="228">
        <v>-0.04</v>
      </c>
      <c r="DS93" s="229">
        <v>-4.1700000000000001E-2</v>
      </c>
      <c r="DT93" s="228">
        <v>65</v>
      </c>
      <c r="DU93" s="228">
        <v>60</v>
      </c>
      <c r="DV93" s="228">
        <v>0.89</v>
      </c>
      <c r="DW93" s="228">
        <v>1.1000000000000001</v>
      </c>
      <c r="DX93" s="228">
        <v>-0.21</v>
      </c>
      <c r="DY93" s="229">
        <v>-0.19089999999999999</v>
      </c>
      <c r="DZ93" s="229">
        <v>0.52229999999999999</v>
      </c>
      <c r="EA93" s="230">
        <v>132576850</v>
      </c>
      <c r="EB93" s="229">
        <v>4.8999999999999998E-3</v>
      </c>
      <c r="EC93" s="229">
        <v>0.52229999999999999</v>
      </c>
      <c r="ED93" s="228">
        <v>0.32</v>
      </c>
      <c r="EE93" s="229">
        <v>4.7000000000000002E-3</v>
      </c>
      <c r="EF93" s="230">
        <v>10111669</v>
      </c>
      <c r="EG93" s="230">
        <v>7701304</v>
      </c>
      <c r="EH93" s="229">
        <v>0.313</v>
      </c>
      <c r="EI93" s="229">
        <v>0.47320000000000001</v>
      </c>
      <c r="EJ93" s="231">
        <v>45573.65</v>
      </c>
      <c r="EK93" s="231">
        <v>37743.760000000002</v>
      </c>
      <c r="EL93" s="231">
        <v>144924.51</v>
      </c>
      <c r="EM93" s="231">
        <v>7779</v>
      </c>
      <c r="EN93" s="231">
        <v>228241.92000000001</v>
      </c>
      <c r="EO93" s="231">
        <v>131438.93</v>
      </c>
      <c r="EP93" s="231">
        <v>96802.99</v>
      </c>
      <c r="EQ93" s="229">
        <v>0.73650000000000004</v>
      </c>
      <c r="ER93" s="231">
        <v>88673</v>
      </c>
      <c r="ES93" s="231">
        <v>76488</v>
      </c>
      <c r="ET93" s="231">
        <v>273612</v>
      </c>
      <c r="EU93" s="231">
        <v>1101871266</v>
      </c>
      <c r="EV93" s="231">
        <v>438773</v>
      </c>
      <c r="EW93" s="231">
        <v>445089</v>
      </c>
      <c r="EX93" s="231">
        <v>-6316</v>
      </c>
      <c r="EY93" s="229">
        <v>-1.4200000000000001E-2</v>
      </c>
      <c r="EZ93" s="229">
        <v>0.58889999999999998</v>
      </c>
      <c r="FA93" s="227" t="s">
        <v>567</v>
      </c>
      <c r="FB93" s="161">
        <f t="shared" si="1"/>
        <v>210403375</v>
      </c>
    </row>
    <row r="94" spans="1:158" ht="17.25" thickBot="1" x14ac:dyDescent="0.3">
      <c r="A94" s="226">
        <v>46135</v>
      </c>
      <c r="B94" s="227" t="s">
        <v>161</v>
      </c>
      <c r="C94" s="227" t="s">
        <v>514</v>
      </c>
      <c r="D94" s="228">
        <v>3750</v>
      </c>
      <c r="E94" s="228">
        <v>127.48</v>
      </c>
      <c r="F94" s="228">
        <v>125.97</v>
      </c>
      <c r="G94" s="228">
        <v>1.51</v>
      </c>
      <c r="H94" s="229">
        <v>1.2E-2</v>
      </c>
      <c r="I94" s="228">
        <v>126.92</v>
      </c>
      <c r="J94" s="228">
        <v>125.78</v>
      </c>
      <c r="K94" s="228">
        <v>1.1399999999999999</v>
      </c>
      <c r="L94" s="229">
        <v>9.1000000000000004E-3</v>
      </c>
      <c r="M94" s="228">
        <v>127.48</v>
      </c>
      <c r="N94" s="228">
        <v>125.97</v>
      </c>
      <c r="O94" s="228">
        <v>1.51</v>
      </c>
      <c r="P94" s="229">
        <v>1.2E-2</v>
      </c>
      <c r="Q94" s="228">
        <v>126.77</v>
      </c>
      <c r="R94" s="228">
        <v>125.9</v>
      </c>
      <c r="S94" s="228">
        <v>0.87</v>
      </c>
      <c r="T94" s="229">
        <v>6.8999999999999999E-3</v>
      </c>
      <c r="U94" s="228">
        <v>126.92</v>
      </c>
      <c r="V94" s="228">
        <v>126</v>
      </c>
      <c r="W94" s="228">
        <v>0.92</v>
      </c>
      <c r="X94" s="229">
        <v>7.3000000000000001E-3</v>
      </c>
      <c r="Y94" s="228">
        <v>0.56000000000000005</v>
      </c>
      <c r="Z94" s="228">
        <v>0.19</v>
      </c>
      <c r="AA94" s="228">
        <v>0.37</v>
      </c>
      <c r="AB94" s="229">
        <v>4.4000000000000003E-3</v>
      </c>
      <c r="AC94" s="228">
        <v>0.56000000000000005</v>
      </c>
      <c r="AD94" s="228">
        <v>0.19</v>
      </c>
      <c r="AE94" s="228">
        <v>0.37</v>
      </c>
      <c r="AF94" s="229">
        <v>4.4000000000000003E-3</v>
      </c>
      <c r="AG94" s="228">
        <v>-0.15</v>
      </c>
      <c r="AH94" s="228">
        <v>0.12</v>
      </c>
      <c r="AI94" s="228">
        <v>-0.27</v>
      </c>
      <c r="AJ94" s="229">
        <v>-1.1999999999999999E-3</v>
      </c>
      <c r="AK94" s="228">
        <v>0</v>
      </c>
      <c r="AL94" s="228">
        <v>0.22</v>
      </c>
      <c r="AM94" s="228">
        <v>-0.22</v>
      </c>
      <c r="AN94" s="229">
        <v>0</v>
      </c>
      <c r="AO94" s="228">
        <v>127.53</v>
      </c>
      <c r="AP94" s="228">
        <v>126.95</v>
      </c>
      <c r="AQ94" s="228">
        <v>0</v>
      </c>
      <c r="AR94" s="230">
        <v>42858750</v>
      </c>
      <c r="AS94" s="230">
        <v>11906250</v>
      </c>
      <c r="AT94" s="230">
        <v>30952500</v>
      </c>
      <c r="AU94" s="229">
        <v>2.5996999999999999</v>
      </c>
      <c r="AV94" s="230">
        <v>23073750</v>
      </c>
      <c r="AW94" s="230">
        <v>6487500</v>
      </c>
      <c r="AX94" s="230">
        <v>16586250</v>
      </c>
      <c r="AY94" s="229">
        <v>2.5566</v>
      </c>
      <c r="AZ94" s="230">
        <v>19072500</v>
      </c>
      <c r="BA94" s="230">
        <v>5126250</v>
      </c>
      <c r="BB94" s="230">
        <v>13946250</v>
      </c>
      <c r="BC94" s="229">
        <v>2.7206000000000001</v>
      </c>
      <c r="BD94" s="230">
        <v>712500</v>
      </c>
      <c r="BE94" s="230">
        <v>292500</v>
      </c>
      <c r="BF94" s="230">
        <v>420000</v>
      </c>
      <c r="BG94" s="229">
        <v>1.4359</v>
      </c>
      <c r="BH94" s="230">
        <v>124080000</v>
      </c>
      <c r="BI94" s="230">
        <v>37368750</v>
      </c>
      <c r="BJ94" s="230">
        <v>86711250</v>
      </c>
      <c r="BK94" s="229">
        <v>2.3203999999999998</v>
      </c>
      <c r="BL94" s="230">
        <v>57663750</v>
      </c>
      <c r="BM94" s="230">
        <v>24386250</v>
      </c>
      <c r="BN94" s="230">
        <v>33277500</v>
      </c>
      <c r="BO94" s="229">
        <v>1.3646</v>
      </c>
      <c r="BP94" s="230">
        <v>224602500</v>
      </c>
      <c r="BQ94" s="230">
        <v>73661250</v>
      </c>
      <c r="BR94" s="230">
        <v>150941250</v>
      </c>
      <c r="BS94" s="229">
        <v>2.0491000000000001</v>
      </c>
      <c r="BT94" s="230">
        <v>13611075</v>
      </c>
      <c r="BU94" s="230">
        <v>5574668</v>
      </c>
      <c r="BV94" s="230">
        <v>8036407</v>
      </c>
      <c r="BW94" s="229">
        <v>1.4416</v>
      </c>
      <c r="BX94" s="230">
        <v>75090000</v>
      </c>
      <c r="BY94" s="230">
        <v>83628750</v>
      </c>
      <c r="BZ94" s="230">
        <v>-8538750</v>
      </c>
      <c r="CA94" s="229">
        <v>-0.1021</v>
      </c>
      <c r="CB94" s="230">
        <v>48720000</v>
      </c>
      <c r="CC94" s="230">
        <v>62422500</v>
      </c>
      <c r="CD94" s="230">
        <v>-13702500</v>
      </c>
      <c r="CE94" s="229">
        <v>-0.2195</v>
      </c>
      <c r="CF94" s="230">
        <v>23868750</v>
      </c>
      <c r="CG94" s="230">
        <v>18765000</v>
      </c>
      <c r="CH94" s="230">
        <v>5103750</v>
      </c>
      <c r="CI94" s="229">
        <v>0.27200000000000002</v>
      </c>
      <c r="CJ94" s="230">
        <v>2501250</v>
      </c>
      <c r="CK94" s="230">
        <v>2441250</v>
      </c>
      <c r="CL94" s="230">
        <v>60000</v>
      </c>
      <c r="CM94" s="229">
        <v>2.46E-2</v>
      </c>
      <c r="CN94" s="230">
        <v>60686250</v>
      </c>
      <c r="CO94" s="230">
        <v>54840000</v>
      </c>
      <c r="CP94" s="230">
        <v>5846250</v>
      </c>
      <c r="CQ94" s="229">
        <v>0.1066</v>
      </c>
      <c r="CR94" s="230">
        <v>45975000</v>
      </c>
      <c r="CS94" s="230">
        <v>40485000</v>
      </c>
      <c r="CT94" s="230">
        <v>5490000</v>
      </c>
      <c r="CU94" s="229">
        <v>0.1356</v>
      </c>
      <c r="CV94" s="230">
        <v>181751250</v>
      </c>
      <c r="CW94" s="230">
        <v>178953750</v>
      </c>
      <c r="CX94" s="230">
        <v>2797500</v>
      </c>
      <c r="CY94" s="229">
        <v>1.5599999999999999E-2</v>
      </c>
      <c r="CZ94" s="228">
        <v>41.92</v>
      </c>
      <c r="DA94" s="228">
        <v>47.42</v>
      </c>
      <c r="DB94" s="228">
        <v>-5.5</v>
      </c>
      <c r="DC94" s="228">
        <v>-5.5</v>
      </c>
      <c r="DD94" s="228">
        <v>52.37</v>
      </c>
      <c r="DE94" s="228">
        <v>52.48</v>
      </c>
      <c r="DF94" s="228">
        <v>-10.45</v>
      </c>
      <c r="DG94" s="228">
        <v>-0.11</v>
      </c>
      <c r="DH94" s="228">
        <v>41.64</v>
      </c>
      <c r="DI94" s="228">
        <v>46.07</v>
      </c>
      <c r="DJ94" s="228">
        <v>-4.43</v>
      </c>
      <c r="DK94" s="228">
        <v>-4.43</v>
      </c>
      <c r="DL94" s="228">
        <v>42.49</v>
      </c>
      <c r="DM94" s="228">
        <v>49.49</v>
      </c>
      <c r="DN94" s="228">
        <v>-7</v>
      </c>
      <c r="DO94" s="228">
        <v>-7</v>
      </c>
      <c r="DP94" s="228">
        <v>0.76</v>
      </c>
      <c r="DQ94" s="228">
        <v>0.74</v>
      </c>
      <c r="DR94" s="228">
        <v>0.02</v>
      </c>
      <c r="DS94" s="229">
        <v>2.7E-2</v>
      </c>
      <c r="DT94" s="228">
        <v>130</v>
      </c>
      <c r="DU94" s="228">
        <v>125</v>
      </c>
      <c r="DV94" s="228">
        <v>0.46</v>
      </c>
      <c r="DW94" s="228">
        <v>0.65</v>
      </c>
      <c r="DX94" s="228">
        <v>-0.19</v>
      </c>
      <c r="DY94" s="229">
        <v>-0.2923</v>
      </c>
      <c r="DZ94" s="229">
        <v>0.35120000000000001</v>
      </c>
      <c r="EA94" s="230">
        <v>21206250</v>
      </c>
      <c r="EB94" s="229">
        <v>-5.5999999999999999E-3</v>
      </c>
      <c r="EC94" s="229">
        <v>0.35120000000000001</v>
      </c>
      <c r="ED94" s="228">
        <v>-0.57999999999999996</v>
      </c>
      <c r="EE94" s="229">
        <v>-4.4999999999999997E-3</v>
      </c>
      <c r="EF94" s="230">
        <v>6006320</v>
      </c>
      <c r="EG94" s="230">
        <v>2437205</v>
      </c>
      <c r="EH94" s="229">
        <v>1.4643999999999999</v>
      </c>
      <c r="EI94" s="229">
        <v>0.44130000000000003</v>
      </c>
      <c r="EJ94" s="231">
        <v>166411.73000000001</v>
      </c>
      <c r="EK94" s="231">
        <v>73976.77</v>
      </c>
      <c r="EL94" s="231">
        <v>54542.57</v>
      </c>
      <c r="EM94" s="231">
        <v>4948</v>
      </c>
      <c r="EN94" s="231">
        <v>294931.07</v>
      </c>
      <c r="EO94" s="231">
        <v>95917.440000000002</v>
      </c>
      <c r="EP94" s="231">
        <v>199013.63</v>
      </c>
      <c r="EQ94" s="229">
        <v>2.0748000000000002</v>
      </c>
      <c r="ER94" s="231">
        <v>80526</v>
      </c>
      <c r="ES94" s="231">
        <v>57729</v>
      </c>
      <c r="ET94" s="231">
        <v>95541</v>
      </c>
      <c r="EU94" s="231">
        <v>133395043</v>
      </c>
      <c r="EV94" s="231">
        <v>233796</v>
      </c>
      <c r="EW94" s="231">
        <v>228526</v>
      </c>
      <c r="EX94" s="231">
        <v>5270</v>
      </c>
      <c r="EY94" s="229">
        <v>2.3099999999999999E-2</v>
      </c>
      <c r="EZ94" s="229">
        <v>1.3625</v>
      </c>
      <c r="FA94" s="227" t="s">
        <v>693</v>
      </c>
      <c r="FB94" s="161">
        <f t="shared" si="1"/>
        <v>26370000</v>
      </c>
    </row>
    <row r="95" spans="1:158" ht="17.25" thickBot="1" x14ac:dyDescent="0.3">
      <c r="A95" s="226">
        <v>46135</v>
      </c>
      <c r="B95" s="227" t="s">
        <v>206</v>
      </c>
      <c r="C95" s="227" t="s">
        <v>501</v>
      </c>
      <c r="D95" s="228">
        <v>1000</v>
      </c>
      <c r="E95" s="228">
        <v>639.15</v>
      </c>
      <c r="F95" s="228">
        <v>659.7</v>
      </c>
      <c r="G95" s="228">
        <v>-20.55</v>
      </c>
      <c r="H95" s="229">
        <v>-3.1199999999999999E-2</v>
      </c>
      <c r="I95" s="228">
        <v>639.45000000000005</v>
      </c>
      <c r="J95" s="228">
        <v>659.7</v>
      </c>
      <c r="K95" s="228">
        <v>-20.25</v>
      </c>
      <c r="L95" s="229">
        <v>-3.0700000000000002E-2</v>
      </c>
      <c r="M95" s="228">
        <v>639.15</v>
      </c>
      <c r="N95" s="228">
        <v>659.7</v>
      </c>
      <c r="O95" s="228">
        <v>-20.55</v>
      </c>
      <c r="P95" s="229">
        <v>-3.1199999999999999E-2</v>
      </c>
      <c r="Q95" s="228">
        <v>643</v>
      </c>
      <c r="R95" s="228">
        <v>663.85</v>
      </c>
      <c r="S95" s="228">
        <v>-20.85</v>
      </c>
      <c r="T95" s="229">
        <v>-3.1399999999999997E-2</v>
      </c>
      <c r="U95" s="228">
        <v>644.70000000000005</v>
      </c>
      <c r="V95" s="228">
        <v>666.25</v>
      </c>
      <c r="W95" s="228">
        <v>-21.55</v>
      </c>
      <c r="X95" s="229">
        <v>-3.2300000000000002E-2</v>
      </c>
      <c r="Y95" s="228">
        <v>-0.3</v>
      </c>
      <c r="Z95" s="228">
        <v>0</v>
      </c>
      <c r="AA95" s="228">
        <v>-0.3</v>
      </c>
      <c r="AB95" s="229">
        <v>-5.0000000000000001E-4</v>
      </c>
      <c r="AC95" s="228">
        <v>-0.3</v>
      </c>
      <c r="AD95" s="228">
        <v>0</v>
      </c>
      <c r="AE95" s="228">
        <v>-0.3</v>
      </c>
      <c r="AF95" s="229">
        <v>-5.0000000000000001E-4</v>
      </c>
      <c r="AG95" s="228">
        <v>3.55</v>
      </c>
      <c r="AH95" s="228">
        <v>4.1500000000000004</v>
      </c>
      <c r="AI95" s="228">
        <v>-0.6</v>
      </c>
      <c r="AJ95" s="229">
        <v>5.5999999999999999E-3</v>
      </c>
      <c r="AK95" s="228">
        <v>5.25</v>
      </c>
      <c r="AL95" s="228">
        <v>6.55</v>
      </c>
      <c r="AM95" s="228">
        <v>-1.3</v>
      </c>
      <c r="AN95" s="229">
        <v>8.2000000000000007E-3</v>
      </c>
      <c r="AO95" s="228">
        <v>642.38</v>
      </c>
      <c r="AP95" s="228">
        <v>646.62</v>
      </c>
      <c r="AQ95" s="228">
        <v>0</v>
      </c>
      <c r="AR95" s="230">
        <v>11879000</v>
      </c>
      <c r="AS95" s="230">
        <v>2753000</v>
      </c>
      <c r="AT95" s="230">
        <v>9126000</v>
      </c>
      <c r="AU95" s="229">
        <v>3.3149000000000002</v>
      </c>
      <c r="AV95" s="230">
        <v>5954000</v>
      </c>
      <c r="AW95" s="230">
        <v>1505000</v>
      </c>
      <c r="AX95" s="230">
        <v>4449000</v>
      </c>
      <c r="AY95" s="229">
        <v>2.9561000000000002</v>
      </c>
      <c r="AZ95" s="230">
        <v>5837000</v>
      </c>
      <c r="BA95" s="230">
        <v>1225000</v>
      </c>
      <c r="BB95" s="230">
        <v>4612000</v>
      </c>
      <c r="BC95" s="229">
        <v>3.7648999999999999</v>
      </c>
      <c r="BD95" s="230">
        <v>88000</v>
      </c>
      <c r="BE95" s="230">
        <v>23000</v>
      </c>
      <c r="BF95" s="230">
        <v>65000</v>
      </c>
      <c r="BG95" s="229">
        <v>2.8260999999999998</v>
      </c>
      <c r="BH95" s="230">
        <v>8667000</v>
      </c>
      <c r="BI95" s="230">
        <v>3051000</v>
      </c>
      <c r="BJ95" s="230">
        <v>5616000</v>
      </c>
      <c r="BK95" s="229">
        <v>1.8407</v>
      </c>
      <c r="BL95" s="230">
        <v>6573000</v>
      </c>
      <c r="BM95" s="230">
        <v>2890000</v>
      </c>
      <c r="BN95" s="230">
        <v>3683000</v>
      </c>
      <c r="BO95" s="229">
        <v>1.2744</v>
      </c>
      <c r="BP95" s="230">
        <v>27119000</v>
      </c>
      <c r="BQ95" s="230">
        <v>8694000</v>
      </c>
      <c r="BR95" s="230">
        <v>18425000</v>
      </c>
      <c r="BS95" s="229">
        <v>2.1193</v>
      </c>
      <c r="BT95" s="230">
        <v>4995043</v>
      </c>
      <c r="BU95" s="230">
        <v>2003815</v>
      </c>
      <c r="BV95" s="230">
        <v>2991228</v>
      </c>
      <c r="BW95" s="229">
        <v>1.4927999999999999</v>
      </c>
      <c r="BX95" s="230">
        <v>23030000</v>
      </c>
      <c r="BY95" s="230">
        <v>21811000</v>
      </c>
      <c r="BZ95" s="230">
        <v>1219000</v>
      </c>
      <c r="CA95" s="229">
        <v>5.5899999999999998E-2</v>
      </c>
      <c r="CB95" s="230">
        <v>14786000</v>
      </c>
      <c r="CC95" s="230">
        <v>18124000</v>
      </c>
      <c r="CD95" s="230">
        <v>-3338000</v>
      </c>
      <c r="CE95" s="229">
        <v>-0.1842</v>
      </c>
      <c r="CF95" s="230">
        <v>6800000</v>
      </c>
      <c r="CG95" s="230">
        <v>2293000</v>
      </c>
      <c r="CH95" s="230">
        <v>4507000</v>
      </c>
      <c r="CI95" s="229">
        <v>1.9655</v>
      </c>
      <c r="CJ95" s="230">
        <v>1444000</v>
      </c>
      <c r="CK95" s="230">
        <v>1394000</v>
      </c>
      <c r="CL95" s="230">
        <v>50000</v>
      </c>
      <c r="CM95" s="229">
        <v>3.5900000000000001E-2</v>
      </c>
      <c r="CN95" s="230">
        <v>6242000</v>
      </c>
      <c r="CO95" s="230">
        <v>6377000</v>
      </c>
      <c r="CP95" s="230">
        <v>-135000</v>
      </c>
      <c r="CQ95" s="229">
        <v>-2.12E-2</v>
      </c>
      <c r="CR95" s="230">
        <v>6029000</v>
      </c>
      <c r="CS95" s="230">
        <v>6011000</v>
      </c>
      <c r="CT95" s="230">
        <v>18000</v>
      </c>
      <c r="CU95" s="229">
        <v>3.0000000000000001E-3</v>
      </c>
      <c r="CV95" s="230">
        <v>35301000</v>
      </c>
      <c r="CW95" s="230">
        <v>34199000</v>
      </c>
      <c r="CX95" s="230">
        <v>1102000</v>
      </c>
      <c r="CY95" s="229">
        <v>3.2199999999999999E-2</v>
      </c>
      <c r="CZ95" s="228">
        <v>30.24</v>
      </c>
      <c r="DA95" s="228">
        <v>31.37</v>
      </c>
      <c r="DB95" s="228">
        <v>-1.1299999999999999</v>
      </c>
      <c r="DC95" s="228">
        <v>-1.1299999999999999</v>
      </c>
      <c r="DD95" s="228">
        <v>35.130000000000003</v>
      </c>
      <c r="DE95" s="228">
        <v>34.96</v>
      </c>
      <c r="DF95" s="228">
        <v>-4.8899999999999997</v>
      </c>
      <c r="DG95" s="228">
        <v>0.17</v>
      </c>
      <c r="DH95" s="228">
        <v>30.25</v>
      </c>
      <c r="DI95" s="228">
        <v>28.44</v>
      </c>
      <c r="DJ95" s="228">
        <v>1.81</v>
      </c>
      <c r="DK95" s="228">
        <v>1.81</v>
      </c>
      <c r="DL95" s="228">
        <v>30.23</v>
      </c>
      <c r="DM95" s="228">
        <v>34.47</v>
      </c>
      <c r="DN95" s="228">
        <v>-4.24</v>
      </c>
      <c r="DO95" s="228">
        <v>-4.24</v>
      </c>
      <c r="DP95" s="228">
        <v>0.97</v>
      </c>
      <c r="DQ95" s="228">
        <v>0.94</v>
      </c>
      <c r="DR95" s="228">
        <v>0.03</v>
      </c>
      <c r="DS95" s="229">
        <v>3.1899999999999998E-2</v>
      </c>
      <c r="DT95" s="228">
        <v>700</v>
      </c>
      <c r="DU95" s="228">
        <v>600</v>
      </c>
      <c r="DV95" s="228">
        <v>0.76</v>
      </c>
      <c r="DW95" s="228">
        <v>0.95</v>
      </c>
      <c r="DX95" s="228">
        <v>-0.19</v>
      </c>
      <c r="DY95" s="229">
        <v>-0.2</v>
      </c>
      <c r="DZ95" s="229">
        <v>0.35799999999999998</v>
      </c>
      <c r="EA95" s="230">
        <v>3687000</v>
      </c>
      <c r="EB95" s="229">
        <v>6.0000000000000001E-3</v>
      </c>
      <c r="EC95" s="229">
        <v>0.35799999999999998</v>
      </c>
      <c r="ED95" s="228">
        <v>4.24</v>
      </c>
      <c r="EE95" s="229">
        <v>6.6E-3</v>
      </c>
      <c r="EF95" s="230">
        <v>2846772</v>
      </c>
      <c r="EG95" s="230">
        <v>1288146</v>
      </c>
      <c r="EH95" s="229">
        <v>1.21</v>
      </c>
      <c r="EI95" s="229">
        <v>0.56989999999999996</v>
      </c>
      <c r="EJ95" s="231">
        <v>57963.94</v>
      </c>
      <c r="EK95" s="231">
        <v>40994.660000000003</v>
      </c>
      <c r="EL95" s="231">
        <v>76561.039999999994</v>
      </c>
      <c r="EM95" s="231">
        <v>3881</v>
      </c>
      <c r="EN95" s="231">
        <v>175519.64</v>
      </c>
      <c r="EO95" s="231">
        <v>57590.59</v>
      </c>
      <c r="EP95" s="231">
        <v>117929.05</v>
      </c>
      <c r="EQ95" s="229">
        <v>2.0476999999999999</v>
      </c>
      <c r="ER95" s="231">
        <v>40537</v>
      </c>
      <c r="ES95" s="231">
        <v>37797</v>
      </c>
      <c r="ET95" s="231">
        <v>147538</v>
      </c>
      <c r="EU95" s="231">
        <v>123332004</v>
      </c>
      <c r="EV95" s="231">
        <v>225873</v>
      </c>
      <c r="EW95" s="231">
        <v>223537</v>
      </c>
      <c r="EX95" s="231">
        <v>2336</v>
      </c>
      <c r="EY95" s="229">
        <v>1.0500000000000001E-2</v>
      </c>
      <c r="EZ95" s="229">
        <v>0.28620000000000001</v>
      </c>
      <c r="FA95" s="227" t="s">
        <v>566</v>
      </c>
      <c r="FB95" s="161">
        <f t="shared" si="1"/>
        <v>8244000</v>
      </c>
    </row>
    <row r="96" spans="1:158" ht="17.25" thickBot="1" x14ac:dyDescent="0.3">
      <c r="A96" s="226">
        <v>46135</v>
      </c>
      <c r="B96" s="227" t="s">
        <v>172</v>
      </c>
      <c r="C96" s="227" t="s">
        <v>577</v>
      </c>
      <c r="D96" s="228">
        <v>1000</v>
      </c>
      <c r="E96" s="228">
        <v>916.45</v>
      </c>
      <c r="F96" s="228">
        <v>927.15</v>
      </c>
      <c r="G96" s="228">
        <v>-10.7</v>
      </c>
      <c r="H96" s="229">
        <v>-1.15E-2</v>
      </c>
      <c r="I96" s="228">
        <v>914.95</v>
      </c>
      <c r="J96" s="228">
        <v>925.35</v>
      </c>
      <c r="K96" s="228">
        <v>-10.4</v>
      </c>
      <c r="L96" s="229">
        <v>-1.12E-2</v>
      </c>
      <c r="M96" s="228">
        <v>916.45</v>
      </c>
      <c r="N96" s="228">
        <v>927.15</v>
      </c>
      <c r="O96" s="228">
        <v>-10.7</v>
      </c>
      <c r="P96" s="229">
        <v>-1.15E-2</v>
      </c>
      <c r="Q96" s="228">
        <v>920.15</v>
      </c>
      <c r="R96" s="228">
        <v>931.25</v>
      </c>
      <c r="S96" s="228">
        <v>-11.1</v>
      </c>
      <c r="T96" s="229">
        <v>-1.1900000000000001E-2</v>
      </c>
      <c r="U96" s="228">
        <v>915.35</v>
      </c>
      <c r="V96" s="228">
        <v>929.4</v>
      </c>
      <c r="W96" s="228">
        <v>-14.05</v>
      </c>
      <c r="X96" s="229">
        <v>-1.5100000000000001E-2</v>
      </c>
      <c r="Y96" s="228">
        <v>1.5</v>
      </c>
      <c r="Z96" s="228">
        <v>1.8</v>
      </c>
      <c r="AA96" s="228">
        <v>-0.3</v>
      </c>
      <c r="AB96" s="229">
        <v>1.6000000000000001E-3</v>
      </c>
      <c r="AC96" s="228">
        <v>1.5</v>
      </c>
      <c r="AD96" s="228">
        <v>1.8</v>
      </c>
      <c r="AE96" s="228">
        <v>-0.3</v>
      </c>
      <c r="AF96" s="229">
        <v>1.6000000000000001E-3</v>
      </c>
      <c r="AG96" s="228">
        <v>5.2</v>
      </c>
      <c r="AH96" s="228">
        <v>5.9</v>
      </c>
      <c r="AI96" s="228">
        <v>-0.7</v>
      </c>
      <c r="AJ96" s="229">
        <v>5.7000000000000002E-3</v>
      </c>
      <c r="AK96" s="228">
        <v>0.4</v>
      </c>
      <c r="AL96" s="228">
        <v>4.05</v>
      </c>
      <c r="AM96" s="228">
        <v>-3.65</v>
      </c>
      <c r="AN96" s="229">
        <v>4.0000000000000002E-4</v>
      </c>
      <c r="AO96" s="228">
        <v>918.37</v>
      </c>
      <c r="AP96" s="228">
        <v>919.96</v>
      </c>
      <c r="AQ96" s="228">
        <v>0</v>
      </c>
      <c r="AR96" s="230">
        <v>7251000</v>
      </c>
      <c r="AS96" s="230">
        <v>2731000</v>
      </c>
      <c r="AT96" s="230">
        <v>4520000</v>
      </c>
      <c r="AU96" s="229">
        <v>1.6551</v>
      </c>
      <c r="AV96" s="230">
        <v>4181000</v>
      </c>
      <c r="AW96" s="230">
        <v>1794000</v>
      </c>
      <c r="AX96" s="230">
        <v>2387000</v>
      </c>
      <c r="AY96" s="229">
        <v>1.3305</v>
      </c>
      <c r="AZ96" s="230">
        <v>3042000</v>
      </c>
      <c r="BA96" s="230">
        <v>921000</v>
      </c>
      <c r="BB96" s="230">
        <v>2121000</v>
      </c>
      <c r="BC96" s="229">
        <v>2.3029000000000002</v>
      </c>
      <c r="BD96" s="230">
        <v>28000</v>
      </c>
      <c r="BE96" s="230">
        <v>16000</v>
      </c>
      <c r="BF96" s="230">
        <v>12000</v>
      </c>
      <c r="BG96" s="229">
        <v>0.75</v>
      </c>
      <c r="BH96" s="230">
        <v>7514000</v>
      </c>
      <c r="BI96" s="230">
        <v>6374000</v>
      </c>
      <c r="BJ96" s="230">
        <v>1140000</v>
      </c>
      <c r="BK96" s="229">
        <v>0.1789</v>
      </c>
      <c r="BL96" s="230">
        <v>3424000</v>
      </c>
      <c r="BM96" s="230">
        <v>1935000</v>
      </c>
      <c r="BN96" s="230">
        <v>1489000</v>
      </c>
      <c r="BO96" s="229">
        <v>0.76949999999999996</v>
      </c>
      <c r="BP96" s="230">
        <v>18189000</v>
      </c>
      <c r="BQ96" s="230">
        <v>11040000</v>
      </c>
      <c r="BR96" s="230">
        <v>7149000</v>
      </c>
      <c r="BS96" s="229">
        <v>0.64759999999999995</v>
      </c>
      <c r="BT96" s="230">
        <v>2294544</v>
      </c>
      <c r="BU96" s="230">
        <v>1976780</v>
      </c>
      <c r="BV96" s="230">
        <v>317764</v>
      </c>
      <c r="BW96" s="229">
        <v>0.16070000000000001</v>
      </c>
      <c r="BX96" s="230">
        <v>10418000</v>
      </c>
      <c r="BY96" s="230">
        <v>11178000</v>
      </c>
      <c r="BZ96" s="230">
        <v>-760000</v>
      </c>
      <c r="CA96" s="229">
        <v>-6.8000000000000005E-2</v>
      </c>
      <c r="CB96" s="230">
        <v>7623000</v>
      </c>
      <c r="CC96" s="230">
        <v>9703000</v>
      </c>
      <c r="CD96" s="230">
        <v>-2080000</v>
      </c>
      <c r="CE96" s="229">
        <v>-0.21440000000000001</v>
      </c>
      <c r="CF96" s="230">
        <v>2689000</v>
      </c>
      <c r="CG96" s="230">
        <v>1378000</v>
      </c>
      <c r="CH96" s="230">
        <v>1311000</v>
      </c>
      <c r="CI96" s="229">
        <v>0.95140000000000002</v>
      </c>
      <c r="CJ96" s="230">
        <v>106000</v>
      </c>
      <c r="CK96" s="230">
        <v>97000</v>
      </c>
      <c r="CL96" s="230">
        <v>9000</v>
      </c>
      <c r="CM96" s="229">
        <v>9.2799999999999994E-2</v>
      </c>
      <c r="CN96" s="230">
        <v>6871000</v>
      </c>
      <c r="CO96" s="230">
        <v>6998000</v>
      </c>
      <c r="CP96" s="230">
        <v>-127000</v>
      </c>
      <c r="CQ96" s="229">
        <v>-1.8100000000000002E-2</v>
      </c>
      <c r="CR96" s="230">
        <v>3825000</v>
      </c>
      <c r="CS96" s="230">
        <v>3701000</v>
      </c>
      <c r="CT96" s="230">
        <v>124000</v>
      </c>
      <c r="CU96" s="229">
        <v>3.3500000000000002E-2</v>
      </c>
      <c r="CV96" s="230">
        <v>21114000</v>
      </c>
      <c r="CW96" s="230">
        <v>21877000</v>
      </c>
      <c r="CX96" s="230">
        <v>-763000</v>
      </c>
      <c r="CY96" s="229">
        <v>-3.49E-2</v>
      </c>
      <c r="CZ96" s="228">
        <v>38.119999999999997</v>
      </c>
      <c r="DA96" s="228">
        <v>37.56</v>
      </c>
      <c r="DB96" s="228">
        <v>0.56000000000000005</v>
      </c>
      <c r="DC96" s="228">
        <v>0.56000000000000005</v>
      </c>
      <c r="DD96" s="228">
        <v>41.46</v>
      </c>
      <c r="DE96" s="228">
        <v>41.54</v>
      </c>
      <c r="DF96" s="228">
        <v>-3.34</v>
      </c>
      <c r="DG96" s="228">
        <v>-0.08</v>
      </c>
      <c r="DH96" s="228">
        <v>37.82</v>
      </c>
      <c r="DI96" s="228">
        <v>37.35</v>
      </c>
      <c r="DJ96" s="228">
        <v>0.47</v>
      </c>
      <c r="DK96" s="228">
        <v>0.47</v>
      </c>
      <c r="DL96" s="228">
        <v>38.619999999999997</v>
      </c>
      <c r="DM96" s="228">
        <v>38.229999999999997</v>
      </c>
      <c r="DN96" s="228">
        <v>0.39</v>
      </c>
      <c r="DO96" s="228">
        <v>0.39</v>
      </c>
      <c r="DP96" s="228">
        <v>0.56000000000000005</v>
      </c>
      <c r="DQ96" s="228">
        <v>0.53</v>
      </c>
      <c r="DR96" s="228">
        <v>0.03</v>
      </c>
      <c r="DS96" s="229">
        <v>5.6599999999999998E-2</v>
      </c>
      <c r="DT96" s="231">
        <v>1000</v>
      </c>
      <c r="DU96" s="228">
        <v>900</v>
      </c>
      <c r="DV96" s="228">
        <v>0.46</v>
      </c>
      <c r="DW96" s="228">
        <v>0.3</v>
      </c>
      <c r="DX96" s="228">
        <v>0.16</v>
      </c>
      <c r="DY96" s="229">
        <v>0.5333</v>
      </c>
      <c r="DZ96" s="229">
        <v>0.26829999999999998</v>
      </c>
      <c r="EA96" s="230">
        <v>1475000</v>
      </c>
      <c r="EB96" s="229">
        <v>4.0000000000000001E-3</v>
      </c>
      <c r="EC96" s="229">
        <v>0.26829999999999998</v>
      </c>
      <c r="ED96" s="228">
        <v>1.59</v>
      </c>
      <c r="EE96" s="229">
        <v>1.6999999999999999E-3</v>
      </c>
      <c r="EF96" s="230">
        <v>1000164</v>
      </c>
      <c r="EG96" s="230">
        <v>1032929</v>
      </c>
      <c r="EH96" s="229">
        <v>-3.1699999999999999E-2</v>
      </c>
      <c r="EI96" s="229">
        <v>0.43590000000000001</v>
      </c>
      <c r="EJ96" s="231">
        <v>72627.5</v>
      </c>
      <c r="EK96" s="231">
        <v>31520.67</v>
      </c>
      <c r="EL96" s="231">
        <v>66638.710000000006</v>
      </c>
      <c r="EM96" s="231">
        <v>3012</v>
      </c>
      <c r="EN96" s="231">
        <v>170786.88</v>
      </c>
      <c r="EO96" s="231">
        <v>105589.81</v>
      </c>
      <c r="EP96" s="231">
        <v>65197.07</v>
      </c>
      <c r="EQ96" s="229">
        <v>0.61750000000000005</v>
      </c>
      <c r="ER96" s="231">
        <v>66416</v>
      </c>
      <c r="ES96" s="231">
        <v>34268</v>
      </c>
      <c r="ET96" s="231">
        <v>95574</v>
      </c>
      <c r="EU96" s="231">
        <v>52862157</v>
      </c>
      <c r="EV96" s="231">
        <v>196258</v>
      </c>
      <c r="EW96" s="231">
        <v>205054</v>
      </c>
      <c r="EX96" s="231">
        <v>-8796</v>
      </c>
      <c r="EY96" s="229">
        <v>-4.2900000000000001E-2</v>
      </c>
      <c r="EZ96" s="229">
        <v>0.39939999999999998</v>
      </c>
      <c r="FA96" s="227" t="s">
        <v>567</v>
      </c>
      <c r="FB96" s="161">
        <f t="shared" si="1"/>
        <v>2795000</v>
      </c>
    </row>
    <row r="97" spans="1:158" ht="17.25" thickBot="1" x14ac:dyDescent="0.3">
      <c r="A97" s="226">
        <v>46135</v>
      </c>
      <c r="B97" s="227" t="s">
        <v>181</v>
      </c>
      <c r="C97" s="227" t="s">
        <v>686</v>
      </c>
      <c r="D97" s="228">
        <v>1</v>
      </c>
      <c r="E97" s="228">
        <v>18.59</v>
      </c>
      <c r="F97" s="228">
        <v>18.3</v>
      </c>
      <c r="G97" s="228">
        <v>0.28999999999999998</v>
      </c>
      <c r="H97" s="229">
        <v>1.5800000000000002E-2</v>
      </c>
      <c r="I97" s="228">
        <v>18.59</v>
      </c>
      <c r="J97" s="228">
        <v>18.3</v>
      </c>
      <c r="K97" s="228">
        <v>0.28999999999999998</v>
      </c>
      <c r="L97" s="229">
        <v>1.5800000000000002E-2</v>
      </c>
      <c r="M97" s="228">
        <v>0</v>
      </c>
      <c r="N97" s="228">
        <v>0</v>
      </c>
      <c r="O97" s="228">
        <v>0</v>
      </c>
      <c r="P97" s="229">
        <v>0</v>
      </c>
      <c r="Q97" s="228">
        <v>0</v>
      </c>
      <c r="R97" s="228">
        <v>0</v>
      </c>
      <c r="S97" s="228">
        <v>0</v>
      </c>
      <c r="T97" s="229">
        <v>0</v>
      </c>
      <c r="U97" s="228">
        <v>0</v>
      </c>
      <c r="V97" s="228">
        <v>0</v>
      </c>
      <c r="W97" s="228">
        <v>0</v>
      </c>
      <c r="X97" s="229">
        <v>0</v>
      </c>
      <c r="Y97" s="228">
        <v>0</v>
      </c>
      <c r="Z97" s="228">
        <v>0</v>
      </c>
      <c r="AA97" s="228">
        <v>0</v>
      </c>
      <c r="AB97" s="229">
        <v>0</v>
      </c>
      <c r="AC97" s="228">
        <v>0</v>
      </c>
      <c r="AD97" s="228">
        <v>0</v>
      </c>
      <c r="AE97" s="228">
        <v>0</v>
      </c>
      <c r="AF97" s="229">
        <v>0</v>
      </c>
      <c r="AG97" s="228">
        <v>0</v>
      </c>
      <c r="AH97" s="228">
        <v>0</v>
      </c>
      <c r="AI97" s="228">
        <v>0</v>
      </c>
      <c r="AJ97" s="229">
        <v>0</v>
      </c>
      <c r="AK97" s="228">
        <v>0</v>
      </c>
      <c r="AL97" s="228">
        <v>0</v>
      </c>
      <c r="AM97" s="228">
        <v>0</v>
      </c>
      <c r="AN97" s="229">
        <v>0</v>
      </c>
      <c r="AO97" s="228">
        <v>0</v>
      </c>
      <c r="AP97" s="228">
        <v>0</v>
      </c>
      <c r="AQ97" s="228">
        <v>0</v>
      </c>
      <c r="AR97" s="228">
        <v>0</v>
      </c>
      <c r="AS97" s="228">
        <v>0</v>
      </c>
      <c r="AT97" s="228">
        <v>0</v>
      </c>
      <c r="AU97" s="229">
        <v>0</v>
      </c>
      <c r="AV97" s="228">
        <v>0</v>
      </c>
      <c r="AW97" s="228">
        <v>0</v>
      </c>
      <c r="AX97" s="228">
        <v>0</v>
      </c>
      <c r="AY97" s="229">
        <v>0</v>
      </c>
      <c r="AZ97" s="228">
        <v>0</v>
      </c>
      <c r="BA97" s="228">
        <v>0</v>
      </c>
      <c r="BB97" s="228">
        <v>0</v>
      </c>
      <c r="BC97" s="229">
        <v>0</v>
      </c>
      <c r="BD97" s="228">
        <v>0</v>
      </c>
      <c r="BE97" s="228">
        <v>0</v>
      </c>
      <c r="BF97" s="228">
        <v>0</v>
      </c>
      <c r="BG97" s="229">
        <v>0</v>
      </c>
      <c r="BH97" s="228">
        <v>0</v>
      </c>
      <c r="BI97" s="228">
        <v>0</v>
      </c>
      <c r="BJ97" s="228">
        <v>0</v>
      </c>
      <c r="BK97" s="229">
        <v>0</v>
      </c>
      <c r="BL97" s="228">
        <v>0</v>
      </c>
      <c r="BM97" s="228">
        <v>0</v>
      </c>
      <c r="BN97" s="228">
        <v>0</v>
      </c>
      <c r="BO97" s="229">
        <v>0</v>
      </c>
      <c r="BP97" s="228">
        <v>0</v>
      </c>
      <c r="BQ97" s="228">
        <v>0</v>
      </c>
      <c r="BR97" s="228">
        <v>0</v>
      </c>
      <c r="BS97" s="229">
        <v>0</v>
      </c>
      <c r="BT97" s="228">
        <v>0</v>
      </c>
      <c r="BU97" s="228">
        <v>0</v>
      </c>
      <c r="BV97" s="228">
        <v>0</v>
      </c>
      <c r="BW97" s="229">
        <v>0</v>
      </c>
      <c r="BX97" s="228">
        <v>0</v>
      </c>
      <c r="BY97" s="228">
        <v>0</v>
      </c>
      <c r="BZ97" s="228">
        <v>0</v>
      </c>
      <c r="CA97" s="229">
        <v>0</v>
      </c>
      <c r="CB97" s="228">
        <v>0</v>
      </c>
      <c r="CC97" s="228">
        <v>0</v>
      </c>
      <c r="CD97" s="228">
        <v>0</v>
      </c>
      <c r="CE97" s="229">
        <v>0</v>
      </c>
      <c r="CF97" s="228">
        <v>0</v>
      </c>
      <c r="CG97" s="228">
        <v>0</v>
      </c>
      <c r="CH97" s="228">
        <v>0</v>
      </c>
      <c r="CI97" s="229">
        <v>0</v>
      </c>
      <c r="CJ97" s="228">
        <v>0</v>
      </c>
      <c r="CK97" s="228">
        <v>0</v>
      </c>
      <c r="CL97" s="228">
        <v>0</v>
      </c>
      <c r="CM97" s="229">
        <v>0</v>
      </c>
      <c r="CN97" s="228">
        <v>0</v>
      </c>
      <c r="CO97" s="228">
        <v>0</v>
      </c>
      <c r="CP97" s="228">
        <v>0</v>
      </c>
      <c r="CQ97" s="229">
        <v>0</v>
      </c>
      <c r="CR97" s="228">
        <v>0</v>
      </c>
      <c r="CS97" s="228">
        <v>0</v>
      </c>
      <c r="CT97" s="228">
        <v>0</v>
      </c>
      <c r="CU97" s="229">
        <v>0</v>
      </c>
      <c r="CV97" s="228">
        <v>0</v>
      </c>
      <c r="CW97" s="228">
        <v>0</v>
      </c>
      <c r="CX97" s="228">
        <v>0</v>
      </c>
      <c r="CY97" s="229">
        <v>0</v>
      </c>
      <c r="CZ97" s="228">
        <v>0</v>
      </c>
      <c r="DA97" s="228">
        <v>0</v>
      </c>
      <c r="DB97" s="228">
        <v>0</v>
      </c>
      <c r="DC97" s="228">
        <v>0</v>
      </c>
      <c r="DD97" s="228">
        <v>0</v>
      </c>
      <c r="DE97" s="228">
        <v>0</v>
      </c>
      <c r="DF97" s="228">
        <v>0</v>
      </c>
      <c r="DG97" s="228">
        <v>0</v>
      </c>
      <c r="DH97" s="228">
        <v>0</v>
      </c>
      <c r="DI97" s="228">
        <v>0</v>
      </c>
      <c r="DJ97" s="228">
        <v>0</v>
      </c>
      <c r="DK97" s="228">
        <v>0</v>
      </c>
      <c r="DL97" s="228">
        <v>0</v>
      </c>
      <c r="DM97" s="228">
        <v>0</v>
      </c>
      <c r="DN97" s="228">
        <v>0</v>
      </c>
      <c r="DO97" s="228">
        <v>0</v>
      </c>
      <c r="DP97" s="228">
        <v>0</v>
      </c>
      <c r="DQ97" s="228">
        <v>0</v>
      </c>
      <c r="DR97" s="228">
        <v>0</v>
      </c>
      <c r="DS97" s="229">
        <v>0</v>
      </c>
      <c r="DT97" s="228">
        <v>0</v>
      </c>
      <c r="DU97" s="228">
        <v>0</v>
      </c>
      <c r="DV97" s="228">
        <v>0</v>
      </c>
      <c r="DW97" s="228">
        <v>0</v>
      </c>
      <c r="DX97" s="228">
        <v>0</v>
      </c>
      <c r="DY97" s="229">
        <v>0</v>
      </c>
      <c r="DZ97" s="229">
        <v>0</v>
      </c>
      <c r="EA97" s="228">
        <v>0</v>
      </c>
      <c r="EB97" s="229">
        <v>0</v>
      </c>
      <c r="EC97" s="229">
        <v>0</v>
      </c>
      <c r="ED97" s="228">
        <v>0</v>
      </c>
      <c r="EE97" s="229">
        <v>0</v>
      </c>
      <c r="EF97" s="228">
        <v>0</v>
      </c>
      <c r="EG97" s="228">
        <v>0</v>
      </c>
      <c r="EH97" s="229">
        <v>0</v>
      </c>
      <c r="EI97" s="229">
        <v>0</v>
      </c>
      <c r="EJ97" s="228">
        <v>0</v>
      </c>
      <c r="EK97" s="228">
        <v>0</v>
      </c>
      <c r="EL97" s="228">
        <v>0</v>
      </c>
      <c r="EM97" s="228">
        <v>0</v>
      </c>
      <c r="EN97" s="228">
        <v>0</v>
      </c>
      <c r="EO97" s="228">
        <v>0</v>
      </c>
      <c r="EP97" s="228">
        <v>0</v>
      </c>
      <c r="EQ97" s="229">
        <v>0</v>
      </c>
      <c r="ER97" s="228">
        <v>0</v>
      </c>
      <c r="ES97" s="228">
        <v>0</v>
      </c>
      <c r="ET97" s="228">
        <v>0</v>
      </c>
      <c r="EU97" s="228">
        <v>0</v>
      </c>
      <c r="EV97" s="228">
        <v>0</v>
      </c>
      <c r="EW97" s="228">
        <v>0</v>
      </c>
      <c r="EX97" s="228">
        <v>0</v>
      </c>
      <c r="EY97" s="229">
        <v>0</v>
      </c>
      <c r="EZ97" s="229">
        <v>0</v>
      </c>
      <c r="FA97" s="227" t="s">
        <v>237</v>
      </c>
      <c r="FB97" s="161">
        <f t="shared" si="1"/>
        <v>0</v>
      </c>
    </row>
    <row r="98" spans="1:158" ht="17.25" thickBot="1" x14ac:dyDescent="0.3">
      <c r="A98" s="226">
        <v>46135</v>
      </c>
      <c r="B98" s="227" t="s">
        <v>215</v>
      </c>
      <c r="C98" s="227" t="s">
        <v>238</v>
      </c>
      <c r="D98" s="228">
        <v>150</v>
      </c>
      <c r="E98" s="231">
        <v>4565.6000000000004</v>
      </c>
      <c r="F98" s="231">
        <v>4632.3999999999996</v>
      </c>
      <c r="G98" s="228">
        <v>-66.8</v>
      </c>
      <c r="H98" s="229">
        <v>-1.44E-2</v>
      </c>
      <c r="I98" s="231">
        <v>4556</v>
      </c>
      <c r="J98" s="231">
        <v>4640.8999999999996</v>
      </c>
      <c r="K98" s="228">
        <v>-84.9</v>
      </c>
      <c r="L98" s="229">
        <v>-1.83E-2</v>
      </c>
      <c r="M98" s="231">
        <v>4565.6000000000004</v>
      </c>
      <c r="N98" s="231">
        <v>4632.3999999999996</v>
      </c>
      <c r="O98" s="228">
        <v>-66.8</v>
      </c>
      <c r="P98" s="229">
        <v>-1.44E-2</v>
      </c>
      <c r="Q98" s="231">
        <v>4564.5</v>
      </c>
      <c r="R98" s="231">
        <v>4643.8</v>
      </c>
      <c r="S98" s="228">
        <v>-79.3</v>
      </c>
      <c r="T98" s="229">
        <v>-1.7100000000000001E-2</v>
      </c>
      <c r="U98" s="231">
        <v>4580.1000000000004</v>
      </c>
      <c r="V98" s="231">
        <v>4667.5</v>
      </c>
      <c r="W98" s="228">
        <v>-87.4</v>
      </c>
      <c r="X98" s="229">
        <v>-1.8700000000000001E-2</v>
      </c>
      <c r="Y98" s="228">
        <v>9.6</v>
      </c>
      <c r="Z98" s="228">
        <v>-8.5</v>
      </c>
      <c r="AA98" s="228">
        <v>18.100000000000001</v>
      </c>
      <c r="AB98" s="229">
        <v>2.0999999999999999E-3</v>
      </c>
      <c r="AC98" s="228">
        <v>9.6</v>
      </c>
      <c r="AD98" s="228">
        <v>-8.5</v>
      </c>
      <c r="AE98" s="228">
        <v>18.100000000000001</v>
      </c>
      <c r="AF98" s="229">
        <v>2.0999999999999999E-3</v>
      </c>
      <c r="AG98" s="228">
        <v>8.5</v>
      </c>
      <c r="AH98" s="228">
        <v>2.9</v>
      </c>
      <c r="AI98" s="228">
        <v>5.6</v>
      </c>
      <c r="AJ98" s="229">
        <v>1.9E-3</v>
      </c>
      <c r="AK98" s="228">
        <v>24.1</v>
      </c>
      <c r="AL98" s="228">
        <v>26.6</v>
      </c>
      <c r="AM98" s="228">
        <v>-2.5</v>
      </c>
      <c r="AN98" s="229">
        <v>5.3E-3</v>
      </c>
      <c r="AO98" s="231">
        <v>4567.91</v>
      </c>
      <c r="AP98" s="231">
        <v>4567.8</v>
      </c>
      <c r="AQ98" s="228">
        <v>0</v>
      </c>
      <c r="AR98" s="230">
        <v>4754550</v>
      </c>
      <c r="AS98" s="230">
        <v>1552350</v>
      </c>
      <c r="AT98" s="230">
        <v>3202200</v>
      </c>
      <c r="AU98" s="229">
        <v>2.0628000000000002</v>
      </c>
      <c r="AV98" s="230">
        <v>2508300</v>
      </c>
      <c r="AW98" s="230">
        <v>1160250</v>
      </c>
      <c r="AX98" s="230">
        <v>1348050</v>
      </c>
      <c r="AY98" s="229">
        <v>1.1618999999999999</v>
      </c>
      <c r="AZ98" s="230">
        <v>2209500</v>
      </c>
      <c r="BA98" s="230">
        <v>357000</v>
      </c>
      <c r="BB98" s="230">
        <v>1852500</v>
      </c>
      <c r="BC98" s="229">
        <v>5.1890999999999998</v>
      </c>
      <c r="BD98" s="230">
        <v>36750</v>
      </c>
      <c r="BE98" s="230">
        <v>35100</v>
      </c>
      <c r="BF98" s="230">
        <v>1650</v>
      </c>
      <c r="BG98" s="229">
        <v>4.7E-2</v>
      </c>
      <c r="BH98" s="230">
        <v>5853450</v>
      </c>
      <c r="BI98" s="230">
        <v>7554450</v>
      </c>
      <c r="BJ98" s="230">
        <v>-1701000</v>
      </c>
      <c r="BK98" s="229">
        <v>-0.22520000000000001</v>
      </c>
      <c r="BL98" s="230">
        <v>5649450</v>
      </c>
      <c r="BM98" s="230">
        <v>5721900</v>
      </c>
      <c r="BN98" s="230">
        <v>-72450</v>
      </c>
      <c r="BO98" s="229">
        <v>-1.2699999999999999E-2</v>
      </c>
      <c r="BP98" s="230">
        <v>16257450</v>
      </c>
      <c r="BQ98" s="230">
        <v>14828700</v>
      </c>
      <c r="BR98" s="230">
        <v>1428750</v>
      </c>
      <c r="BS98" s="229">
        <v>9.64E-2</v>
      </c>
      <c r="BT98" s="230">
        <v>1073206</v>
      </c>
      <c r="BU98" s="230">
        <v>1113682</v>
      </c>
      <c r="BV98" s="230">
        <v>-40476</v>
      </c>
      <c r="BW98" s="229">
        <v>-3.6299999999999999E-2</v>
      </c>
      <c r="BX98" s="230">
        <v>7278000</v>
      </c>
      <c r="BY98" s="230">
        <v>7074300</v>
      </c>
      <c r="BZ98" s="230">
        <v>203700</v>
      </c>
      <c r="CA98" s="229">
        <v>2.8799999999999999E-2</v>
      </c>
      <c r="CB98" s="230">
        <v>4930350</v>
      </c>
      <c r="CC98" s="230">
        <v>6415200</v>
      </c>
      <c r="CD98" s="230">
        <v>-1484850</v>
      </c>
      <c r="CE98" s="229">
        <v>-0.23150000000000001</v>
      </c>
      <c r="CF98" s="230">
        <v>2267550</v>
      </c>
      <c r="CG98" s="230">
        <v>592650</v>
      </c>
      <c r="CH98" s="230">
        <v>1674900</v>
      </c>
      <c r="CI98" s="229">
        <v>2.8260999999999998</v>
      </c>
      <c r="CJ98" s="230">
        <v>80100</v>
      </c>
      <c r="CK98" s="230">
        <v>66450</v>
      </c>
      <c r="CL98" s="230">
        <v>13650</v>
      </c>
      <c r="CM98" s="229">
        <v>0.2054</v>
      </c>
      <c r="CN98" s="230">
        <v>6527550</v>
      </c>
      <c r="CO98" s="230">
        <v>6496650</v>
      </c>
      <c r="CP98" s="230">
        <v>30900</v>
      </c>
      <c r="CQ98" s="229">
        <v>4.7999999999999996E-3</v>
      </c>
      <c r="CR98" s="230">
        <v>4316250</v>
      </c>
      <c r="CS98" s="230">
        <v>4507050</v>
      </c>
      <c r="CT98" s="230">
        <v>-190800</v>
      </c>
      <c r="CU98" s="229">
        <v>-4.2299999999999997E-2</v>
      </c>
      <c r="CV98" s="230">
        <v>18121800</v>
      </c>
      <c r="CW98" s="230">
        <v>18078000</v>
      </c>
      <c r="CX98" s="230">
        <v>43800</v>
      </c>
      <c r="CY98" s="229">
        <v>2.3999999999999998E-3</v>
      </c>
      <c r="CZ98" s="228">
        <v>39.06</v>
      </c>
      <c r="DA98" s="228">
        <v>36.200000000000003</v>
      </c>
      <c r="DB98" s="228">
        <v>2.86</v>
      </c>
      <c r="DC98" s="228">
        <v>2.86</v>
      </c>
      <c r="DD98" s="228">
        <v>39.97</v>
      </c>
      <c r="DE98" s="228">
        <v>39.99</v>
      </c>
      <c r="DF98" s="228">
        <v>-0.91</v>
      </c>
      <c r="DG98" s="228">
        <v>-0.02</v>
      </c>
      <c r="DH98" s="228">
        <v>38.299999999999997</v>
      </c>
      <c r="DI98" s="228">
        <v>34.31</v>
      </c>
      <c r="DJ98" s="228">
        <v>3.99</v>
      </c>
      <c r="DK98" s="228">
        <v>3.99</v>
      </c>
      <c r="DL98" s="228">
        <v>39.590000000000003</v>
      </c>
      <c r="DM98" s="228">
        <v>38.69</v>
      </c>
      <c r="DN98" s="228">
        <v>0.9</v>
      </c>
      <c r="DO98" s="228">
        <v>0.9</v>
      </c>
      <c r="DP98" s="228">
        <v>0.66</v>
      </c>
      <c r="DQ98" s="228">
        <v>0.69</v>
      </c>
      <c r="DR98" s="228">
        <v>-0.03</v>
      </c>
      <c r="DS98" s="229">
        <v>-4.3499999999999997E-2</v>
      </c>
      <c r="DT98" s="231">
        <v>4700</v>
      </c>
      <c r="DU98" s="231">
        <v>4700</v>
      </c>
      <c r="DV98" s="228">
        <v>0.97</v>
      </c>
      <c r="DW98" s="228">
        <v>0.76</v>
      </c>
      <c r="DX98" s="228">
        <v>0.21</v>
      </c>
      <c r="DY98" s="229">
        <v>0.27629999999999999</v>
      </c>
      <c r="DZ98" s="229">
        <v>0.3226</v>
      </c>
      <c r="EA98" s="230">
        <v>659100</v>
      </c>
      <c r="EB98" s="229">
        <v>-2.0000000000000001E-4</v>
      </c>
      <c r="EC98" s="229">
        <v>0.3226</v>
      </c>
      <c r="ED98" s="228">
        <v>-0.11</v>
      </c>
      <c r="EE98" s="229">
        <v>0</v>
      </c>
      <c r="EF98" s="230">
        <v>529705</v>
      </c>
      <c r="EG98" s="230">
        <v>581025</v>
      </c>
      <c r="EH98" s="229">
        <v>-8.8300000000000003E-2</v>
      </c>
      <c r="EI98" s="229">
        <v>0.49359999999999998</v>
      </c>
      <c r="EJ98" s="231">
        <v>281592.89</v>
      </c>
      <c r="EK98" s="231">
        <v>254992.93</v>
      </c>
      <c r="EL98" s="231">
        <v>217186.31</v>
      </c>
      <c r="EM98" s="231">
        <v>7833</v>
      </c>
      <c r="EN98" s="231">
        <v>753772.13</v>
      </c>
      <c r="EO98" s="231">
        <v>697628.75</v>
      </c>
      <c r="EP98" s="231">
        <v>56143.38</v>
      </c>
      <c r="EQ98" s="229">
        <v>8.0500000000000002E-2</v>
      </c>
      <c r="ER98" s="231">
        <v>307835</v>
      </c>
      <c r="ES98" s="231">
        <v>186600</v>
      </c>
      <c r="ET98" s="231">
        <v>332271</v>
      </c>
      <c r="EU98" s="231">
        <v>33878797</v>
      </c>
      <c r="EV98" s="231">
        <v>826706</v>
      </c>
      <c r="EW98" s="231">
        <v>830558</v>
      </c>
      <c r="EX98" s="231">
        <v>-3852</v>
      </c>
      <c r="EY98" s="229">
        <v>-4.5999999999999999E-3</v>
      </c>
      <c r="EZ98" s="229">
        <v>0.53490000000000004</v>
      </c>
      <c r="FA98" s="227" t="s">
        <v>566</v>
      </c>
      <c r="FB98" s="161">
        <f t="shared" si="1"/>
        <v>2347650</v>
      </c>
    </row>
    <row r="99" spans="1:158" ht="17.25" thickBot="1" x14ac:dyDescent="0.3">
      <c r="A99" s="226">
        <v>46135</v>
      </c>
      <c r="B99" s="227" t="s">
        <v>172</v>
      </c>
      <c r="C99" s="227" t="s">
        <v>239</v>
      </c>
      <c r="D99" s="228">
        <v>700</v>
      </c>
      <c r="E99" s="228">
        <v>860.1</v>
      </c>
      <c r="F99" s="228">
        <v>868.75</v>
      </c>
      <c r="G99" s="228">
        <v>-8.65</v>
      </c>
      <c r="H99" s="229">
        <v>-0.01</v>
      </c>
      <c r="I99" s="228">
        <v>860.35</v>
      </c>
      <c r="J99" s="228">
        <v>870.1</v>
      </c>
      <c r="K99" s="228">
        <v>-9.75</v>
      </c>
      <c r="L99" s="229">
        <v>-1.12E-2</v>
      </c>
      <c r="M99" s="228">
        <v>860.1</v>
      </c>
      <c r="N99" s="228">
        <v>868.75</v>
      </c>
      <c r="O99" s="228">
        <v>-8.65</v>
      </c>
      <c r="P99" s="229">
        <v>-0.01</v>
      </c>
      <c r="Q99" s="228">
        <v>864.75</v>
      </c>
      <c r="R99" s="228">
        <v>873.7</v>
      </c>
      <c r="S99" s="228">
        <v>-8.9499999999999993</v>
      </c>
      <c r="T99" s="229">
        <v>-1.0200000000000001E-2</v>
      </c>
      <c r="U99" s="228">
        <v>866.9</v>
      </c>
      <c r="V99" s="228">
        <v>875.5</v>
      </c>
      <c r="W99" s="228">
        <v>-8.6</v>
      </c>
      <c r="X99" s="229">
        <v>-9.7999999999999997E-3</v>
      </c>
      <c r="Y99" s="228">
        <v>-0.25</v>
      </c>
      <c r="Z99" s="228">
        <v>-1.35</v>
      </c>
      <c r="AA99" s="228">
        <v>1.1000000000000001</v>
      </c>
      <c r="AB99" s="229">
        <v>-2.9999999999999997E-4</v>
      </c>
      <c r="AC99" s="228">
        <v>-0.25</v>
      </c>
      <c r="AD99" s="228">
        <v>-1.35</v>
      </c>
      <c r="AE99" s="228">
        <v>1.1000000000000001</v>
      </c>
      <c r="AF99" s="229">
        <v>-2.9999999999999997E-4</v>
      </c>
      <c r="AG99" s="228">
        <v>4.4000000000000004</v>
      </c>
      <c r="AH99" s="228">
        <v>3.6</v>
      </c>
      <c r="AI99" s="228">
        <v>0.8</v>
      </c>
      <c r="AJ99" s="229">
        <v>5.1000000000000004E-3</v>
      </c>
      <c r="AK99" s="228">
        <v>6.55</v>
      </c>
      <c r="AL99" s="228">
        <v>5.4</v>
      </c>
      <c r="AM99" s="228">
        <v>1.1499999999999999</v>
      </c>
      <c r="AN99" s="229">
        <v>7.6E-3</v>
      </c>
      <c r="AO99" s="228">
        <v>861.22</v>
      </c>
      <c r="AP99" s="228">
        <v>865.99</v>
      </c>
      <c r="AQ99" s="228">
        <v>0</v>
      </c>
      <c r="AR99" s="230">
        <v>22253000</v>
      </c>
      <c r="AS99" s="230">
        <v>5681900</v>
      </c>
      <c r="AT99" s="230">
        <v>16571100</v>
      </c>
      <c r="AU99" s="229">
        <v>2.9165000000000001</v>
      </c>
      <c r="AV99" s="230">
        <v>11217500</v>
      </c>
      <c r="AW99" s="230">
        <v>3533600</v>
      </c>
      <c r="AX99" s="230">
        <v>7683900</v>
      </c>
      <c r="AY99" s="229">
        <v>2.1745000000000001</v>
      </c>
      <c r="AZ99" s="230">
        <v>10852800</v>
      </c>
      <c r="BA99" s="230">
        <v>2032800</v>
      </c>
      <c r="BB99" s="230">
        <v>8820000</v>
      </c>
      <c r="BC99" s="229">
        <v>4.3388</v>
      </c>
      <c r="BD99" s="230">
        <v>182700</v>
      </c>
      <c r="BE99" s="230">
        <v>115500</v>
      </c>
      <c r="BF99" s="230">
        <v>67200</v>
      </c>
      <c r="BG99" s="229">
        <v>0.58179999999999998</v>
      </c>
      <c r="BH99" s="230">
        <v>9790900</v>
      </c>
      <c r="BI99" s="230">
        <v>10952200</v>
      </c>
      <c r="BJ99" s="230">
        <v>-1161300</v>
      </c>
      <c r="BK99" s="229">
        <v>-0.106</v>
      </c>
      <c r="BL99" s="230">
        <v>6514200</v>
      </c>
      <c r="BM99" s="230">
        <v>7206500</v>
      </c>
      <c r="BN99" s="230">
        <v>-692300</v>
      </c>
      <c r="BO99" s="229">
        <v>-9.6100000000000005E-2</v>
      </c>
      <c r="BP99" s="230">
        <v>38558100</v>
      </c>
      <c r="BQ99" s="230">
        <v>23840600</v>
      </c>
      <c r="BR99" s="230">
        <v>14717500</v>
      </c>
      <c r="BS99" s="229">
        <v>0.61729999999999996</v>
      </c>
      <c r="BT99" s="230">
        <v>1793244</v>
      </c>
      <c r="BU99" s="230">
        <v>2332569</v>
      </c>
      <c r="BV99" s="230">
        <v>-539325</v>
      </c>
      <c r="BW99" s="229">
        <v>-0.23119999999999999</v>
      </c>
      <c r="BX99" s="230">
        <v>38895500</v>
      </c>
      <c r="BY99" s="230">
        <v>37905000</v>
      </c>
      <c r="BZ99" s="230">
        <v>990500</v>
      </c>
      <c r="CA99" s="229">
        <v>2.6100000000000002E-2</v>
      </c>
      <c r="CB99" s="230">
        <v>24226300</v>
      </c>
      <c r="CC99" s="230">
        <v>32655700</v>
      </c>
      <c r="CD99" s="230">
        <v>-8429400</v>
      </c>
      <c r="CE99" s="229">
        <v>-0.2581</v>
      </c>
      <c r="CF99" s="230">
        <v>14069300</v>
      </c>
      <c r="CG99" s="230">
        <v>4752300</v>
      </c>
      <c r="CH99" s="230">
        <v>9317000</v>
      </c>
      <c r="CI99" s="229">
        <v>1.9604999999999999</v>
      </c>
      <c r="CJ99" s="230">
        <v>599900</v>
      </c>
      <c r="CK99" s="230">
        <v>497000</v>
      </c>
      <c r="CL99" s="230">
        <v>102900</v>
      </c>
      <c r="CM99" s="229">
        <v>0.20699999999999999</v>
      </c>
      <c r="CN99" s="230">
        <v>8688400</v>
      </c>
      <c r="CO99" s="230">
        <v>8014300</v>
      </c>
      <c r="CP99" s="230">
        <v>674100</v>
      </c>
      <c r="CQ99" s="229">
        <v>8.4099999999999994E-2</v>
      </c>
      <c r="CR99" s="230">
        <v>6688500</v>
      </c>
      <c r="CS99" s="230">
        <v>6730500</v>
      </c>
      <c r="CT99" s="230">
        <v>-42000</v>
      </c>
      <c r="CU99" s="229">
        <v>-6.1999999999999998E-3</v>
      </c>
      <c r="CV99" s="230">
        <v>54272400</v>
      </c>
      <c r="CW99" s="230">
        <v>52649800</v>
      </c>
      <c r="CX99" s="230">
        <v>1622600</v>
      </c>
      <c r="CY99" s="229">
        <v>3.0800000000000001E-2</v>
      </c>
      <c r="CZ99" s="228">
        <v>35.24</v>
      </c>
      <c r="DA99" s="228">
        <v>42.58</v>
      </c>
      <c r="DB99" s="228">
        <v>-7.34</v>
      </c>
      <c r="DC99" s="228">
        <v>-7.34</v>
      </c>
      <c r="DD99" s="228">
        <v>43.02</v>
      </c>
      <c r="DE99" s="228">
        <v>43.1</v>
      </c>
      <c r="DF99" s="228">
        <v>-7.78</v>
      </c>
      <c r="DG99" s="228">
        <v>-0.08</v>
      </c>
      <c r="DH99" s="228">
        <v>35.270000000000003</v>
      </c>
      <c r="DI99" s="228">
        <v>41.04</v>
      </c>
      <c r="DJ99" s="228">
        <v>-5.77</v>
      </c>
      <c r="DK99" s="228">
        <v>-5.77</v>
      </c>
      <c r="DL99" s="228">
        <v>35.200000000000003</v>
      </c>
      <c r="DM99" s="228">
        <v>44.9</v>
      </c>
      <c r="DN99" s="228">
        <v>-9.6999999999999993</v>
      </c>
      <c r="DO99" s="228">
        <v>-9.6999999999999993</v>
      </c>
      <c r="DP99" s="228">
        <v>0.77</v>
      </c>
      <c r="DQ99" s="228">
        <v>0.84</v>
      </c>
      <c r="DR99" s="228">
        <v>-7.0000000000000007E-2</v>
      </c>
      <c r="DS99" s="229">
        <v>-8.3299999999999999E-2</v>
      </c>
      <c r="DT99" s="228">
        <v>900</v>
      </c>
      <c r="DU99" s="228">
        <v>800</v>
      </c>
      <c r="DV99" s="228">
        <v>0.67</v>
      </c>
      <c r="DW99" s="228">
        <v>0.66</v>
      </c>
      <c r="DX99" s="228">
        <v>0.01</v>
      </c>
      <c r="DY99" s="229">
        <v>1.52E-2</v>
      </c>
      <c r="DZ99" s="229">
        <v>0.37709999999999999</v>
      </c>
      <c r="EA99" s="230">
        <v>5249300</v>
      </c>
      <c r="EB99" s="229">
        <v>5.4000000000000003E-3</v>
      </c>
      <c r="EC99" s="229">
        <v>0.37709999999999999</v>
      </c>
      <c r="ED99" s="228">
        <v>4.7699999999999996</v>
      </c>
      <c r="EE99" s="229">
        <v>5.4999999999999997E-3</v>
      </c>
      <c r="EF99" s="230">
        <v>876915</v>
      </c>
      <c r="EG99" s="230">
        <v>1138297</v>
      </c>
      <c r="EH99" s="229">
        <v>-0.2296</v>
      </c>
      <c r="EI99" s="229">
        <v>0.48899999999999999</v>
      </c>
      <c r="EJ99" s="231">
        <v>87738.57</v>
      </c>
      <c r="EK99" s="231">
        <v>55674.6</v>
      </c>
      <c r="EL99" s="231">
        <v>192176.86</v>
      </c>
      <c r="EM99" s="231">
        <v>6476</v>
      </c>
      <c r="EN99" s="231">
        <v>335590.03</v>
      </c>
      <c r="EO99" s="231">
        <v>208767.27</v>
      </c>
      <c r="EP99" s="231">
        <v>126822.76</v>
      </c>
      <c r="EQ99" s="229">
        <v>0.60750000000000004</v>
      </c>
      <c r="ER99" s="231">
        <v>75031</v>
      </c>
      <c r="ES99" s="231">
        <v>54377</v>
      </c>
      <c r="ET99" s="231">
        <v>335235</v>
      </c>
      <c r="EU99" s="231">
        <v>93808799</v>
      </c>
      <c r="EV99" s="231">
        <v>464643</v>
      </c>
      <c r="EW99" s="231">
        <v>453288</v>
      </c>
      <c r="EX99" s="231">
        <v>11355</v>
      </c>
      <c r="EY99" s="229">
        <v>2.5100000000000001E-2</v>
      </c>
      <c r="EZ99" s="229">
        <v>0.57850000000000001</v>
      </c>
      <c r="FA99" s="227" t="s">
        <v>566</v>
      </c>
      <c r="FB99" s="161">
        <f t="shared" si="1"/>
        <v>14669200</v>
      </c>
    </row>
    <row r="100" spans="1:158" ht="17.25" thickBot="1" x14ac:dyDescent="0.3">
      <c r="A100" s="226">
        <v>46135</v>
      </c>
      <c r="B100" s="227" t="s">
        <v>188</v>
      </c>
      <c r="C100" s="227" t="s">
        <v>473</v>
      </c>
      <c r="D100" s="228">
        <v>1700</v>
      </c>
      <c r="E100" s="228">
        <v>405.1</v>
      </c>
      <c r="F100" s="228">
        <v>409.1</v>
      </c>
      <c r="G100" s="228">
        <v>-4</v>
      </c>
      <c r="H100" s="229">
        <v>-9.7999999999999997E-3</v>
      </c>
      <c r="I100" s="228">
        <v>404.7</v>
      </c>
      <c r="J100" s="228">
        <v>408.15</v>
      </c>
      <c r="K100" s="228">
        <v>-3.45</v>
      </c>
      <c r="L100" s="229">
        <v>-8.5000000000000006E-3</v>
      </c>
      <c r="M100" s="228">
        <v>405.1</v>
      </c>
      <c r="N100" s="228">
        <v>409.1</v>
      </c>
      <c r="O100" s="228">
        <v>-4</v>
      </c>
      <c r="P100" s="229">
        <v>-9.7999999999999997E-3</v>
      </c>
      <c r="Q100" s="228">
        <v>407.45</v>
      </c>
      <c r="R100" s="228">
        <v>411</v>
      </c>
      <c r="S100" s="228">
        <v>-3.55</v>
      </c>
      <c r="T100" s="229">
        <v>-8.6E-3</v>
      </c>
      <c r="U100" s="228">
        <v>409</v>
      </c>
      <c r="V100" s="228">
        <v>413.4</v>
      </c>
      <c r="W100" s="228">
        <v>-4.4000000000000004</v>
      </c>
      <c r="X100" s="229">
        <v>-1.06E-2</v>
      </c>
      <c r="Y100" s="228">
        <v>0.4</v>
      </c>
      <c r="Z100" s="228">
        <v>0.95</v>
      </c>
      <c r="AA100" s="228">
        <v>-0.55000000000000004</v>
      </c>
      <c r="AB100" s="229">
        <v>1E-3</v>
      </c>
      <c r="AC100" s="228">
        <v>0.4</v>
      </c>
      <c r="AD100" s="228">
        <v>0.95</v>
      </c>
      <c r="AE100" s="228">
        <v>-0.55000000000000004</v>
      </c>
      <c r="AF100" s="229">
        <v>1E-3</v>
      </c>
      <c r="AG100" s="228">
        <v>2.75</v>
      </c>
      <c r="AH100" s="228">
        <v>2.85</v>
      </c>
      <c r="AI100" s="228">
        <v>-0.1</v>
      </c>
      <c r="AJ100" s="229">
        <v>6.7999999999999996E-3</v>
      </c>
      <c r="AK100" s="228">
        <v>4.3</v>
      </c>
      <c r="AL100" s="228">
        <v>5.25</v>
      </c>
      <c r="AM100" s="228">
        <v>-0.95</v>
      </c>
      <c r="AN100" s="229">
        <v>1.06E-2</v>
      </c>
      <c r="AO100" s="228">
        <v>404.42</v>
      </c>
      <c r="AP100" s="228">
        <v>406.64</v>
      </c>
      <c r="AQ100" s="228">
        <v>0</v>
      </c>
      <c r="AR100" s="230">
        <v>32490400</v>
      </c>
      <c r="AS100" s="230">
        <v>19118200</v>
      </c>
      <c r="AT100" s="230">
        <v>13372200</v>
      </c>
      <c r="AU100" s="229">
        <v>0.69940000000000002</v>
      </c>
      <c r="AV100" s="230">
        <v>15961300</v>
      </c>
      <c r="AW100" s="230">
        <v>10482200</v>
      </c>
      <c r="AX100" s="230">
        <v>5479100</v>
      </c>
      <c r="AY100" s="229">
        <v>0.52270000000000005</v>
      </c>
      <c r="AZ100" s="230">
        <v>16401600</v>
      </c>
      <c r="BA100" s="230">
        <v>8532300</v>
      </c>
      <c r="BB100" s="230">
        <v>7869300</v>
      </c>
      <c r="BC100" s="229">
        <v>0.92230000000000001</v>
      </c>
      <c r="BD100" s="230">
        <v>127500</v>
      </c>
      <c r="BE100" s="230">
        <v>103700</v>
      </c>
      <c r="BF100" s="230">
        <v>23800</v>
      </c>
      <c r="BG100" s="229">
        <v>0.22950000000000001</v>
      </c>
      <c r="BH100" s="230">
        <v>30035600</v>
      </c>
      <c r="BI100" s="230">
        <v>32973200</v>
      </c>
      <c r="BJ100" s="230">
        <v>-2937600</v>
      </c>
      <c r="BK100" s="229">
        <v>-8.9099999999999999E-2</v>
      </c>
      <c r="BL100" s="230">
        <v>17890800</v>
      </c>
      <c r="BM100" s="230">
        <v>9751200</v>
      </c>
      <c r="BN100" s="230">
        <v>8139600</v>
      </c>
      <c r="BO100" s="229">
        <v>0.8347</v>
      </c>
      <c r="BP100" s="230">
        <v>80416800</v>
      </c>
      <c r="BQ100" s="230">
        <v>61842600</v>
      </c>
      <c r="BR100" s="230">
        <v>18574200</v>
      </c>
      <c r="BS100" s="229">
        <v>0.30030000000000001</v>
      </c>
      <c r="BT100" s="230">
        <v>7763746</v>
      </c>
      <c r="BU100" s="230">
        <v>5732746</v>
      </c>
      <c r="BV100" s="230">
        <v>2031000</v>
      </c>
      <c r="BW100" s="229">
        <v>0.3543</v>
      </c>
      <c r="BX100" s="230">
        <v>79723200</v>
      </c>
      <c r="BY100" s="230">
        <v>76642800</v>
      </c>
      <c r="BZ100" s="230">
        <v>3080400</v>
      </c>
      <c r="CA100" s="229">
        <v>4.02E-2</v>
      </c>
      <c r="CB100" s="230">
        <v>48820600</v>
      </c>
      <c r="CC100" s="230">
        <v>57953000</v>
      </c>
      <c r="CD100" s="230">
        <v>-9132400</v>
      </c>
      <c r="CE100" s="229">
        <v>-0.15759999999999999</v>
      </c>
      <c r="CF100" s="230">
        <v>28067000</v>
      </c>
      <c r="CG100" s="230">
        <v>15917100</v>
      </c>
      <c r="CH100" s="230">
        <v>12149900</v>
      </c>
      <c r="CI100" s="229">
        <v>0.76329999999999998</v>
      </c>
      <c r="CJ100" s="230">
        <v>2835600</v>
      </c>
      <c r="CK100" s="230">
        <v>2772700</v>
      </c>
      <c r="CL100" s="230">
        <v>62900</v>
      </c>
      <c r="CM100" s="229">
        <v>2.2700000000000001E-2</v>
      </c>
      <c r="CN100" s="230">
        <v>26169800</v>
      </c>
      <c r="CO100" s="230">
        <v>26649200</v>
      </c>
      <c r="CP100" s="230">
        <v>-479400</v>
      </c>
      <c r="CQ100" s="229">
        <v>-1.7999999999999999E-2</v>
      </c>
      <c r="CR100" s="230">
        <v>13980800</v>
      </c>
      <c r="CS100" s="230">
        <v>14699900</v>
      </c>
      <c r="CT100" s="230">
        <v>-719100</v>
      </c>
      <c r="CU100" s="229">
        <v>-4.8899999999999999E-2</v>
      </c>
      <c r="CV100" s="230">
        <v>119873800</v>
      </c>
      <c r="CW100" s="230">
        <v>117991900</v>
      </c>
      <c r="CX100" s="230">
        <v>1881900</v>
      </c>
      <c r="CY100" s="229">
        <v>1.5900000000000001E-2</v>
      </c>
      <c r="CZ100" s="228">
        <v>37.020000000000003</v>
      </c>
      <c r="DA100" s="228">
        <v>31.47</v>
      </c>
      <c r="DB100" s="228">
        <v>5.55</v>
      </c>
      <c r="DC100" s="228">
        <v>5.55</v>
      </c>
      <c r="DD100" s="228">
        <v>37.630000000000003</v>
      </c>
      <c r="DE100" s="228">
        <v>37.71</v>
      </c>
      <c r="DF100" s="228">
        <v>-0.61</v>
      </c>
      <c r="DG100" s="228">
        <v>-0.08</v>
      </c>
      <c r="DH100" s="228">
        <v>36.9</v>
      </c>
      <c r="DI100" s="228">
        <v>31.59</v>
      </c>
      <c r="DJ100" s="228">
        <v>5.31</v>
      </c>
      <c r="DK100" s="228">
        <v>5.31</v>
      </c>
      <c r="DL100" s="228">
        <v>37.26</v>
      </c>
      <c r="DM100" s="228">
        <v>31.06</v>
      </c>
      <c r="DN100" s="228">
        <v>6.2</v>
      </c>
      <c r="DO100" s="228">
        <v>6.2</v>
      </c>
      <c r="DP100" s="228">
        <v>0.53</v>
      </c>
      <c r="DQ100" s="228">
        <v>0.55000000000000004</v>
      </c>
      <c r="DR100" s="228">
        <v>-0.02</v>
      </c>
      <c r="DS100" s="229">
        <v>-3.6400000000000002E-2</v>
      </c>
      <c r="DT100" s="228">
        <v>420</v>
      </c>
      <c r="DU100" s="228">
        <v>430</v>
      </c>
      <c r="DV100" s="228">
        <v>0.6</v>
      </c>
      <c r="DW100" s="228">
        <v>0.3</v>
      </c>
      <c r="DX100" s="228">
        <v>0.3</v>
      </c>
      <c r="DY100" s="229">
        <v>1</v>
      </c>
      <c r="DZ100" s="229">
        <v>0.3876</v>
      </c>
      <c r="EA100" s="230">
        <v>18689800</v>
      </c>
      <c r="EB100" s="229">
        <v>5.7999999999999996E-3</v>
      </c>
      <c r="EC100" s="229">
        <v>0.3876</v>
      </c>
      <c r="ED100" s="228">
        <v>2.2200000000000002</v>
      </c>
      <c r="EE100" s="229">
        <v>5.4999999999999997E-3</v>
      </c>
      <c r="EF100" s="230">
        <v>4800171</v>
      </c>
      <c r="EG100" s="230">
        <v>3202647</v>
      </c>
      <c r="EH100" s="229">
        <v>0.49880000000000002</v>
      </c>
      <c r="EI100" s="229">
        <v>0.61829999999999996</v>
      </c>
      <c r="EJ100" s="231">
        <v>127764.59</v>
      </c>
      <c r="EK100" s="231">
        <v>72663.34</v>
      </c>
      <c r="EL100" s="231">
        <v>131769.12</v>
      </c>
      <c r="EM100" s="231">
        <v>8788</v>
      </c>
      <c r="EN100" s="231">
        <v>332197.05</v>
      </c>
      <c r="EO100" s="231">
        <v>260694.52</v>
      </c>
      <c r="EP100" s="231">
        <v>71502.53</v>
      </c>
      <c r="EQ100" s="229">
        <v>0.27429999999999999</v>
      </c>
      <c r="ER100" s="231">
        <v>113873</v>
      </c>
      <c r="ES100" s="231">
        <v>57744</v>
      </c>
      <c r="ET100" s="231">
        <v>323729</v>
      </c>
      <c r="EU100" s="231">
        <v>193625858</v>
      </c>
      <c r="EV100" s="231">
        <v>495347</v>
      </c>
      <c r="EW100" s="231">
        <v>491385</v>
      </c>
      <c r="EX100" s="231">
        <v>3962</v>
      </c>
      <c r="EY100" s="229">
        <v>8.0999999999999996E-3</v>
      </c>
      <c r="EZ100" s="229">
        <v>0.61909999999999998</v>
      </c>
      <c r="FA100" s="227" t="s">
        <v>566</v>
      </c>
      <c r="FB100" s="161">
        <f t="shared" si="1"/>
        <v>30902600</v>
      </c>
    </row>
    <row r="101" spans="1:158" ht="17.25" thickBot="1" x14ac:dyDescent="0.3">
      <c r="A101" s="226">
        <v>46135</v>
      </c>
      <c r="B101" s="227" t="s">
        <v>221</v>
      </c>
      <c r="C101" s="227" t="s">
        <v>240</v>
      </c>
      <c r="D101" s="228">
        <v>400</v>
      </c>
      <c r="E101" s="231">
        <v>1237.5999999999999</v>
      </c>
      <c r="F101" s="231">
        <v>1272.2</v>
      </c>
      <c r="G101" s="228">
        <v>-34.6</v>
      </c>
      <c r="H101" s="229">
        <v>-2.7199999999999998E-2</v>
      </c>
      <c r="I101" s="231">
        <v>1240.5999999999999</v>
      </c>
      <c r="J101" s="231">
        <v>1268.5999999999999</v>
      </c>
      <c r="K101" s="228">
        <v>-28</v>
      </c>
      <c r="L101" s="229">
        <v>-2.2100000000000002E-2</v>
      </c>
      <c r="M101" s="231">
        <v>1237.5999999999999</v>
      </c>
      <c r="N101" s="231">
        <v>1272.2</v>
      </c>
      <c r="O101" s="228">
        <v>-34.6</v>
      </c>
      <c r="P101" s="229">
        <v>-2.7199999999999998E-2</v>
      </c>
      <c r="Q101" s="231">
        <v>1222.2</v>
      </c>
      <c r="R101" s="231">
        <v>1264.9000000000001</v>
      </c>
      <c r="S101" s="228">
        <v>-42.7</v>
      </c>
      <c r="T101" s="229">
        <v>-3.3799999999999997E-2</v>
      </c>
      <c r="U101" s="231">
        <v>1223.5</v>
      </c>
      <c r="V101" s="231">
        <v>1264.5</v>
      </c>
      <c r="W101" s="228">
        <v>-41</v>
      </c>
      <c r="X101" s="229">
        <v>-3.2399999999999998E-2</v>
      </c>
      <c r="Y101" s="228">
        <v>-3</v>
      </c>
      <c r="Z101" s="228">
        <v>3.6</v>
      </c>
      <c r="AA101" s="228">
        <v>-6.6</v>
      </c>
      <c r="AB101" s="229">
        <v>-2.3999999999999998E-3</v>
      </c>
      <c r="AC101" s="228">
        <v>-3</v>
      </c>
      <c r="AD101" s="228">
        <v>3.6</v>
      </c>
      <c r="AE101" s="228">
        <v>-6.6</v>
      </c>
      <c r="AF101" s="229">
        <v>-2.3999999999999998E-3</v>
      </c>
      <c r="AG101" s="228">
        <v>-18.399999999999999</v>
      </c>
      <c r="AH101" s="228">
        <v>-3.7</v>
      </c>
      <c r="AI101" s="228">
        <v>-14.7</v>
      </c>
      <c r="AJ101" s="229">
        <v>-1.4800000000000001E-2</v>
      </c>
      <c r="AK101" s="228">
        <v>-17.100000000000001</v>
      </c>
      <c r="AL101" s="228">
        <v>-4.0999999999999996</v>
      </c>
      <c r="AM101" s="228">
        <v>-13</v>
      </c>
      <c r="AN101" s="229">
        <v>-1.38E-2</v>
      </c>
      <c r="AO101" s="231">
        <v>1250.5999999999999</v>
      </c>
      <c r="AP101" s="231">
        <v>1236.95</v>
      </c>
      <c r="AQ101" s="228">
        <v>0</v>
      </c>
      <c r="AR101" s="230">
        <v>59303600</v>
      </c>
      <c r="AS101" s="230">
        <v>29815200</v>
      </c>
      <c r="AT101" s="230">
        <v>29488400</v>
      </c>
      <c r="AU101" s="229">
        <v>0.98899999999999999</v>
      </c>
      <c r="AV101" s="230">
        <v>31153200</v>
      </c>
      <c r="AW101" s="230">
        <v>19710800</v>
      </c>
      <c r="AX101" s="230">
        <v>11442400</v>
      </c>
      <c r="AY101" s="229">
        <v>0.58050000000000002</v>
      </c>
      <c r="AZ101" s="230">
        <v>26671600</v>
      </c>
      <c r="BA101" s="230">
        <v>8804000</v>
      </c>
      <c r="BB101" s="230">
        <v>17867600</v>
      </c>
      <c r="BC101" s="229">
        <v>2.0295000000000001</v>
      </c>
      <c r="BD101" s="230">
        <v>1478800</v>
      </c>
      <c r="BE101" s="230">
        <v>1300400</v>
      </c>
      <c r="BF101" s="230">
        <v>178400</v>
      </c>
      <c r="BG101" s="229">
        <v>0.13719999999999999</v>
      </c>
      <c r="BH101" s="230">
        <v>65185200</v>
      </c>
      <c r="BI101" s="230">
        <v>72282000</v>
      </c>
      <c r="BJ101" s="230">
        <v>-7096800</v>
      </c>
      <c r="BK101" s="229">
        <v>-9.8199999999999996E-2</v>
      </c>
      <c r="BL101" s="230">
        <v>63360400</v>
      </c>
      <c r="BM101" s="230">
        <v>48366000</v>
      </c>
      <c r="BN101" s="230">
        <v>14994400</v>
      </c>
      <c r="BO101" s="229">
        <v>0.31</v>
      </c>
      <c r="BP101" s="230">
        <v>187849200</v>
      </c>
      <c r="BQ101" s="230">
        <v>150463200</v>
      </c>
      <c r="BR101" s="230">
        <v>37386000</v>
      </c>
      <c r="BS101" s="229">
        <v>0.2485</v>
      </c>
      <c r="BT101" s="230">
        <v>16012929</v>
      </c>
      <c r="BU101" s="230">
        <v>20953509</v>
      </c>
      <c r="BV101" s="230">
        <v>-4940580</v>
      </c>
      <c r="BW101" s="229">
        <v>-0.23580000000000001</v>
      </c>
      <c r="BX101" s="230">
        <v>84775200</v>
      </c>
      <c r="BY101" s="230">
        <v>79283600</v>
      </c>
      <c r="BZ101" s="230">
        <v>5491600</v>
      </c>
      <c r="CA101" s="229">
        <v>6.93E-2</v>
      </c>
      <c r="CB101" s="230">
        <v>52834400</v>
      </c>
      <c r="CC101" s="230">
        <v>66919600</v>
      </c>
      <c r="CD101" s="230">
        <v>-14085200</v>
      </c>
      <c r="CE101" s="229">
        <v>-0.21049999999999999</v>
      </c>
      <c r="CF101" s="230">
        <v>29290400</v>
      </c>
      <c r="CG101" s="230">
        <v>10415600</v>
      </c>
      <c r="CH101" s="230">
        <v>18874800</v>
      </c>
      <c r="CI101" s="229">
        <v>1.8122</v>
      </c>
      <c r="CJ101" s="230">
        <v>2650400</v>
      </c>
      <c r="CK101" s="230">
        <v>1948400</v>
      </c>
      <c r="CL101" s="230">
        <v>702000</v>
      </c>
      <c r="CM101" s="229">
        <v>0.36030000000000001</v>
      </c>
      <c r="CN101" s="230">
        <v>41668000</v>
      </c>
      <c r="CO101" s="230">
        <v>33702400</v>
      </c>
      <c r="CP101" s="230">
        <v>7965600</v>
      </c>
      <c r="CQ101" s="229">
        <v>0.2364</v>
      </c>
      <c r="CR101" s="230">
        <v>32575200</v>
      </c>
      <c r="CS101" s="230">
        <v>26351200</v>
      </c>
      <c r="CT101" s="230">
        <v>6224000</v>
      </c>
      <c r="CU101" s="229">
        <v>0.23619999999999999</v>
      </c>
      <c r="CV101" s="230">
        <v>159018400</v>
      </c>
      <c r="CW101" s="230">
        <v>139337200</v>
      </c>
      <c r="CX101" s="230">
        <v>19681200</v>
      </c>
      <c r="CY101" s="229">
        <v>0.14119999999999999</v>
      </c>
      <c r="CZ101" s="228">
        <v>38.36</v>
      </c>
      <c r="DA101" s="228">
        <v>42.1</v>
      </c>
      <c r="DB101" s="228">
        <v>-3.74</v>
      </c>
      <c r="DC101" s="228">
        <v>-3.74</v>
      </c>
      <c r="DD101" s="228">
        <v>31.14</v>
      </c>
      <c r="DE101" s="228">
        <v>31.08</v>
      </c>
      <c r="DF101" s="228">
        <v>7.22</v>
      </c>
      <c r="DG101" s="228">
        <v>0.06</v>
      </c>
      <c r="DH101" s="228">
        <v>38.65</v>
      </c>
      <c r="DI101" s="228">
        <v>40.54</v>
      </c>
      <c r="DJ101" s="228">
        <v>-1.89</v>
      </c>
      <c r="DK101" s="228">
        <v>-1.89</v>
      </c>
      <c r="DL101" s="228">
        <v>37.94</v>
      </c>
      <c r="DM101" s="228">
        <v>44.43</v>
      </c>
      <c r="DN101" s="228">
        <v>-6.49</v>
      </c>
      <c r="DO101" s="228">
        <v>-6.49</v>
      </c>
      <c r="DP101" s="228">
        <v>0.78</v>
      </c>
      <c r="DQ101" s="228">
        <v>0.78</v>
      </c>
      <c r="DR101" s="228">
        <v>0</v>
      </c>
      <c r="DS101" s="229">
        <v>0</v>
      </c>
      <c r="DT101" s="231">
        <v>1300</v>
      </c>
      <c r="DU101" s="231">
        <v>1200</v>
      </c>
      <c r="DV101" s="228">
        <v>0.97</v>
      </c>
      <c r="DW101" s="228">
        <v>0.67</v>
      </c>
      <c r="DX101" s="228">
        <v>0.3</v>
      </c>
      <c r="DY101" s="229">
        <v>0.44779999999999998</v>
      </c>
      <c r="DZ101" s="229">
        <v>0.37680000000000002</v>
      </c>
      <c r="EA101" s="230">
        <v>12364000</v>
      </c>
      <c r="EB101" s="229">
        <v>-1.24E-2</v>
      </c>
      <c r="EC101" s="229">
        <v>0.37680000000000002</v>
      </c>
      <c r="ED101" s="228">
        <v>-13.65</v>
      </c>
      <c r="EE101" s="229">
        <v>-1.09E-2</v>
      </c>
      <c r="EF101" s="230">
        <v>8132809</v>
      </c>
      <c r="EG101" s="230">
        <v>11425208</v>
      </c>
      <c r="EH101" s="229">
        <v>-0.28820000000000001</v>
      </c>
      <c r="EI101" s="229">
        <v>0.50790000000000002</v>
      </c>
      <c r="EJ101" s="231">
        <v>859848.25</v>
      </c>
      <c r="EK101" s="231">
        <v>776577.89</v>
      </c>
      <c r="EL101" s="231">
        <v>737776.12</v>
      </c>
      <c r="EM101" s="231">
        <v>37734</v>
      </c>
      <c r="EN101" s="231">
        <v>2374202.2599999998</v>
      </c>
      <c r="EO101" s="231">
        <v>1956519.5</v>
      </c>
      <c r="EP101" s="231">
        <v>417682.76</v>
      </c>
      <c r="EQ101" s="229">
        <v>0.2135</v>
      </c>
      <c r="ER101" s="231">
        <v>556793</v>
      </c>
      <c r="ES101" s="231">
        <v>404170</v>
      </c>
      <c r="ET101" s="231">
        <v>1044293</v>
      </c>
      <c r="EU101" s="231">
        <v>475237614</v>
      </c>
      <c r="EV101" s="231">
        <v>2005257</v>
      </c>
      <c r="EW101" s="231">
        <v>1794344</v>
      </c>
      <c r="EX101" s="231">
        <v>210913</v>
      </c>
      <c r="EY101" s="229">
        <v>0.11749999999999999</v>
      </c>
      <c r="EZ101" s="229">
        <v>0.33460000000000001</v>
      </c>
      <c r="FA101" s="227" t="s">
        <v>566</v>
      </c>
      <c r="FB101" s="161">
        <f t="shared" si="1"/>
        <v>31940800</v>
      </c>
    </row>
    <row r="102" spans="1:158" ht="17.25" thickBot="1" x14ac:dyDescent="0.3">
      <c r="A102" s="226">
        <v>46135</v>
      </c>
      <c r="B102" s="227" t="s">
        <v>161</v>
      </c>
      <c r="C102" s="227" t="s">
        <v>667</v>
      </c>
      <c r="D102" s="228">
        <v>3575</v>
      </c>
      <c r="E102" s="228">
        <v>101.87</v>
      </c>
      <c r="F102" s="228">
        <v>104.45</v>
      </c>
      <c r="G102" s="228">
        <v>-2.58</v>
      </c>
      <c r="H102" s="229">
        <v>-2.47E-2</v>
      </c>
      <c r="I102" s="228">
        <v>101.79</v>
      </c>
      <c r="J102" s="228">
        <v>104.56</v>
      </c>
      <c r="K102" s="228">
        <v>-2.77</v>
      </c>
      <c r="L102" s="229">
        <v>-2.6499999999999999E-2</v>
      </c>
      <c r="M102" s="228">
        <v>101.87</v>
      </c>
      <c r="N102" s="228">
        <v>104.45</v>
      </c>
      <c r="O102" s="228">
        <v>-2.58</v>
      </c>
      <c r="P102" s="229">
        <v>-2.47E-2</v>
      </c>
      <c r="Q102" s="228">
        <v>102.47</v>
      </c>
      <c r="R102" s="228">
        <v>105.06</v>
      </c>
      <c r="S102" s="228">
        <v>-2.59</v>
      </c>
      <c r="T102" s="229">
        <v>-2.47E-2</v>
      </c>
      <c r="U102" s="228">
        <v>103.12</v>
      </c>
      <c r="V102" s="228">
        <v>105.44</v>
      </c>
      <c r="W102" s="228">
        <v>-2.3199999999999998</v>
      </c>
      <c r="X102" s="229">
        <v>-2.1999999999999999E-2</v>
      </c>
      <c r="Y102" s="228">
        <v>0.08</v>
      </c>
      <c r="Z102" s="228">
        <v>-0.11</v>
      </c>
      <c r="AA102" s="228">
        <v>0.19</v>
      </c>
      <c r="AB102" s="229">
        <v>8.0000000000000004E-4</v>
      </c>
      <c r="AC102" s="228">
        <v>0.08</v>
      </c>
      <c r="AD102" s="228">
        <v>-0.11</v>
      </c>
      <c r="AE102" s="228">
        <v>0.19</v>
      </c>
      <c r="AF102" s="229">
        <v>8.0000000000000004E-4</v>
      </c>
      <c r="AG102" s="228">
        <v>0.68</v>
      </c>
      <c r="AH102" s="228">
        <v>0.5</v>
      </c>
      <c r="AI102" s="228">
        <v>0.18</v>
      </c>
      <c r="AJ102" s="229">
        <v>6.7000000000000002E-3</v>
      </c>
      <c r="AK102" s="228">
        <v>1.33</v>
      </c>
      <c r="AL102" s="228">
        <v>0.88</v>
      </c>
      <c r="AM102" s="228">
        <v>0.45</v>
      </c>
      <c r="AN102" s="229">
        <v>1.3100000000000001E-2</v>
      </c>
      <c r="AO102" s="228">
        <v>102.43</v>
      </c>
      <c r="AP102" s="228">
        <v>102.93</v>
      </c>
      <c r="AQ102" s="228">
        <v>0</v>
      </c>
      <c r="AR102" s="230">
        <v>44433675</v>
      </c>
      <c r="AS102" s="230">
        <v>35138675</v>
      </c>
      <c r="AT102" s="230">
        <v>9295000</v>
      </c>
      <c r="AU102" s="229">
        <v>0.26450000000000001</v>
      </c>
      <c r="AV102" s="230">
        <v>23083775</v>
      </c>
      <c r="AW102" s="230">
        <v>19994975</v>
      </c>
      <c r="AX102" s="230">
        <v>3088800</v>
      </c>
      <c r="AY102" s="229">
        <v>0.1545</v>
      </c>
      <c r="AZ102" s="230">
        <v>21063900</v>
      </c>
      <c r="BA102" s="230">
        <v>14879150</v>
      </c>
      <c r="BB102" s="230">
        <v>6184750</v>
      </c>
      <c r="BC102" s="229">
        <v>0.41570000000000001</v>
      </c>
      <c r="BD102" s="230">
        <v>286000</v>
      </c>
      <c r="BE102" s="230">
        <v>264550</v>
      </c>
      <c r="BF102" s="230">
        <v>21450</v>
      </c>
      <c r="BG102" s="229">
        <v>8.1100000000000005E-2</v>
      </c>
      <c r="BH102" s="230">
        <v>15948075</v>
      </c>
      <c r="BI102" s="230">
        <v>44784025</v>
      </c>
      <c r="BJ102" s="230">
        <v>-28835950</v>
      </c>
      <c r="BK102" s="229">
        <v>-0.64390000000000003</v>
      </c>
      <c r="BL102" s="230">
        <v>10356775</v>
      </c>
      <c r="BM102" s="230">
        <v>15697825</v>
      </c>
      <c r="BN102" s="230">
        <v>-5341050</v>
      </c>
      <c r="BO102" s="229">
        <v>-0.3402</v>
      </c>
      <c r="BP102" s="230">
        <v>70738525</v>
      </c>
      <c r="BQ102" s="230">
        <v>95620525</v>
      </c>
      <c r="BR102" s="230">
        <v>-24882000</v>
      </c>
      <c r="BS102" s="229">
        <v>-0.26019999999999999</v>
      </c>
      <c r="BT102" s="230">
        <v>15764756</v>
      </c>
      <c r="BU102" s="230">
        <v>26240448</v>
      </c>
      <c r="BV102" s="230">
        <v>-10475692</v>
      </c>
      <c r="BW102" s="229">
        <v>-0.3992</v>
      </c>
      <c r="BX102" s="230">
        <v>96342675</v>
      </c>
      <c r="BY102" s="230">
        <v>96943275</v>
      </c>
      <c r="BZ102" s="230">
        <v>-600600</v>
      </c>
      <c r="CA102" s="229">
        <v>-6.1999999999999998E-3</v>
      </c>
      <c r="CB102" s="230">
        <v>53532050</v>
      </c>
      <c r="CC102" s="230">
        <v>69683900</v>
      </c>
      <c r="CD102" s="230">
        <v>-16151850</v>
      </c>
      <c r="CE102" s="229">
        <v>-0.23180000000000001</v>
      </c>
      <c r="CF102" s="230">
        <v>41831075</v>
      </c>
      <c r="CG102" s="230">
        <v>26440700</v>
      </c>
      <c r="CH102" s="230">
        <v>15390375</v>
      </c>
      <c r="CI102" s="229">
        <v>0.58209999999999995</v>
      </c>
      <c r="CJ102" s="230">
        <v>979550</v>
      </c>
      <c r="CK102" s="230">
        <v>818675</v>
      </c>
      <c r="CL102" s="230">
        <v>160875</v>
      </c>
      <c r="CM102" s="229">
        <v>0.19650000000000001</v>
      </c>
      <c r="CN102" s="230">
        <v>26197600</v>
      </c>
      <c r="CO102" s="230">
        <v>25908025</v>
      </c>
      <c r="CP102" s="230">
        <v>289575</v>
      </c>
      <c r="CQ102" s="229">
        <v>1.12E-2</v>
      </c>
      <c r="CR102" s="230">
        <v>23659350</v>
      </c>
      <c r="CS102" s="230">
        <v>23208900</v>
      </c>
      <c r="CT102" s="230">
        <v>450450</v>
      </c>
      <c r="CU102" s="229">
        <v>1.9400000000000001E-2</v>
      </c>
      <c r="CV102" s="230">
        <v>146199625</v>
      </c>
      <c r="CW102" s="230">
        <v>146060200</v>
      </c>
      <c r="CX102" s="230">
        <v>139425</v>
      </c>
      <c r="CY102" s="229">
        <v>1E-3</v>
      </c>
      <c r="CZ102" s="228">
        <v>54.63</v>
      </c>
      <c r="DA102" s="228">
        <v>51.39</v>
      </c>
      <c r="DB102" s="228">
        <v>3.24</v>
      </c>
      <c r="DC102" s="228">
        <v>3.24</v>
      </c>
      <c r="DD102" s="228">
        <v>54.22</v>
      </c>
      <c r="DE102" s="228">
        <v>54.25</v>
      </c>
      <c r="DF102" s="228">
        <v>0.41</v>
      </c>
      <c r="DG102" s="228">
        <v>-0.03</v>
      </c>
      <c r="DH102" s="228">
        <v>54.81</v>
      </c>
      <c r="DI102" s="228">
        <v>50.4</v>
      </c>
      <c r="DJ102" s="228">
        <v>4.41</v>
      </c>
      <c r="DK102" s="228">
        <v>4.41</v>
      </c>
      <c r="DL102" s="228">
        <v>54.27</v>
      </c>
      <c r="DM102" s="228">
        <v>54.2</v>
      </c>
      <c r="DN102" s="228">
        <v>7.0000000000000007E-2</v>
      </c>
      <c r="DO102" s="228">
        <v>7.0000000000000007E-2</v>
      </c>
      <c r="DP102" s="228">
        <v>0.9</v>
      </c>
      <c r="DQ102" s="228">
        <v>0.9</v>
      </c>
      <c r="DR102" s="228">
        <v>0</v>
      </c>
      <c r="DS102" s="229">
        <v>0</v>
      </c>
      <c r="DT102" s="228">
        <v>100</v>
      </c>
      <c r="DU102" s="228">
        <v>90</v>
      </c>
      <c r="DV102" s="228">
        <v>0.65</v>
      </c>
      <c r="DW102" s="228">
        <v>0.35</v>
      </c>
      <c r="DX102" s="228">
        <v>0.3</v>
      </c>
      <c r="DY102" s="229">
        <v>0.85709999999999997</v>
      </c>
      <c r="DZ102" s="229">
        <v>0.44440000000000002</v>
      </c>
      <c r="EA102" s="230">
        <v>27259375</v>
      </c>
      <c r="EB102" s="229">
        <v>5.8999999999999999E-3</v>
      </c>
      <c r="EC102" s="229">
        <v>0.44440000000000002</v>
      </c>
      <c r="ED102" s="228">
        <v>0.5</v>
      </c>
      <c r="EE102" s="229">
        <v>4.8999999999999998E-3</v>
      </c>
      <c r="EF102" s="230">
        <v>5915775</v>
      </c>
      <c r="EG102" s="230">
        <v>7468416</v>
      </c>
      <c r="EH102" s="229">
        <v>-0.2079</v>
      </c>
      <c r="EI102" s="229">
        <v>0.37530000000000002</v>
      </c>
      <c r="EJ102" s="231">
        <v>17075.419999999998</v>
      </c>
      <c r="EK102" s="231">
        <v>10073.68</v>
      </c>
      <c r="EL102" s="231">
        <v>45622.42</v>
      </c>
      <c r="EM102" s="231">
        <v>7474</v>
      </c>
      <c r="EN102" s="231">
        <v>72771.520000000004</v>
      </c>
      <c r="EO102" s="231">
        <v>99854</v>
      </c>
      <c r="EP102" s="231">
        <v>-27082.48</v>
      </c>
      <c r="EQ102" s="229">
        <v>-0.2712</v>
      </c>
      <c r="ER102" s="231">
        <v>25001</v>
      </c>
      <c r="ES102" s="231">
        <v>21166</v>
      </c>
      <c r="ET102" s="231">
        <v>98408</v>
      </c>
      <c r="EU102" s="231">
        <v>144708707</v>
      </c>
      <c r="EV102" s="231">
        <v>144574</v>
      </c>
      <c r="EW102" s="231">
        <v>146731</v>
      </c>
      <c r="EX102" s="231">
        <v>-2157</v>
      </c>
      <c r="EY102" s="229">
        <v>-1.47E-2</v>
      </c>
      <c r="EZ102" s="229">
        <v>1.0103</v>
      </c>
      <c r="FA102" s="227" t="s">
        <v>567</v>
      </c>
      <c r="FB102" s="161">
        <f t="shared" si="1"/>
        <v>42810625</v>
      </c>
    </row>
    <row r="103" spans="1:158" ht="17.25" thickBot="1" x14ac:dyDescent="0.3">
      <c r="A103" s="226">
        <v>46135</v>
      </c>
      <c r="B103" s="227" t="s">
        <v>193</v>
      </c>
      <c r="C103" s="227" t="s">
        <v>241</v>
      </c>
      <c r="D103" s="228">
        <v>4875</v>
      </c>
      <c r="E103" s="228">
        <v>145.46</v>
      </c>
      <c r="F103" s="228">
        <v>147.49</v>
      </c>
      <c r="G103" s="228">
        <v>-2.0299999999999998</v>
      </c>
      <c r="H103" s="229">
        <v>-1.38E-2</v>
      </c>
      <c r="I103" s="228">
        <v>145.47999999999999</v>
      </c>
      <c r="J103" s="228">
        <v>147.36000000000001</v>
      </c>
      <c r="K103" s="228">
        <v>-1.88</v>
      </c>
      <c r="L103" s="229">
        <v>-1.2800000000000001E-2</v>
      </c>
      <c r="M103" s="228">
        <v>145.46</v>
      </c>
      <c r="N103" s="228">
        <v>147.49</v>
      </c>
      <c r="O103" s="228">
        <v>-2.0299999999999998</v>
      </c>
      <c r="P103" s="229">
        <v>-1.38E-2</v>
      </c>
      <c r="Q103" s="228">
        <v>146.22</v>
      </c>
      <c r="R103" s="228">
        <v>148.30000000000001</v>
      </c>
      <c r="S103" s="228">
        <v>-2.08</v>
      </c>
      <c r="T103" s="229">
        <v>-1.4E-2</v>
      </c>
      <c r="U103" s="228">
        <v>147.19999999999999</v>
      </c>
      <c r="V103" s="228">
        <v>149.16999999999999</v>
      </c>
      <c r="W103" s="228">
        <v>-1.97</v>
      </c>
      <c r="X103" s="229">
        <v>-1.32E-2</v>
      </c>
      <c r="Y103" s="228">
        <v>-0.02</v>
      </c>
      <c r="Z103" s="228">
        <v>0.13</v>
      </c>
      <c r="AA103" s="228">
        <v>-0.15</v>
      </c>
      <c r="AB103" s="229">
        <v>-1E-4</v>
      </c>
      <c r="AC103" s="228">
        <v>-0.02</v>
      </c>
      <c r="AD103" s="228">
        <v>0.13</v>
      </c>
      <c r="AE103" s="228">
        <v>-0.15</v>
      </c>
      <c r="AF103" s="229">
        <v>-1E-4</v>
      </c>
      <c r="AG103" s="228">
        <v>0.74</v>
      </c>
      <c r="AH103" s="228">
        <v>0.94</v>
      </c>
      <c r="AI103" s="228">
        <v>-0.2</v>
      </c>
      <c r="AJ103" s="229">
        <v>5.1000000000000004E-3</v>
      </c>
      <c r="AK103" s="228">
        <v>1.72</v>
      </c>
      <c r="AL103" s="228">
        <v>1.81</v>
      </c>
      <c r="AM103" s="228">
        <v>-0.09</v>
      </c>
      <c r="AN103" s="229">
        <v>1.18E-2</v>
      </c>
      <c r="AO103" s="228">
        <v>146.29</v>
      </c>
      <c r="AP103" s="228">
        <v>147.02000000000001</v>
      </c>
      <c r="AQ103" s="228">
        <v>0</v>
      </c>
      <c r="AR103" s="230">
        <v>63584625</v>
      </c>
      <c r="AS103" s="230">
        <v>12153375</v>
      </c>
      <c r="AT103" s="230">
        <v>51431250</v>
      </c>
      <c r="AU103" s="229">
        <v>4.2317999999999998</v>
      </c>
      <c r="AV103" s="230">
        <v>32228625</v>
      </c>
      <c r="AW103" s="230">
        <v>7839000</v>
      </c>
      <c r="AX103" s="230">
        <v>24389625</v>
      </c>
      <c r="AY103" s="229">
        <v>3.1113</v>
      </c>
      <c r="AZ103" s="230">
        <v>30108000</v>
      </c>
      <c r="BA103" s="230">
        <v>4075500</v>
      </c>
      <c r="BB103" s="230">
        <v>26032500</v>
      </c>
      <c r="BC103" s="229">
        <v>6.3875999999999999</v>
      </c>
      <c r="BD103" s="230">
        <v>1248000</v>
      </c>
      <c r="BE103" s="230">
        <v>238875</v>
      </c>
      <c r="BF103" s="230">
        <v>1009125</v>
      </c>
      <c r="BG103" s="229">
        <v>4.2244999999999999</v>
      </c>
      <c r="BH103" s="230">
        <v>49300875</v>
      </c>
      <c r="BI103" s="230">
        <v>36840375</v>
      </c>
      <c r="BJ103" s="230">
        <v>12460500</v>
      </c>
      <c r="BK103" s="229">
        <v>0.3382</v>
      </c>
      <c r="BL103" s="230">
        <v>37142625</v>
      </c>
      <c r="BM103" s="230">
        <v>22980750</v>
      </c>
      <c r="BN103" s="230">
        <v>14161875</v>
      </c>
      <c r="BO103" s="229">
        <v>0.61619999999999997</v>
      </c>
      <c r="BP103" s="230">
        <v>150028125</v>
      </c>
      <c r="BQ103" s="230">
        <v>71974500</v>
      </c>
      <c r="BR103" s="230">
        <v>78053625</v>
      </c>
      <c r="BS103" s="229">
        <v>1.0845</v>
      </c>
      <c r="BT103" s="230">
        <v>12706193</v>
      </c>
      <c r="BU103" s="230">
        <v>9036359</v>
      </c>
      <c r="BV103" s="230">
        <v>3669834</v>
      </c>
      <c r="BW103" s="229">
        <v>0.40610000000000002</v>
      </c>
      <c r="BX103" s="230">
        <v>103769250</v>
      </c>
      <c r="BY103" s="230">
        <v>103642500</v>
      </c>
      <c r="BZ103" s="230">
        <v>126750</v>
      </c>
      <c r="CA103" s="229">
        <v>1.1999999999999999E-3</v>
      </c>
      <c r="CB103" s="230">
        <v>61498125</v>
      </c>
      <c r="CC103" s="230">
        <v>84898125</v>
      </c>
      <c r="CD103" s="230">
        <v>-23400000</v>
      </c>
      <c r="CE103" s="229">
        <v>-0.27560000000000001</v>
      </c>
      <c r="CF103" s="230">
        <v>35431500</v>
      </c>
      <c r="CG103" s="230">
        <v>12699375</v>
      </c>
      <c r="CH103" s="230">
        <v>22732125</v>
      </c>
      <c r="CI103" s="229">
        <v>1.79</v>
      </c>
      <c r="CJ103" s="230">
        <v>6839625</v>
      </c>
      <c r="CK103" s="230">
        <v>6045000</v>
      </c>
      <c r="CL103" s="230">
        <v>794625</v>
      </c>
      <c r="CM103" s="229">
        <v>0.13150000000000001</v>
      </c>
      <c r="CN103" s="230">
        <v>66641250</v>
      </c>
      <c r="CO103" s="230">
        <v>68318250</v>
      </c>
      <c r="CP103" s="230">
        <v>-1677000</v>
      </c>
      <c r="CQ103" s="229">
        <v>-2.4500000000000001E-2</v>
      </c>
      <c r="CR103" s="230">
        <v>49383750</v>
      </c>
      <c r="CS103" s="230">
        <v>49778625</v>
      </c>
      <c r="CT103" s="230">
        <v>-394875</v>
      </c>
      <c r="CU103" s="229">
        <v>-7.9000000000000008E-3</v>
      </c>
      <c r="CV103" s="230">
        <v>219794250</v>
      </c>
      <c r="CW103" s="230">
        <v>221739375</v>
      </c>
      <c r="CX103" s="230">
        <v>-1945125</v>
      </c>
      <c r="CY103" s="229">
        <v>-8.8000000000000005E-3</v>
      </c>
      <c r="CZ103" s="228">
        <v>34.9</v>
      </c>
      <c r="DA103" s="228">
        <v>33.96</v>
      </c>
      <c r="DB103" s="228">
        <v>0.94</v>
      </c>
      <c r="DC103" s="228">
        <v>0.94</v>
      </c>
      <c r="DD103" s="228">
        <v>33.83</v>
      </c>
      <c r="DE103" s="228">
        <v>33.86</v>
      </c>
      <c r="DF103" s="228">
        <v>1.07</v>
      </c>
      <c r="DG103" s="228">
        <v>-0.03</v>
      </c>
      <c r="DH103" s="228">
        <v>34.56</v>
      </c>
      <c r="DI103" s="228">
        <v>32.35</v>
      </c>
      <c r="DJ103" s="228">
        <v>2.21</v>
      </c>
      <c r="DK103" s="228">
        <v>2.21</v>
      </c>
      <c r="DL103" s="228">
        <v>35.43</v>
      </c>
      <c r="DM103" s="228">
        <v>36.549999999999997</v>
      </c>
      <c r="DN103" s="228">
        <v>-1.1200000000000001</v>
      </c>
      <c r="DO103" s="228">
        <v>-1.1200000000000001</v>
      </c>
      <c r="DP103" s="228">
        <v>0.74</v>
      </c>
      <c r="DQ103" s="228">
        <v>0.73</v>
      </c>
      <c r="DR103" s="228">
        <v>0.01</v>
      </c>
      <c r="DS103" s="229">
        <v>1.37E-2</v>
      </c>
      <c r="DT103" s="228">
        <v>150</v>
      </c>
      <c r="DU103" s="228">
        <v>140</v>
      </c>
      <c r="DV103" s="228">
        <v>0.75</v>
      </c>
      <c r="DW103" s="228">
        <v>0.62</v>
      </c>
      <c r="DX103" s="228">
        <v>0.13</v>
      </c>
      <c r="DY103" s="229">
        <v>0.2097</v>
      </c>
      <c r="DZ103" s="229">
        <v>0.40739999999999998</v>
      </c>
      <c r="EA103" s="230">
        <v>18744375</v>
      </c>
      <c r="EB103" s="229">
        <v>5.1999999999999998E-3</v>
      </c>
      <c r="EC103" s="229">
        <v>0.40739999999999998</v>
      </c>
      <c r="ED103" s="228">
        <v>0.73</v>
      </c>
      <c r="EE103" s="229">
        <v>5.0000000000000001E-3</v>
      </c>
      <c r="EF103" s="230">
        <v>5939986</v>
      </c>
      <c r="EG103" s="230">
        <v>3960824</v>
      </c>
      <c r="EH103" s="229">
        <v>0.49969999999999998</v>
      </c>
      <c r="EI103" s="229">
        <v>0.46750000000000003</v>
      </c>
      <c r="EJ103" s="231">
        <v>75440.87</v>
      </c>
      <c r="EK103" s="231">
        <v>53461.67</v>
      </c>
      <c r="EL103" s="231">
        <v>93257.3</v>
      </c>
      <c r="EM103" s="231">
        <v>3418</v>
      </c>
      <c r="EN103" s="231">
        <v>222159.84</v>
      </c>
      <c r="EO103" s="231">
        <v>107807.85</v>
      </c>
      <c r="EP103" s="231">
        <v>114351.99</v>
      </c>
      <c r="EQ103" s="229">
        <v>1.0607</v>
      </c>
      <c r="ER103" s="231">
        <v>102227</v>
      </c>
      <c r="ES103" s="231">
        <v>69565</v>
      </c>
      <c r="ET103" s="231">
        <v>151331</v>
      </c>
      <c r="EU103" s="231">
        <v>684903861</v>
      </c>
      <c r="EV103" s="231">
        <v>323123</v>
      </c>
      <c r="EW103" s="231">
        <v>328003</v>
      </c>
      <c r="EX103" s="231">
        <v>-4880</v>
      </c>
      <c r="EY103" s="229">
        <v>-1.49E-2</v>
      </c>
      <c r="EZ103" s="229">
        <v>0.32090000000000002</v>
      </c>
      <c r="FA103" s="227" t="s">
        <v>566</v>
      </c>
      <c r="FB103" s="161">
        <f t="shared" si="1"/>
        <v>42271125</v>
      </c>
    </row>
    <row r="104" spans="1:158" ht="17.25" thickBot="1" x14ac:dyDescent="0.3">
      <c r="A104" s="226">
        <v>46135</v>
      </c>
      <c r="B104" s="227" t="s">
        <v>175</v>
      </c>
      <c r="C104" s="227" t="s">
        <v>663</v>
      </c>
      <c r="D104" s="228">
        <v>3450</v>
      </c>
      <c r="E104" s="228">
        <v>137.56</v>
      </c>
      <c r="F104" s="228">
        <v>140.88999999999999</v>
      </c>
      <c r="G104" s="228">
        <v>-3.33</v>
      </c>
      <c r="H104" s="229">
        <v>-2.3599999999999999E-2</v>
      </c>
      <c r="I104" s="228">
        <v>137.52000000000001</v>
      </c>
      <c r="J104" s="228">
        <v>140.44999999999999</v>
      </c>
      <c r="K104" s="228">
        <v>-2.93</v>
      </c>
      <c r="L104" s="229">
        <v>-2.0899999999999998E-2</v>
      </c>
      <c r="M104" s="228">
        <v>137.56</v>
      </c>
      <c r="N104" s="228">
        <v>140.88999999999999</v>
      </c>
      <c r="O104" s="228">
        <v>-3.33</v>
      </c>
      <c r="P104" s="229">
        <v>-2.3599999999999999E-2</v>
      </c>
      <c r="Q104" s="228">
        <v>135.16999999999999</v>
      </c>
      <c r="R104" s="228">
        <v>139.07</v>
      </c>
      <c r="S104" s="228">
        <v>-3.9</v>
      </c>
      <c r="T104" s="229">
        <v>-2.8000000000000001E-2</v>
      </c>
      <c r="U104" s="228">
        <v>134.16999999999999</v>
      </c>
      <c r="V104" s="228">
        <v>138.49</v>
      </c>
      <c r="W104" s="228">
        <v>-4.32</v>
      </c>
      <c r="X104" s="229">
        <v>-3.1199999999999999E-2</v>
      </c>
      <c r="Y104" s="228">
        <v>0.04</v>
      </c>
      <c r="Z104" s="228">
        <v>0.44</v>
      </c>
      <c r="AA104" s="228">
        <v>-0.4</v>
      </c>
      <c r="AB104" s="229">
        <v>2.9999999999999997E-4</v>
      </c>
      <c r="AC104" s="228">
        <v>0.04</v>
      </c>
      <c r="AD104" s="228">
        <v>0.44</v>
      </c>
      <c r="AE104" s="228">
        <v>-0.4</v>
      </c>
      <c r="AF104" s="229">
        <v>2.9999999999999997E-4</v>
      </c>
      <c r="AG104" s="228">
        <v>-2.35</v>
      </c>
      <c r="AH104" s="228">
        <v>-1.38</v>
      </c>
      <c r="AI104" s="228">
        <v>-0.97</v>
      </c>
      <c r="AJ104" s="229">
        <v>-1.7100000000000001E-2</v>
      </c>
      <c r="AK104" s="228">
        <v>-3.35</v>
      </c>
      <c r="AL104" s="228">
        <v>-1.96</v>
      </c>
      <c r="AM104" s="228">
        <v>-1.39</v>
      </c>
      <c r="AN104" s="229">
        <v>-2.4400000000000002E-2</v>
      </c>
      <c r="AO104" s="228">
        <v>138.35</v>
      </c>
      <c r="AP104" s="228">
        <v>136.18</v>
      </c>
      <c r="AQ104" s="228">
        <v>0</v>
      </c>
      <c r="AR104" s="230">
        <v>44349750</v>
      </c>
      <c r="AS104" s="230">
        <v>46754400</v>
      </c>
      <c r="AT104" s="230">
        <v>-2404650</v>
      </c>
      <c r="AU104" s="229">
        <v>-5.1400000000000001E-2</v>
      </c>
      <c r="AV104" s="230">
        <v>21800550</v>
      </c>
      <c r="AW104" s="230">
        <v>27869100</v>
      </c>
      <c r="AX104" s="230">
        <v>-6068550</v>
      </c>
      <c r="AY104" s="229">
        <v>-0.21779999999999999</v>
      </c>
      <c r="AZ104" s="230">
        <v>21338250</v>
      </c>
      <c r="BA104" s="230">
        <v>16808400</v>
      </c>
      <c r="BB104" s="230">
        <v>4529850</v>
      </c>
      <c r="BC104" s="229">
        <v>0.26950000000000002</v>
      </c>
      <c r="BD104" s="230">
        <v>1210950</v>
      </c>
      <c r="BE104" s="230">
        <v>2076900</v>
      </c>
      <c r="BF104" s="230">
        <v>-865950</v>
      </c>
      <c r="BG104" s="229">
        <v>-0.41689999999999999</v>
      </c>
      <c r="BH104" s="230">
        <v>51353250</v>
      </c>
      <c r="BI104" s="230">
        <v>239609400</v>
      </c>
      <c r="BJ104" s="230">
        <v>-188256150</v>
      </c>
      <c r="BK104" s="229">
        <v>-0.78569999999999995</v>
      </c>
      <c r="BL104" s="230">
        <v>33696150</v>
      </c>
      <c r="BM104" s="230">
        <v>87160800</v>
      </c>
      <c r="BN104" s="230">
        <v>-53464650</v>
      </c>
      <c r="BO104" s="229">
        <v>-0.61339999999999995</v>
      </c>
      <c r="BP104" s="230">
        <v>129399150</v>
      </c>
      <c r="BQ104" s="230">
        <v>373524600</v>
      </c>
      <c r="BR104" s="230">
        <v>-244125450</v>
      </c>
      <c r="BS104" s="229">
        <v>-0.65359999999999996</v>
      </c>
      <c r="BT104" s="230">
        <v>22495692</v>
      </c>
      <c r="BU104" s="230">
        <v>78548877</v>
      </c>
      <c r="BV104" s="230">
        <v>-56053185</v>
      </c>
      <c r="BW104" s="229">
        <v>-0.71360000000000001</v>
      </c>
      <c r="BX104" s="230">
        <v>56179800</v>
      </c>
      <c r="BY104" s="230">
        <v>64580550</v>
      </c>
      <c r="BZ104" s="230">
        <v>-8400750</v>
      </c>
      <c r="CA104" s="229">
        <v>-0.13009999999999999</v>
      </c>
      <c r="CB104" s="230">
        <v>26951400</v>
      </c>
      <c r="CC104" s="230">
        <v>40768650</v>
      </c>
      <c r="CD104" s="230">
        <v>-13817250</v>
      </c>
      <c r="CE104" s="229">
        <v>-0.33889999999999998</v>
      </c>
      <c r="CF104" s="230">
        <v>25536900</v>
      </c>
      <c r="CG104" s="230">
        <v>20693100</v>
      </c>
      <c r="CH104" s="230">
        <v>4843800</v>
      </c>
      <c r="CI104" s="229">
        <v>0.2341</v>
      </c>
      <c r="CJ104" s="230">
        <v>3691500</v>
      </c>
      <c r="CK104" s="230">
        <v>3118800</v>
      </c>
      <c r="CL104" s="230">
        <v>572700</v>
      </c>
      <c r="CM104" s="229">
        <v>0.18360000000000001</v>
      </c>
      <c r="CN104" s="230">
        <v>34344750</v>
      </c>
      <c r="CO104" s="230">
        <v>32885400</v>
      </c>
      <c r="CP104" s="230">
        <v>1459350</v>
      </c>
      <c r="CQ104" s="229">
        <v>4.4400000000000002E-2</v>
      </c>
      <c r="CR104" s="230">
        <v>30670500</v>
      </c>
      <c r="CS104" s="230">
        <v>33144150</v>
      </c>
      <c r="CT104" s="230">
        <v>-2473650</v>
      </c>
      <c r="CU104" s="229">
        <v>-7.46E-2</v>
      </c>
      <c r="CV104" s="230">
        <v>121195050</v>
      </c>
      <c r="CW104" s="230">
        <v>130610100</v>
      </c>
      <c r="CX104" s="230">
        <v>-9415050</v>
      </c>
      <c r="CY104" s="229">
        <v>-7.2099999999999997E-2</v>
      </c>
      <c r="CZ104" s="228">
        <v>41.78</v>
      </c>
      <c r="DA104" s="228">
        <v>42.74</v>
      </c>
      <c r="DB104" s="228">
        <v>-0.96</v>
      </c>
      <c r="DC104" s="228">
        <v>-0.96</v>
      </c>
      <c r="DD104" s="228">
        <v>49.79</v>
      </c>
      <c r="DE104" s="228">
        <v>49.81</v>
      </c>
      <c r="DF104" s="228">
        <v>-8.01</v>
      </c>
      <c r="DG104" s="228">
        <v>-0.02</v>
      </c>
      <c r="DH104" s="228">
        <v>41.72</v>
      </c>
      <c r="DI104" s="228">
        <v>42.01</v>
      </c>
      <c r="DJ104" s="228">
        <v>-0.28999999999999998</v>
      </c>
      <c r="DK104" s="228">
        <v>-0.28999999999999998</v>
      </c>
      <c r="DL104" s="228">
        <v>41.98</v>
      </c>
      <c r="DM104" s="228">
        <v>44.75</v>
      </c>
      <c r="DN104" s="228">
        <v>-2.77</v>
      </c>
      <c r="DO104" s="228">
        <v>-2.77</v>
      </c>
      <c r="DP104" s="228">
        <v>0.89</v>
      </c>
      <c r="DQ104" s="228">
        <v>1.01</v>
      </c>
      <c r="DR104" s="228">
        <v>-0.12</v>
      </c>
      <c r="DS104" s="229">
        <v>-0.1188</v>
      </c>
      <c r="DT104" s="228">
        <v>140</v>
      </c>
      <c r="DU104" s="228">
        <v>134</v>
      </c>
      <c r="DV104" s="228">
        <v>0.66</v>
      </c>
      <c r="DW104" s="228">
        <v>0.36</v>
      </c>
      <c r="DX104" s="228">
        <v>0.3</v>
      </c>
      <c r="DY104" s="229">
        <v>0.83330000000000004</v>
      </c>
      <c r="DZ104" s="229">
        <v>0.52029999999999998</v>
      </c>
      <c r="EA104" s="230">
        <v>23811900</v>
      </c>
      <c r="EB104" s="229">
        <v>-1.7399999999999999E-2</v>
      </c>
      <c r="EC104" s="229">
        <v>0.52029999999999998</v>
      </c>
      <c r="ED104" s="228">
        <v>-2.17</v>
      </c>
      <c r="EE104" s="229">
        <v>-1.5699999999999999E-2</v>
      </c>
      <c r="EF104" s="230">
        <v>6202407</v>
      </c>
      <c r="EG104" s="230">
        <v>15567635</v>
      </c>
      <c r="EH104" s="229">
        <v>-0.60160000000000002</v>
      </c>
      <c r="EI104" s="229">
        <v>0.2757</v>
      </c>
      <c r="EJ104" s="231">
        <v>74539.91</v>
      </c>
      <c r="EK104" s="231">
        <v>45553.07</v>
      </c>
      <c r="EL104" s="231">
        <v>60865.279999999999</v>
      </c>
      <c r="EM104" s="231">
        <v>6935</v>
      </c>
      <c r="EN104" s="231">
        <v>180958.26</v>
      </c>
      <c r="EO104" s="231">
        <v>525794.86</v>
      </c>
      <c r="EP104" s="231">
        <v>-344836.6</v>
      </c>
      <c r="EQ104" s="229">
        <v>-0.65580000000000005</v>
      </c>
      <c r="ER104" s="231">
        <v>47181</v>
      </c>
      <c r="ES104" s="231">
        <v>39215</v>
      </c>
      <c r="ET104" s="231">
        <v>76545</v>
      </c>
      <c r="EU104" s="231">
        <v>119011160</v>
      </c>
      <c r="EV104" s="231">
        <v>162941</v>
      </c>
      <c r="EW104" s="231">
        <v>177872</v>
      </c>
      <c r="EX104" s="231">
        <v>-14931</v>
      </c>
      <c r="EY104" s="229">
        <v>-8.3900000000000002E-2</v>
      </c>
      <c r="EZ104" s="229">
        <v>1.0184</v>
      </c>
      <c r="FA104" s="227" t="s">
        <v>567</v>
      </c>
      <c r="FB104" s="161">
        <f t="shared" si="1"/>
        <v>29228400</v>
      </c>
    </row>
    <row r="105" spans="1:158" ht="17.25" thickBot="1" x14ac:dyDescent="0.3">
      <c r="A105" s="226">
        <v>46135</v>
      </c>
      <c r="B105" s="227" t="s">
        <v>215</v>
      </c>
      <c r="C105" s="227" t="s">
        <v>591</v>
      </c>
      <c r="D105" s="228">
        <v>4250</v>
      </c>
      <c r="E105" s="228">
        <v>104.51</v>
      </c>
      <c r="F105" s="228">
        <v>106.19</v>
      </c>
      <c r="G105" s="228">
        <v>-1.68</v>
      </c>
      <c r="H105" s="229">
        <v>-1.5800000000000002E-2</v>
      </c>
      <c r="I105" s="228">
        <v>105.06</v>
      </c>
      <c r="J105" s="228">
        <v>105.82</v>
      </c>
      <c r="K105" s="228">
        <v>-0.76</v>
      </c>
      <c r="L105" s="229">
        <v>-7.1999999999999998E-3</v>
      </c>
      <c r="M105" s="228">
        <v>104.51</v>
      </c>
      <c r="N105" s="228">
        <v>106.19</v>
      </c>
      <c r="O105" s="228">
        <v>-1.68</v>
      </c>
      <c r="P105" s="229">
        <v>-1.5800000000000002E-2</v>
      </c>
      <c r="Q105" s="228">
        <v>103.22</v>
      </c>
      <c r="R105" s="228">
        <v>105.53</v>
      </c>
      <c r="S105" s="228">
        <v>-2.31</v>
      </c>
      <c r="T105" s="229">
        <v>-2.1899999999999999E-2</v>
      </c>
      <c r="U105" s="228">
        <v>102.71</v>
      </c>
      <c r="V105" s="228">
        <v>105.2</v>
      </c>
      <c r="W105" s="228">
        <v>-2.4900000000000002</v>
      </c>
      <c r="X105" s="229">
        <v>-2.3699999999999999E-2</v>
      </c>
      <c r="Y105" s="228">
        <v>-0.55000000000000004</v>
      </c>
      <c r="Z105" s="228">
        <v>0.37</v>
      </c>
      <c r="AA105" s="228">
        <v>-0.92</v>
      </c>
      <c r="AB105" s="229">
        <v>-5.1999999999999998E-3</v>
      </c>
      <c r="AC105" s="228">
        <v>-0.55000000000000004</v>
      </c>
      <c r="AD105" s="228">
        <v>0.37</v>
      </c>
      <c r="AE105" s="228">
        <v>-0.92</v>
      </c>
      <c r="AF105" s="229">
        <v>-5.1999999999999998E-3</v>
      </c>
      <c r="AG105" s="228">
        <v>-1.84</v>
      </c>
      <c r="AH105" s="228">
        <v>-0.28999999999999998</v>
      </c>
      <c r="AI105" s="228">
        <v>-1.55</v>
      </c>
      <c r="AJ105" s="229">
        <v>-1.7500000000000002E-2</v>
      </c>
      <c r="AK105" s="228">
        <v>-2.35</v>
      </c>
      <c r="AL105" s="228">
        <v>-0.62</v>
      </c>
      <c r="AM105" s="228">
        <v>-1.73</v>
      </c>
      <c r="AN105" s="229">
        <v>-2.24E-2</v>
      </c>
      <c r="AO105" s="228">
        <v>105.94</v>
      </c>
      <c r="AP105" s="228">
        <v>104.85</v>
      </c>
      <c r="AQ105" s="228">
        <v>0</v>
      </c>
      <c r="AR105" s="230">
        <v>54570000</v>
      </c>
      <c r="AS105" s="230">
        <v>19095250</v>
      </c>
      <c r="AT105" s="230">
        <v>35474750</v>
      </c>
      <c r="AU105" s="229">
        <v>1.8577999999999999</v>
      </c>
      <c r="AV105" s="230">
        <v>25483000</v>
      </c>
      <c r="AW105" s="230">
        <v>10960750</v>
      </c>
      <c r="AX105" s="230">
        <v>14522250</v>
      </c>
      <c r="AY105" s="229">
        <v>1.3249</v>
      </c>
      <c r="AZ105" s="230">
        <v>27234000</v>
      </c>
      <c r="BA105" s="230">
        <v>7458750</v>
      </c>
      <c r="BB105" s="230">
        <v>19775250</v>
      </c>
      <c r="BC105" s="229">
        <v>2.6513</v>
      </c>
      <c r="BD105" s="230">
        <v>1853000</v>
      </c>
      <c r="BE105" s="230">
        <v>675750</v>
      </c>
      <c r="BF105" s="230">
        <v>1177250</v>
      </c>
      <c r="BG105" s="229">
        <v>1.7421</v>
      </c>
      <c r="BH105" s="230">
        <v>140058750</v>
      </c>
      <c r="BI105" s="230">
        <v>97193250</v>
      </c>
      <c r="BJ105" s="230">
        <v>42865500</v>
      </c>
      <c r="BK105" s="229">
        <v>0.441</v>
      </c>
      <c r="BL105" s="230">
        <v>36711500</v>
      </c>
      <c r="BM105" s="230">
        <v>25202500</v>
      </c>
      <c r="BN105" s="230">
        <v>11509000</v>
      </c>
      <c r="BO105" s="229">
        <v>0.45669999999999999</v>
      </c>
      <c r="BP105" s="230">
        <v>231340250</v>
      </c>
      <c r="BQ105" s="230">
        <v>141491000</v>
      </c>
      <c r="BR105" s="230">
        <v>89849250</v>
      </c>
      <c r="BS105" s="229">
        <v>0.63500000000000001</v>
      </c>
      <c r="BT105" s="230">
        <v>44280184</v>
      </c>
      <c r="BU105" s="230">
        <v>24206553</v>
      </c>
      <c r="BV105" s="230">
        <v>20073631</v>
      </c>
      <c r="BW105" s="229">
        <v>0.82930000000000004</v>
      </c>
      <c r="BX105" s="230">
        <v>65348000</v>
      </c>
      <c r="BY105" s="230">
        <v>63053000</v>
      </c>
      <c r="BZ105" s="230">
        <v>2295000</v>
      </c>
      <c r="CA105" s="229">
        <v>3.6400000000000002E-2</v>
      </c>
      <c r="CB105" s="230">
        <v>31994000</v>
      </c>
      <c r="CC105" s="230">
        <v>42704000</v>
      </c>
      <c r="CD105" s="230">
        <v>-10710000</v>
      </c>
      <c r="CE105" s="229">
        <v>-0.25080000000000002</v>
      </c>
      <c r="CF105" s="230">
        <v>30166500</v>
      </c>
      <c r="CG105" s="230">
        <v>18037000</v>
      </c>
      <c r="CH105" s="230">
        <v>12129500</v>
      </c>
      <c r="CI105" s="229">
        <v>0.67249999999999999</v>
      </c>
      <c r="CJ105" s="230">
        <v>3187500</v>
      </c>
      <c r="CK105" s="230">
        <v>2312000</v>
      </c>
      <c r="CL105" s="230">
        <v>875500</v>
      </c>
      <c r="CM105" s="229">
        <v>0.37869999999999998</v>
      </c>
      <c r="CN105" s="230">
        <v>54982250</v>
      </c>
      <c r="CO105" s="230">
        <v>43515750</v>
      </c>
      <c r="CP105" s="230">
        <v>11466500</v>
      </c>
      <c r="CQ105" s="229">
        <v>0.26350000000000001</v>
      </c>
      <c r="CR105" s="230">
        <v>32380750</v>
      </c>
      <c r="CS105" s="230">
        <v>30697750</v>
      </c>
      <c r="CT105" s="230">
        <v>1683000</v>
      </c>
      <c r="CU105" s="229">
        <v>5.4800000000000001E-2</v>
      </c>
      <c r="CV105" s="230">
        <v>152711000</v>
      </c>
      <c r="CW105" s="230">
        <v>137266500</v>
      </c>
      <c r="CX105" s="230">
        <v>15444500</v>
      </c>
      <c r="CY105" s="229">
        <v>0.1125</v>
      </c>
      <c r="CZ105" s="228">
        <v>45.1</v>
      </c>
      <c r="DA105" s="228">
        <v>39.659999999999997</v>
      </c>
      <c r="DB105" s="228">
        <v>5.44</v>
      </c>
      <c r="DC105" s="228">
        <v>5.44</v>
      </c>
      <c r="DD105" s="228">
        <v>45.54</v>
      </c>
      <c r="DE105" s="228">
        <v>45.6</v>
      </c>
      <c r="DF105" s="228">
        <v>-0.44</v>
      </c>
      <c r="DG105" s="228">
        <v>-0.06</v>
      </c>
      <c r="DH105" s="228">
        <v>45.35</v>
      </c>
      <c r="DI105" s="228">
        <v>38.86</v>
      </c>
      <c r="DJ105" s="228">
        <v>6.49</v>
      </c>
      <c r="DK105" s="228">
        <v>6.49</v>
      </c>
      <c r="DL105" s="228">
        <v>44.57</v>
      </c>
      <c r="DM105" s="228">
        <v>42.72</v>
      </c>
      <c r="DN105" s="228">
        <v>1.85</v>
      </c>
      <c r="DO105" s="228">
        <v>1.85</v>
      </c>
      <c r="DP105" s="228">
        <v>0.59</v>
      </c>
      <c r="DQ105" s="228">
        <v>0.71</v>
      </c>
      <c r="DR105" s="228">
        <v>-0.12</v>
      </c>
      <c r="DS105" s="229">
        <v>-0.16900000000000001</v>
      </c>
      <c r="DT105" s="228">
        <v>110</v>
      </c>
      <c r="DU105" s="228">
        <v>85</v>
      </c>
      <c r="DV105" s="228">
        <v>0.26</v>
      </c>
      <c r="DW105" s="228">
        <v>0.26</v>
      </c>
      <c r="DX105" s="228">
        <v>0</v>
      </c>
      <c r="DY105" s="229">
        <v>0</v>
      </c>
      <c r="DZ105" s="229">
        <v>0.51039999999999996</v>
      </c>
      <c r="EA105" s="230">
        <v>20349000</v>
      </c>
      <c r="EB105" s="229">
        <v>-1.23E-2</v>
      </c>
      <c r="EC105" s="229">
        <v>0.51039999999999996</v>
      </c>
      <c r="ED105" s="228">
        <v>-1.0900000000000001</v>
      </c>
      <c r="EE105" s="229">
        <v>-1.03E-2</v>
      </c>
      <c r="EF105" s="230">
        <v>12451651</v>
      </c>
      <c r="EG105" s="230">
        <v>7830033</v>
      </c>
      <c r="EH105" s="229">
        <v>0.59019999999999995</v>
      </c>
      <c r="EI105" s="229">
        <v>0.28120000000000001</v>
      </c>
      <c r="EJ105" s="231">
        <v>155671.9</v>
      </c>
      <c r="EK105" s="231">
        <v>39171.94</v>
      </c>
      <c r="EL105" s="231">
        <v>57494.71</v>
      </c>
      <c r="EM105" s="231">
        <v>3473</v>
      </c>
      <c r="EN105" s="231">
        <v>252338.55</v>
      </c>
      <c r="EO105" s="231">
        <v>153130.6</v>
      </c>
      <c r="EP105" s="231">
        <v>99207.95</v>
      </c>
      <c r="EQ105" s="229">
        <v>0.64790000000000003</v>
      </c>
      <c r="ER105" s="231">
        <v>59405</v>
      </c>
      <c r="ES105" s="231">
        <v>32207</v>
      </c>
      <c r="ET105" s="231">
        <v>67849</v>
      </c>
      <c r="EU105" s="231">
        <v>267310350</v>
      </c>
      <c r="EV105" s="231">
        <v>159461</v>
      </c>
      <c r="EW105" s="231">
        <v>143738</v>
      </c>
      <c r="EX105" s="231">
        <v>15723</v>
      </c>
      <c r="EY105" s="229">
        <v>0.1094</v>
      </c>
      <c r="EZ105" s="229">
        <v>0.57130000000000003</v>
      </c>
      <c r="FA105" s="227" t="s">
        <v>566</v>
      </c>
      <c r="FB105" s="161">
        <f t="shared" si="1"/>
        <v>33354000</v>
      </c>
    </row>
    <row r="106" spans="1:158" ht="17.25" thickBot="1" x14ac:dyDescent="0.3">
      <c r="A106" s="226">
        <v>46135</v>
      </c>
      <c r="B106" s="227" t="s">
        <v>168</v>
      </c>
      <c r="C106" s="227" t="s">
        <v>242</v>
      </c>
      <c r="D106" s="228">
        <v>1600</v>
      </c>
      <c r="E106" s="228">
        <v>305.05</v>
      </c>
      <c r="F106" s="228">
        <v>305.8</v>
      </c>
      <c r="G106" s="228">
        <v>-0.75</v>
      </c>
      <c r="H106" s="229">
        <v>-2.5000000000000001E-3</v>
      </c>
      <c r="I106" s="228">
        <v>305.3</v>
      </c>
      <c r="J106" s="228">
        <v>305.5</v>
      </c>
      <c r="K106" s="228">
        <v>-0.2</v>
      </c>
      <c r="L106" s="229">
        <v>-6.9999999999999999E-4</v>
      </c>
      <c r="M106" s="228">
        <v>305.05</v>
      </c>
      <c r="N106" s="228">
        <v>305.8</v>
      </c>
      <c r="O106" s="228">
        <v>-0.75</v>
      </c>
      <c r="P106" s="229">
        <v>-2.5000000000000001E-3</v>
      </c>
      <c r="Q106" s="228">
        <v>306.7</v>
      </c>
      <c r="R106" s="228">
        <v>307.5</v>
      </c>
      <c r="S106" s="228">
        <v>-0.8</v>
      </c>
      <c r="T106" s="229">
        <v>-2.5999999999999999E-3</v>
      </c>
      <c r="U106" s="228">
        <v>308.5</v>
      </c>
      <c r="V106" s="228">
        <v>309.39999999999998</v>
      </c>
      <c r="W106" s="228">
        <v>-0.9</v>
      </c>
      <c r="X106" s="229">
        <v>-2.8999999999999998E-3</v>
      </c>
      <c r="Y106" s="228">
        <v>-0.25</v>
      </c>
      <c r="Z106" s="228">
        <v>0.3</v>
      </c>
      <c r="AA106" s="228">
        <v>-0.55000000000000004</v>
      </c>
      <c r="AB106" s="229">
        <v>-8.0000000000000004E-4</v>
      </c>
      <c r="AC106" s="228">
        <v>-0.25</v>
      </c>
      <c r="AD106" s="228">
        <v>0.3</v>
      </c>
      <c r="AE106" s="228">
        <v>-0.55000000000000004</v>
      </c>
      <c r="AF106" s="229">
        <v>-8.0000000000000004E-4</v>
      </c>
      <c r="AG106" s="228">
        <v>1.4</v>
      </c>
      <c r="AH106" s="228">
        <v>2</v>
      </c>
      <c r="AI106" s="228">
        <v>-0.6</v>
      </c>
      <c r="AJ106" s="229">
        <v>4.5999999999999999E-3</v>
      </c>
      <c r="AK106" s="228">
        <v>3.2</v>
      </c>
      <c r="AL106" s="228">
        <v>3.9</v>
      </c>
      <c r="AM106" s="228">
        <v>-0.7</v>
      </c>
      <c r="AN106" s="229">
        <v>1.0500000000000001E-2</v>
      </c>
      <c r="AO106" s="228">
        <v>305.13</v>
      </c>
      <c r="AP106" s="228">
        <v>306.77999999999997</v>
      </c>
      <c r="AQ106" s="228">
        <v>0</v>
      </c>
      <c r="AR106" s="230">
        <v>61619200</v>
      </c>
      <c r="AS106" s="230">
        <v>32731200</v>
      </c>
      <c r="AT106" s="230">
        <v>28888000</v>
      </c>
      <c r="AU106" s="229">
        <v>0.88260000000000005</v>
      </c>
      <c r="AV106" s="230">
        <v>30014400</v>
      </c>
      <c r="AW106" s="230">
        <v>17048000</v>
      </c>
      <c r="AX106" s="230">
        <v>12966400</v>
      </c>
      <c r="AY106" s="229">
        <v>0.76060000000000005</v>
      </c>
      <c r="AZ106" s="230">
        <v>27467200</v>
      </c>
      <c r="BA106" s="230">
        <v>12806400</v>
      </c>
      <c r="BB106" s="230">
        <v>14660800</v>
      </c>
      <c r="BC106" s="229">
        <v>1.1448</v>
      </c>
      <c r="BD106" s="230">
        <v>4137600</v>
      </c>
      <c r="BE106" s="230">
        <v>2876800</v>
      </c>
      <c r="BF106" s="230">
        <v>1260800</v>
      </c>
      <c r="BG106" s="229">
        <v>0.43830000000000002</v>
      </c>
      <c r="BH106" s="230">
        <v>92169600</v>
      </c>
      <c r="BI106" s="230">
        <v>145480000</v>
      </c>
      <c r="BJ106" s="230">
        <v>-53310400</v>
      </c>
      <c r="BK106" s="229">
        <v>-0.3664</v>
      </c>
      <c r="BL106" s="230">
        <v>36481600</v>
      </c>
      <c r="BM106" s="230">
        <v>51715200</v>
      </c>
      <c r="BN106" s="230">
        <v>-15233600</v>
      </c>
      <c r="BO106" s="229">
        <v>-0.29459999999999997</v>
      </c>
      <c r="BP106" s="230">
        <v>190270400</v>
      </c>
      <c r="BQ106" s="230">
        <v>229926400</v>
      </c>
      <c r="BR106" s="230">
        <v>-39656000</v>
      </c>
      <c r="BS106" s="229">
        <v>-0.17249999999999999</v>
      </c>
      <c r="BT106" s="230">
        <v>11206575</v>
      </c>
      <c r="BU106" s="230">
        <v>25150184</v>
      </c>
      <c r="BV106" s="230">
        <v>-13943609</v>
      </c>
      <c r="BW106" s="229">
        <v>-0.5544</v>
      </c>
      <c r="BX106" s="230">
        <v>176552000</v>
      </c>
      <c r="BY106" s="230">
        <v>174812800</v>
      </c>
      <c r="BZ106" s="230">
        <v>1739200</v>
      </c>
      <c r="CA106" s="229">
        <v>9.9000000000000008E-3</v>
      </c>
      <c r="CB106" s="230">
        <v>106334400</v>
      </c>
      <c r="CC106" s="230">
        <v>132145600</v>
      </c>
      <c r="CD106" s="230">
        <v>-25811200</v>
      </c>
      <c r="CE106" s="229">
        <v>-0.1953</v>
      </c>
      <c r="CF106" s="230">
        <v>58864000</v>
      </c>
      <c r="CG106" s="230">
        <v>35105600</v>
      </c>
      <c r="CH106" s="230">
        <v>23758400</v>
      </c>
      <c r="CI106" s="229">
        <v>0.67679999999999996</v>
      </c>
      <c r="CJ106" s="230">
        <v>11353600</v>
      </c>
      <c r="CK106" s="230">
        <v>7561600</v>
      </c>
      <c r="CL106" s="230">
        <v>3792000</v>
      </c>
      <c r="CM106" s="229">
        <v>0.50149999999999995</v>
      </c>
      <c r="CN106" s="230">
        <v>125788800</v>
      </c>
      <c r="CO106" s="230">
        <v>126622400</v>
      </c>
      <c r="CP106" s="230">
        <v>-833600</v>
      </c>
      <c r="CQ106" s="229">
        <v>-6.6E-3</v>
      </c>
      <c r="CR106" s="230">
        <v>63444800</v>
      </c>
      <c r="CS106" s="230">
        <v>62956800</v>
      </c>
      <c r="CT106" s="230">
        <v>488000</v>
      </c>
      <c r="CU106" s="229">
        <v>7.7999999999999996E-3</v>
      </c>
      <c r="CV106" s="230">
        <v>365785600</v>
      </c>
      <c r="CW106" s="230">
        <v>364392000</v>
      </c>
      <c r="CX106" s="230">
        <v>1393600</v>
      </c>
      <c r="CY106" s="229">
        <v>3.8E-3</v>
      </c>
      <c r="CZ106" s="228">
        <v>24.07</v>
      </c>
      <c r="DA106" s="228">
        <v>21.78</v>
      </c>
      <c r="DB106" s="228">
        <v>2.29</v>
      </c>
      <c r="DC106" s="228">
        <v>2.29</v>
      </c>
      <c r="DD106" s="228">
        <v>24.39</v>
      </c>
      <c r="DE106" s="228">
        <v>24.45</v>
      </c>
      <c r="DF106" s="228">
        <v>-0.32</v>
      </c>
      <c r="DG106" s="228">
        <v>-0.06</v>
      </c>
      <c r="DH106" s="228">
        <v>24.25</v>
      </c>
      <c r="DI106" s="228">
        <v>22.16</v>
      </c>
      <c r="DJ106" s="228">
        <v>2.09</v>
      </c>
      <c r="DK106" s="228">
        <v>2.09</v>
      </c>
      <c r="DL106" s="228">
        <v>23.79</v>
      </c>
      <c r="DM106" s="228">
        <v>20.69</v>
      </c>
      <c r="DN106" s="228">
        <v>3.1</v>
      </c>
      <c r="DO106" s="228">
        <v>3.1</v>
      </c>
      <c r="DP106" s="228">
        <v>0.5</v>
      </c>
      <c r="DQ106" s="228">
        <v>0.5</v>
      </c>
      <c r="DR106" s="228">
        <v>0</v>
      </c>
      <c r="DS106" s="229">
        <v>0</v>
      </c>
      <c r="DT106" s="228">
        <v>310</v>
      </c>
      <c r="DU106" s="228">
        <v>300</v>
      </c>
      <c r="DV106" s="228">
        <v>0.4</v>
      </c>
      <c r="DW106" s="228">
        <v>0.36</v>
      </c>
      <c r="DX106" s="228">
        <v>0.04</v>
      </c>
      <c r="DY106" s="229">
        <v>0.1111</v>
      </c>
      <c r="DZ106" s="229">
        <v>0.3977</v>
      </c>
      <c r="EA106" s="230">
        <v>42667200</v>
      </c>
      <c r="EB106" s="229">
        <v>5.4000000000000003E-3</v>
      </c>
      <c r="EC106" s="229">
        <v>0.3977</v>
      </c>
      <c r="ED106" s="228">
        <v>1.65</v>
      </c>
      <c r="EE106" s="229">
        <v>5.4000000000000003E-3</v>
      </c>
      <c r="EF106" s="230">
        <v>6635559</v>
      </c>
      <c r="EG106" s="230">
        <v>14957096</v>
      </c>
      <c r="EH106" s="229">
        <v>-0.55640000000000001</v>
      </c>
      <c r="EI106" s="229">
        <v>0.59209999999999996</v>
      </c>
      <c r="EJ106" s="231">
        <v>290031.83</v>
      </c>
      <c r="EK106" s="231">
        <v>110496.89</v>
      </c>
      <c r="EL106" s="231">
        <v>188622.14</v>
      </c>
      <c r="EM106" s="231">
        <v>14514</v>
      </c>
      <c r="EN106" s="231">
        <v>589150.86</v>
      </c>
      <c r="EO106" s="231">
        <v>720029.15</v>
      </c>
      <c r="EP106" s="231">
        <v>-130878.29</v>
      </c>
      <c r="EQ106" s="229">
        <v>-0.18179999999999999</v>
      </c>
      <c r="ER106" s="231">
        <v>398208</v>
      </c>
      <c r="ES106" s="231">
        <v>190654</v>
      </c>
      <c r="ET106" s="231">
        <v>539935</v>
      </c>
      <c r="EU106" s="231">
        <v>1317896781</v>
      </c>
      <c r="EV106" s="231">
        <v>1128797</v>
      </c>
      <c r="EW106" s="231">
        <v>1124941</v>
      </c>
      <c r="EX106" s="231">
        <v>3856</v>
      </c>
      <c r="EY106" s="229">
        <v>3.3999999999999998E-3</v>
      </c>
      <c r="EZ106" s="229">
        <v>0.27760000000000001</v>
      </c>
      <c r="FA106" s="227" t="s">
        <v>566</v>
      </c>
      <c r="FB106" s="161">
        <f t="shared" si="1"/>
        <v>70217600</v>
      </c>
    </row>
    <row r="107" spans="1:158" ht="17.25" thickBot="1" x14ac:dyDescent="0.3">
      <c r="A107" s="226">
        <v>46135</v>
      </c>
      <c r="B107" s="227" t="s">
        <v>227</v>
      </c>
      <c r="C107" s="227" t="s">
        <v>243</v>
      </c>
      <c r="D107" s="228">
        <v>625</v>
      </c>
      <c r="E107" s="231">
        <v>1257.5999999999999</v>
      </c>
      <c r="F107" s="231">
        <v>1282.4000000000001</v>
      </c>
      <c r="G107" s="228">
        <v>-24.8</v>
      </c>
      <c r="H107" s="229">
        <v>-1.9300000000000001E-2</v>
      </c>
      <c r="I107" s="231">
        <v>1254.5</v>
      </c>
      <c r="J107" s="231">
        <v>1278.5999999999999</v>
      </c>
      <c r="K107" s="228">
        <v>-24.1</v>
      </c>
      <c r="L107" s="229">
        <v>-1.8800000000000001E-2</v>
      </c>
      <c r="M107" s="231">
        <v>1257.5999999999999</v>
      </c>
      <c r="N107" s="231">
        <v>1282.4000000000001</v>
      </c>
      <c r="O107" s="228">
        <v>-24.8</v>
      </c>
      <c r="P107" s="229">
        <v>-1.9300000000000001E-2</v>
      </c>
      <c r="Q107" s="231">
        <v>1263.0999999999999</v>
      </c>
      <c r="R107" s="231">
        <v>1287.7</v>
      </c>
      <c r="S107" s="228">
        <v>-24.6</v>
      </c>
      <c r="T107" s="229">
        <v>-1.9099999999999999E-2</v>
      </c>
      <c r="U107" s="231">
        <v>1270.8</v>
      </c>
      <c r="V107" s="231">
        <v>1291</v>
      </c>
      <c r="W107" s="228">
        <v>-20.2</v>
      </c>
      <c r="X107" s="229">
        <v>-1.5599999999999999E-2</v>
      </c>
      <c r="Y107" s="228">
        <v>3.1</v>
      </c>
      <c r="Z107" s="228">
        <v>3.8</v>
      </c>
      <c r="AA107" s="228">
        <v>-0.7</v>
      </c>
      <c r="AB107" s="229">
        <v>2.5000000000000001E-3</v>
      </c>
      <c r="AC107" s="228">
        <v>3.1</v>
      </c>
      <c r="AD107" s="228">
        <v>3.8</v>
      </c>
      <c r="AE107" s="228">
        <v>-0.7</v>
      </c>
      <c r="AF107" s="229">
        <v>2.5000000000000001E-3</v>
      </c>
      <c r="AG107" s="228">
        <v>8.6</v>
      </c>
      <c r="AH107" s="228">
        <v>9.1</v>
      </c>
      <c r="AI107" s="228">
        <v>-0.5</v>
      </c>
      <c r="AJ107" s="229">
        <v>6.8999999999999999E-3</v>
      </c>
      <c r="AK107" s="228">
        <v>16.3</v>
      </c>
      <c r="AL107" s="228">
        <v>12.4</v>
      </c>
      <c r="AM107" s="228">
        <v>3.9</v>
      </c>
      <c r="AN107" s="229">
        <v>1.2999999999999999E-2</v>
      </c>
      <c r="AO107" s="231">
        <v>1265.45</v>
      </c>
      <c r="AP107" s="231">
        <v>1271.3399999999999</v>
      </c>
      <c r="AQ107" s="228">
        <v>0</v>
      </c>
      <c r="AR107" s="230">
        <v>8701875</v>
      </c>
      <c r="AS107" s="230">
        <v>2552500</v>
      </c>
      <c r="AT107" s="230">
        <v>6149375</v>
      </c>
      <c r="AU107" s="229">
        <v>2.4091999999999998</v>
      </c>
      <c r="AV107" s="230">
        <v>4420625</v>
      </c>
      <c r="AW107" s="230">
        <v>1546250</v>
      </c>
      <c r="AX107" s="230">
        <v>2874375</v>
      </c>
      <c r="AY107" s="229">
        <v>1.8589</v>
      </c>
      <c r="AZ107" s="230">
        <v>4273125</v>
      </c>
      <c r="BA107" s="230">
        <v>1002500</v>
      </c>
      <c r="BB107" s="230">
        <v>3270625</v>
      </c>
      <c r="BC107" s="229">
        <v>3.2625000000000002</v>
      </c>
      <c r="BD107" s="230">
        <v>8125</v>
      </c>
      <c r="BE107" s="230">
        <v>3750</v>
      </c>
      <c r="BF107" s="230">
        <v>4375</v>
      </c>
      <c r="BG107" s="229">
        <v>1.1667000000000001</v>
      </c>
      <c r="BH107" s="230">
        <v>4056875</v>
      </c>
      <c r="BI107" s="230">
        <v>3658750</v>
      </c>
      <c r="BJ107" s="230">
        <v>398125</v>
      </c>
      <c r="BK107" s="229">
        <v>0.10879999999999999</v>
      </c>
      <c r="BL107" s="230">
        <v>3671250</v>
      </c>
      <c r="BM107" s="230">
        <v>4137500</v>
      </c>
      <c r="BN107" s="230">
        <v>-466250</v>
      </c>
      <c r="BO107" s="229">
        <v>-0.11269999999999999</v>
      </c>
      <c r="BP107" s="230">
        <v>16430000</v>
      </c>
      <c r="BQ107" s="230">
        <v>10348750</v>
      </c>
      <c r="BR107" s="230">
        <v>6081250</v>
      </c>
      <c r="BS107" s="229">
        <v>0.58760000000000001</v>
      </c>
      <c r="BT107" s="230">
        <v>864241</v>
      </c>
      <c r="BU107" s="230">
        <v>1614596</v>
      </c>
      <c r="BV107" s="230">
        <v>-750355</v>
      </c>
      <c r="BW107" s="229">
        <v>-0.4647</v>
      </c>
      <c r="BX107" s="230">
        <v>13761875</v>
      </c>
      <c r="BY107" s="230">
        <v>13916875</v>
      </c>
      <c r="BZ107" s="230">
        <v>-155000</v>
      </c>
      <c r="CA107" s="229">
        <v>-1.11E-2</v>
      </c>
      <c r="CB107" s="230">
        <v>8263750</v>
      </c>
      <c r="CC107" s="230">
        <v>11613750</v>
      </c>
      <c r="CD107" s="230">
        <v>-3350000</v>
      </c>
      <c r="CE107" s="229">
        <v>-0.28849999999999998</v>
      </c>
      <c r="CF107" s="230">
        <v>5473125</v>
      </c>
      <c r="CG107" s="230">
        <v>2277500</v>
      </c>
      <c r="CH107" s="230">
        <v>3195625</v>
      </c>
      <c r="CI107" s="229">
        <v>1.4031</v>
      </c>
      <c r="CJ107" s="230">
        <v>25000</v>
      </c>
      <c r="CK107" s="230">
        <v>25625</v>
      </c>
      <c r="CL107" s="228">
        <v>-625</v>
      </c>
      <c r="CM107" s="229">
        <v>-2.4400000000000002E-2</v>
      </c>
      <c r="CN107" s="230">
        <v>4054375</v>
      </c>
      <c r="CO107" s="230">
        <v>4045625</v>
      </c>
      <c r="CP107" s="230">
        <v>8750</v>
      </c>
      <c r="CQ107" s="229">
        <v>2.2000000000000001E-3</v>
      </c>
      <c r="CR107" s="230">
        <v>4256250</v>
      </c>
      <c r="CS107" s="230">
        <v>4516875</v>
      </c>
      <c r="CT107" s="230">
        <v>-260625</v>
      </c>
      <c r="CU107" s="229">
        <v>-5.7700000000000001E-2</v>
      </c>
      <c r="CV107" s="230">
        <v>22072500</v>
      </c>
      <c r="CW107" s="230">
        <v>22479375</v>
      </c>
      <c r="CX107" s="230">
        <v>-406875</v>
      </c>
      <c r="CY107" s="229">
        <v>-1.8100000000000002E-2</v>
      </c>
      <c r="CZ107" s="228">
        <v>32.99</v>
      </c>
      <c r="DA107" s="228">
        <v>29.77</v>
      </c>
      <c r="DB107" s="228">
        <v>3.22</v>
      </c>
      <c r="DC107" s="228">
        <v>3.22</v>
      </c>
      <c r="DD107" s="228">
        <v>37.840000000000003</v>
      </c>
      <c r="DE107" s="228">
        <v>37.85</v>
      </c>
      <c r="DF107" s="228">
        <v>-4.8499999999999996</v>
      </c>
      <c r="DG107" s="228">
        <v>-0.01</v>
      </c>
      <c r="DH107" s="228">
        <v>33.01</v>
      </c>
      <c r="DI107" s="228">
        <v>28.36</v>
      </c>
      <c r="DJ107" s="228">
        <v>4.6500000000000004</v>
      </c>
      <c r="DK107" s="228">
        <v>4.6500000000000004</v>
      </c>
      <c r="DL107" s="228">
        <v>32.96</v>
      </c>
      <c r="DM107" s="228">
        <v>31.02</v>
      </c>
      <c r="DN107" s="228">
        <v>1.94</v>
      </c>
      <c r="DO107" s="228">
        <v>1.94</v>
      </c>
      <c r="DP107" s="228">
        <v>1.05</v>
      </c>
      <c r="DQ107" s="228">
        <v>1.1200000000000001</v>
      </c>
      <c r="DR107" s="228">
        <v>-7.0000000000000007E-2</v>
      </c>
      <c r="DS107" s="229">
        <v>-6.25E-2</v>
      </c>
      <c r="DT107" s="231">
        <v>1300</v>
      </c>
      <c r="DU107" s="231">
        <v>1250</v>
      </c>
      <c r="DV107" s="228">
        <v>0.9</v>
      </c>
      <c r="DW107" s="228">
        <v>1.1299999999999999</v>
      </c>
      <c r="DX107" s="228">
        <v>-0.23</v>
      </c>
      <c r="DY107" s="229">
        <v>-0.20349999999999999</v>
      </c>
      <c r="DZ107" s="229">
        <v>0.39950000000000002</v>
      </c>
      <c r="EA107" s="230">
        <v>2303125</v>
      </c>
      <c r="EB107" s="229">
        <v>4.4000000000000003E-3</v>
      </c>
      <c r="EC107" s="229">
        <v>0.39950000000000002</v>
      </c>
      <c r="ED107" s="228">
        <v>5.89</v>
      </c>
      <c r="EE107" s="229">
        <v>4.7000000000000002E-3</v>
      </c>
      <c r="EF107" s="230">
        <v>404382</v>
      </c>
      <c r="EG107" s="230">
        <v>813915</v>
      </c>
      <c r="EH107" s="229">
        <v>-0.50319999999999998</v>
      </c>
      <c r="EI107" s="229">
        <v>0.46789999999999998</v>
      </c>
      <c r="EJ107" s="231">
        <v>53261.88</v>
      </c>
      <c r="EK107" s="231">
        <v>45816.25</v>
      </c>
      <c r="EL107" s="231">
        <v>110370.45</v>
      </c>
      <c r="EM107" s="231">
        <v>4348</v>
      </c>
      <c r="EN107" s="231">
        <v>209448.58</v>
      </c>
      <c r="EO107" s="231">
        <v>133337.91</v>
      </c>
      <c r="EP107" s="231">
        <v>76110.67</v>
      </c>
      <c r="EQ107" s="229">
        <v>0.57079999999999997</v>
      </c>
      <c r="ER107" s="231">
        <v>51725</v>
      </c>
      <c r="ES107" s="231">
        <v>50738</v>
      </c>
      <c r="ET107" s="231">
        <v>173374</v>
      </c>
      <c r="EU107" s="231">
        <v>45844541</v>
      </c>
      <c r="EV107" s="231">
        <v>275837</v>
      </c>
      <c r="EW107" s="231">
        <v>284068</v>
      </c>
      <c r="EX107" s="231">
        <v>-8231</v>
      </c>
      <c r="EY107" s="229">
        <v>-2.9000000000000001E-2</v>
      </c>
      <c r="EZ107" s="229">
        <v>0.48149999999999998</v>
      </c>
      <c r="FA107" s="227" t="s">
        <v>567</v>
      </c>
      <c r="FB107" s="161">
        <f t="shared" si="1"/>
        <v>5498125</v>
      </c>
    </row>
    <row r="108" spans="1:158" ht="17.25" thickBot="1" x14ac:dyDescent="0.3">
      <c r="A108" s="226">
        <v>46135</v>
      </c>
      <c r="B108" s="227" t="s">
        <v>175</v>
      </c>
      <c r="C108" s="227" t="s">
        <v>569</v>
      </c>
      <c r="D108" s="228">
        <v>2350</v>
      </c>
      <c r="E108" s="228">
        <v>248.92</v>
      </c>
      <c r="F108" s="228">
        <v>238.96</v>
      </c>
      <c r="G108" s="228">
        <v>9.9600000000000009</v>
      </c>
      <c r="H108" s="229">
        <v>4.1700000000000001E-2</v>
      </c>
      <c r="I108" s="228">
        <v>248.66</v>
      </c>
      <c r="J108" s="228">
        <v>238.51</v>
      </c>
      <c r="K108" s="228">
        <v>10.15</v>
      </c>
      <c r="L108" s="229">
        <v>4.2599999999999999E-2</v>
      </c>
      <c r="M108" s="228">
        <v>248.92</v>
      </c>
      <c r="N108" s="228">
        <v>238.96</v>
      </c>
      <c r="O108" s="228">
        <v>9.9600000000000009</v>
      </c>
      <c r="P108" s="229">
        <v>4.1700000000000001E-2</v>
      </c>
      <c r="Q108" s="228">
        <v>250.2</v>
      </c>
      <c r="R108" s="228">
        <v>240.15</v>
      </c>
      <c r="S108" s="228">
        <v>10.050000000000001</v>
      </c>
      <c r="T108" s="229">
        <v>4.1799999999999997E-2</v>
      </c>
      <c r="U108" s="228">
        <v>251.64</v>
      </c>
      <c r="V108" s="228">
        <v>241.66</v>
      </c>
      <c r="W108" s="228">
        <v>9.98</v>
      </c>
      <c r="X108" s="229">
        <v>4.1300000000000003E-2</v>
      </c>
      <c r="Y108" s="228">
        <v>0.26</v>
      </c>
      <c r="Z108" s="228">
        <v>0.45</v>
      </c>
      <c r="AA108" s="228">
        <v>-0.19</v>
      </c>
      <c r="AB108" s="229">
        <v>1E-3</v>
      </c>
      <c r="AC108" s="228">
        <v>0.26</v>
      </c>
      <c r="AD108" s="228">
        <v>0.45</v>
      </c>
      <c r="AE108" s="228">
        <v>-0.19</v>
      </c>
      <c r="AF108" s="229">
        <v>1E-3</v>
      </c>
      <c r="AG108" s="228">
        <v>1.54</v>
      </c>
      <c r="AH108" s="228">
        <v>1.64</v>
      </c>
      <c r="AI108" s="228">
        <v>-0.1</v>
      </c>
      <c r="AJ108" s="229">
        <v>6.1999999999999998E-3</v>
      </c>
      <c r="AK108" s="228">
        <v>2.98</v>
      </c>
      <c r="AL108" s="228">
        <v>3.15</v>
      </c>
      <c r="AM108" s="228">
        <v>-0.17</v>
      </c>
      <c r="AN108" s="229">
        <v>1.2E-2</v>
      </c>
      <c r="AO108" s="228">
        <v>246.66</v>
      </c>
      <c r="AP108" s="228">
        <v>247.99</v>
      </c>
      <c r="AQ108" s="228">
        <v>0</v>
      </c>
      <c r="AR108" s="230">
        <v>125699150</v>
      </c>
      <c r="AS108" s="230">
        <v>48428800</v>
      </c>
      <c r="AT108" s="230">
        <v>77270350</v>
      </c>
      <c r="AU108" s="229">
        <v>1.5954999999999999</v>
      </c>
      <c r="AV108" s="230">
        <v>59506700</v>
      </c>
      <c r="AW108" s="230">
        <v>27626600</v>
      </c>
      <c r="AX108" s="230">
        <v>31880100</v>
      </c>
      <c r="AY108" s="229">
        <v>1.1539999999999999</v>
      </c>
      <c r="AZ108" s="230">
        <v>60472550</v>
      </c>
      <c r="BA108" s="230">
        <v>18473350</v>
      </c>
      <c r="BB108" s="230">
        <v>41999200</v>
      </c>
      <c r="BC108" s="229">
        <v>2.2734999999999999</v>
      </c>
      <c r="BD108" s="230">
        <v>5719900</v>
      </c>
      <c r="BE108" s="230">
        <v>2328850</v>
      </c>
      <c r="BF108" s="230">
        <v>3391050</v>
      </c>
      <c r="BG108" s="229">
        <v>1.4560999999999999</v>
      </c>
      <c r="BH108" s="230">
        <v>321592800</v>
      </c>
      <c r="BI108" s="230">
        <v>154317450</v>
      </c>
      <c r="BJ108" s="230">
        <v>167275350</v>
      </c>
      <c r="BK108" s="229">
        <v>1.0840000000000001</v>
      </c>
      <c r="BL108" s="230">
        <v>136965050</v>
      </c>
      <c r="BM108" s="230">
        <v>78847200</v>
      </c>
      <c r="BN108" s="230">
        <v>58117850</v>
      </c>
      <c r="BO108" s="229">
        <v>0.73709999999999998</v>
      </c>
      <c r="BP108" s="230">
        <v>584257000</v>
      </c>
      <c r="BQ108" s="230">
        <v>281593450</v>
      </c>
      <c r="BR108" s="230">
        <v>302663550</v>
      </c>
      <c r="BS108" s="229">
        <v>1.0748</v>
      </c>
      <c r="BT108" s="230">
        <v>77026260</v>
      </c>
      <c r="BU108" s="230">
        <v>41936121</v>
      </c>
      <c r="BV108" s="230">
        <v>35090139</v>
      </c>
      <c r="BW108" s="229">
        <v>0.83679999999999999</v>
      </c>
      <c r="BX108" s="230">
        <v>192984350</v>
      </c>
      <c r="BY108" s="230">
        <v>182117950</v>
      </c>
      <c r="BZ108" s="230">
        <v>10866400</v>
      </c>
      <c r="CA108" s="229">
        <v>5.9700000000000003E-2</v>
      </c>
      <c r="CB108" s="230">
        <v>93031800</v>
      </c>
      <c r="CC108" s="230">
        <v>116921900</v>
      </c>
      <c r="CD108" s="230">
        <v>-23890100</v>
      </c>
      <c r="CE108" s="229">
        <v>-0.20430000000000001</v>
      </c>
      <c r="CF108" s="230">
        <v>85991200</v>
      </c>
      <c r="CG108" s="230">
        <v>55253200</v>
      </c>
      <c r="CH108" s="230">
        <v>30738000</v>
      </c>
      <c r="CI108" s="229">
        <v>0.55630000000000002</v>
      </c>
      <c r="CJ108" s="230">
        <v>13961350</v>
      </c>
      <c r="CK108" s="230">
        <v>9942850</v>
      </c>
      <c r="CL108" s="230">
        <v>4018500</v>
      </c>
      <c r="CM108" s="229">
        <v>0.4042</v>
      </c>
      <c r="CN108" s="230">
        <v>72380000</v>
      </c>
      <c r="CO108" s="230">
        <v>79643850</v>
      </c>
      <c r="CP108" s="230">
        <v>-7263850</v>
      </c>
      <c r="CQ108" s="229">
        <v>-9.1200000000000003E-2</v>
      </c>
      <c r="CR108" s="230">
        <v>51554300</v>
      </c>
      <c r="CS108" s="230">
        <v>53204000</v>
      </c>
      <c r="CT108" s="230">
        <v>-1649700</v>
      </c>
      <c r="CU108" s="229">
        <v>-3.1E-2</v>
      </c>
      <c r="CV108" s="230">
        <v>316918650</v>
      </c>
      <c r="CW108" s="230">
        <v>314965800</v>
      </c>
      <c r="CX108" s="230">
        <v>1952850</v>
      </c>
      <c r="CY108" s="229">
        <v>6.1999999999999998E-3</v>
      </c>
      <c r="CZ108" s="228">
        <v>36.700000000000003</v>
      </c>
      <c r="DA108" s="228">
        <v>36.93</v>
      </c>
      <c r="DB108" s="228">
        <v>-0.23</v>
      </c>
      <c r="DC108" s="228">
        <v>-0.23</v>
      </c>
      <c r="DD108" s="228">
        <v>37.76</v>
      </c>
      <c r="DE108" s="228">
        <v>37.450000000000003</v>
      </c>
      <c r="DF108" s="228">
        <v>-1.06</v>
      </c>
      <c r="DG108" s="228">
        <v>0.31</v>
      </c>
      <c r="DH108" s="228">
        <v>36.799999999999997</v>
      </c>
      <c r="DI108" s="228">
        <v>37.049999999999997</v>
      </c>
      <c r="DJ108" s="228">
        <v>-0.25</v>
      </c>
      <c r="DK108" s="228">
        <v>-0.25</v>
      </c>
      <c r="DL108" s="228">
        <v>36.39</v>
      </c>
      <c r="DM108" s="228">
        <v>36.71</v>
      </c>
      <c r="DN108" s="228">
        <v>-0.32</v>
      </c>
      <c r="DO108" s="228">
        <v>-0.32</v>
      </c>
      <c r="DP108" s="228">
        <v>0.71</v>
      </c>
      <c r="DQ108" s="228">
        <v>0.67</v>
      </c>
      <c r="DR108" s="228">
        <v>0.04</v>
      </c>
      <c r="DS108" s="229">
        <v>5.9700000000000003E-2</v>
      </c>
      <c r="DT108" s="228">
        <v>250</v>
      </c>
      <c r="DU108" s="228">
        <v>240</v>
      </c>
      <c r="DV108" s="228">
        <v>0.43</v>
      </c>
      <c r="DW108" s="228">
        <v>0.51</v>
      </c>
      <c r="DX108" s="228">
        <v>-0.08</v>
      </c>
      <c r="DY108" s="229">
        <v>-0.15690000000000001</v>
      </c>
      <c r="DZ108" s="229">
        <v>0.51790000000000003</v>
      </c>
      <c r="EA108" s="230">
        <v>65196050</v>
      </c>
      <c r="EB108" s="229">
        <v>5.1000000000000004E-3</v>
      </c>
      <c r="EC108" s="229">
        <v>0.51790000000000003</v>
      </c>
      <c r="ED108" s="228">
        <v>1.33</v>
      </c>
      <c r="EE108" s="229">
        <v>5.4000000000000003E-3</v>
      </c>
      <c r="EF108" s="230">
        <v>25614662</v>
      </c>
      <c r="EG108" s="230">
        <v>20144008</v>
      </c>
      <c r="EH108" s="229">
        <v>0.27160000000000001</v>
      </c>
      <c r="EI108" s="229">
        <v>0.33250000000000002</v>
      </c>
      <c r="EJ108" s="231">
        <v>826441.68</v>
      </c>
      <c r="EK108" s="231">
        <v>330732.06</v>
      </c>
      <c r="EL108" s="231">
        <v>311134.45</v>
      </c>
      <c r="EM108" s="231">
        <v>16377</v>
      </c>
      <c r="EN108" s="231">
        <v>1468308.19</v>
      </c>
      <c r="EO108" s="231">
        <v>686074.79</v>
      </c>
      <c r="EP108" s="231">
        <v>782233.4</v>
      </c>
      <c r="EQ108" s="229">
        <v>1.1402000000000001</v>
      </c>
      <c r="ER108" s="231">
        <v>185543</v>
      </c>
      <c r="ES108" s="231">
        <v>125104</v>
      </c>
      <c r="ET108" s="231">
        <v>481857</v>
      </c>
      <c r="EU108" s="231">
        <v>490240515</v>
      </c>
      <c r="EV108" s="231">
        <v>792504</v>
      </c>
      <c r="EW108" s="231">
        <v>765848</v>
      </c>
      <c r="EX108" s="231">
        <v>26656</v>
      </c>
      <c r="EY108" s="229">
        <v>3.4799999999999998E-2</v>
      </c>
      <c r="EZ108" s="229">
        <v>0.64649999999999996</v>
      </c>
      <c r="FA108" s="227" t="s">
        <v>555</v>
      </c>
      <c r="FB108" s="161">
        <f t="shared" si="1"/>
        <v>99952550</v>
      </c>
    </row>
    <row r="109" spans="1:158" ht="17.25" thickBot="1" x14ac:dyDescent="0.3">
      <c r="A109" s="226">
        <v>46135</v>
      </c>
      <c r="B109" s="227" t="s">
        <v>161</v>
      </c>
      <c r="C109" s="227" t="s">
        <v>579</v>
      </c>
      <c r="D109" s="228">
        <v>1000</v>
      </c>
      <c r="E109" s="228">
        <v>560.4</v>
      </c>
      <c r="F109" s="228">
        <v>560.35</v>
      </c>
      <c r="G109" s="228">
        <v>0.05</v>
      </c>
      <c r="H109" s="229">
        <v>1E-4</v>
      </c>
      <c r="I109" s="228">
        <v>561.4</v>
      </c>
      <c r="J109" s="228">
        <v>560.54999999999995</v>
      </c>
      <c r="K109" s="228">
        <v>0.85</v>
      </c>
      <c r="L109" s="229">
        <v>1.5E-3</v>
      </c>
      <c r="M109" s="228">
        <v>560.4</v>
      </c>
      <c r="N109" s="228">
        <v>560.35</v>
      </c>
      <c r="O109" s="228">
        <v>0.05</v>
      </c>
      <c r="P109" s="229">
        <v>1E-4</v>
      </c>
      <c r="Q109" s="228">
        <v>562.1</v>
      </c>
      <c r="R109" s="228">
        <v>563.6</v>
      </c>
      <c r="S109" s="228">
        <v>-1.5</v>
      </c>
      <c r="T109" s="229">
        <v>-2.7000000000000001E-3</v>
      </c>
      <c r="U109" s="228">
        <v>563.4</v>
      </c>
      <c r="V109" s="228">
        <v>563.6</v>
      </c>
      <c r="W109" s="228">
        <v>-0.2</v>
      </c>
      <c r="X109" s="229">
        <v>-4.0000000000000002E-4</v>
      </c>
      <c r="Y109" s="228">
        <v>-1</v>
      </c>
      <c r="Z109" s="228">
        <v>-0.2</v>
      </c>
      <c r="AA109" s="228">
        <v>-0.8</v>
      </c>
      <c r="AB109" s="229">
        <v>-1.8E-3</v>
      </c>
      <c r="AC109" s="228">
        <v>-1</v>
      </c>
      <c r="AD109" s="228">
        <v>-0.2</v>
      </c>
      <c r="AE109" s="228">
        <v>-0.8</v>
      </c>
      <c r="AF109" s="229">
        <v>-1.8E-3</v>
      </c>
      <c r="AG109" s="228">
        <v>0.7</v>
      </c>
      <c r="AH109" s="228">
        <v>3.05</v>
      </c>
      <c r="AI109" s="228">
        <v>-2.35</v>
      </c>
      <c r="AJ109" s="229">
        <v>1.1999999999999999E-3</v>
      </c>
      <c r="AK109" s="228">
        <v>2</v>
      </c>
      <c r="AL109" s="228">
        <v>3.05</v>
      </c>
      <c r="AM109" s="228">
        <v>-1.05</v>
      </c>
      <c r="AN109" s="229">
        <v>3.5999999999999999E-3</v>
      </c>
      <c r="AO109" s="228">
        <v>562.29</v>
      </c>
      <c r="AP109" s="228">
        <v>563.14</v>
      </c>
      <c r="AQ109" s="228">
        <v>0</v>
      </c>
      <c r="AR109" s="230">
        <v>20380000</v>
      </c>
      <c r="AS109" s="230">
        <v>15115000</v>
      </c>
      <c r="AT109" s="230">
        <v>5265000</v>
      </c>
      <c r="AU109" s="229">
        <v>0.3483</v>
      </c>
      <c r="AV109" s="230">
        <v>10552000</v>
      </c>
      <c r="AW109" s="230">
        <v>8607000</v>
      </c>
      <c r="AX109" s="230">
        <v>1945000</v>
      </c>
      <c r="AY109" s="229">
        <v>0.22600000000000001</v>
      </c>
      <c r="AZ109" s="230">
        <v>9698000</v>
      </c>
      <c r="BA109" s="230">
        <v>6487000</v>
      </c>
      <c r="BB109" s="230">
        <v>3211000</v>
      </c>
      <c r="BC109" s="229">
        <v>0.495</v>
      </c>
      <c r="BD109" s="230">
        <v>130000</v>
      </c>
      <c r="BE109" s="230">
        <v>21000</v>
      </c>
      <c r="BF109" s="230">
        <v>109000</v>
      </c>
      <c r="BG109" s="229">
        <v>5.1905000000000001</v>
      </c>
      <c r="BH109" s="230">
        <v>13192000</v>
      </c>
      <c r="BI109" s="230">
        <v>21542000</v>
      </c>
      <c r="BJ109" s="230">
        <v>-8350000</v>
      </c>
      <c r="BK109" s="229">
        <v>-0.3876</v>
      </c>
      <c r="BL109" s="230">
        <v>4307000</v>
      </c>
      <c r="BM109" s="230">
        <v>6658000</v>
      </c>
      <c r="BN109" s="230">
        <v>-2351000</v>
      </c>
      <c r="BO109" s="229">
        <v>-0.35310000000000002</v>
      </c>
      <c r="BP109" s="230">
        <v>37879000</v>
      </c>
      <c r="BQ109" s="230">
        <v>43315000</v>
      </c>
      <c r="BR109" s="230">
        <v>-5436000</v>
      </c>
      <c r="BS109" s="229">
        <v>-0.1255</v>
      </c>
      <c r="BT109" s="230">
        <v>4462027</v>
      </c>
      <c r="BU109" s="230">
        <v>4349530</v>
      </c>
      <c r="BV109" s="230">
        <v>112497</v>
      </c>
      <c r="BW109" s="229">
        <v>2.5899999999999999E-2</v>
      </c>
      <c r="BX109" s="230">
        <v>26158000</v>
      </c>
      <c r="BY109" s="230">
        <v>27050000</v>
      </c>
      <c r="BZ109" s="230">
        <v>-892000</v>
      </c>
      <c r="CA109" s="229">
        <v>-3.3000000000000002E-2</v>
      </c>
      <c r="CB109" s="230">
        <v>13659000</v>
      </c>
      <c r="CC109" s="230">
        <v>20011000</v>
      </c>
      <c r="CD109" s="230">
        <v>-6352000</v>
      </c>
      <c r="CE109" s="229">
        <v>-0.31740000000000002</v>
      </c>
      <c r="CF109" s="230">
        <v>12372000</v>
      </c>
      <c r="CG109" s="230">
        <v>6992000</v>
      </c>
      <c r="CH109" s="230">
        <v>5380000</v>
      </c>
      <c r="CI109" s="229">
        <v>0.76949999999999996</v>
      </c>
      <c r="CJ109" s="230">
        <v>127000</v>
      </c>
      <c r="CK109" s="230">
        <v>47000</v>
      </c>
      <c r="CL109" s="230">
        <v>80000</v>
      </c>
      <c r="CM109" s="229">
        <v>1.7020999999999999</v>
      </c>
      <c r="CN109" s="230">
        <v>8017000</v>
      </c>
      <c r="CO109" s="230">
        <v>8185000</v>
      </c>
      <c r="CP109" s="230">
        <v>-168000</v>
      </c>
      <c r="CQ109" s="229">
        <v>-2.0500000000000001E-2</v>
      </c>
      <c r="CR109" s="230">
        <v>6047000</v>
      </c>
      <c r="CS109" s="230">
        <v>5752000</v>
      </c>
      <c r="CT109" s="230">
        <v>295000</v>
      </c>
      <c r="CU109" s="229">
        <v>5.1299999999999998E-2</v>
      </c>
      <c r="CV109" s="230">
        <v>40222000</v>
      </c>
      <c r="CW109" s="230">
        <v>40987000</v>
      </c>
      <c r="CX109" s="230">
        <v>-765000</v>
      </c>
      <c r="CY109" s="229">
        <v>-1.8700000000000001E-2</v>
      </c>
      <c r="CZ109" s="228">
        <v>37.729999999999997</v>
      </c>
      <c r="DA109" s="228">
        <v>33.409999999999997</v>
      </c>
      <c r="DB109" s="228">
        <v>4.32</v>
      </c>
      <c r="DC109" s="228">
        <v>4.32</v>
      </c>
      <c r="DD109" s="228">
        <v>42.63</v>
      </c>
      <c r="DE109" s="228">
        <v>42.74</v>
      </c>
      <c r="DF109" s="228">
        <v>-4.9000000000000004</v>
      </c>
      <c r="DG109" s="228">
        <v>-0.11</v>
      </c>
      <c r="DH109" s="228">
        <v>37.29</v>
      </c>
      <c r="DI109" s="228">
        <v>32.99</v>
      </c>
      <c r="DJ109" s="228">
        <v>4.3</v>
      </c>
      <c r="DK109" s="228">
        <v>4.3</v>
      </c>
      <c r="DL109" s="228">
        <v>38.93</v>
      </c>
      <c r="DM109" s="228">
        <v>34.770000000000003</v>
      </c>
      <c r="DN109" s="228">
        <v>4.16</v>
      </c>
      <c r="DO109" s="228">
        <v>4.16</v>
      </c>
      <c r="DP109" s="228">
        <v>0.75</v>
      </c>
      <c r="DQ109" s="228">
        <v>0.7</v>
      </c>
      <c r="DR109" s="228">
        <v>0.05</v>
      </c>
      <c r="DS109" s="229">
        <v>7.1400000000000005E-2</v>
      </c>
      <c r="DT109" s="228">
        <v>530</v>
      </c>
      <c r="DU109" s="228">
        <v>530</v>
      </c>
      <c r="DV109" s="228">
        <v>0.33</v>
      </c>
      <c r="DW109" s="228">
        <v>0.31</v>
      </c>
      <c r="DX109" s="228">
        <v>0.02</v>
      </c>
      <c r="DY109" s="229">
        <v>6.4500000000000002E-2</v>
      </c>
      <c r="DZ109" s="229">
        <v>0.4778</v>
      </c>
      <c r="EA109" s="230">
        <v>7039000</v>
      </c>
      <c r="EB109" s="229">
        <v>3.0000000000000001E-3</v>
      </c>
      <c r="EC109" s="229">
        <v>0.4778</v>
      </c>
      <c r="ED109" s="228">
        <v>0.85</v>
      </c>
      <c r="EE109" s="229">
        <v>1.5E-3</v>
      </c>
      <c r="EF109" s="230">
        <v>2071245</v>
      </c>
      <c r="EG109" s="230">
        <v>1908705</v>
      </c>
      <c r="EH109" s="229">
        <v>8.5199999999999998E-2</v>
      </c>
      <c r="EI109" s="229">
        <v>0.4642</v>
      </c>
      <c r="EJ109" s="231">
        <v>76464.81</v>
      </c>
      <c r="EK109" s="231">
        <v>23607.56</v>
      </c>
      <c r="EL109" s="231">
        <v>114681.97</v>
      </c>
      <c r="EM109" s="231">
        <v>6844</v>
      </c>
      <c r="EN109" s="231">
        <v>214754.34</v>
      </c>
      <c r="EO109" s="231">
        <v>243795.96</v>
      </c>
      <c r="EP109" s="231">
        <v>-29041.62</v>
      </c>
      <c r="EQ109" s="229">
        <v>-0.1191</v>
      </c>
      <c r="ER109" s="231">
        <v>43820</v>
      </c>
      <c r="ES109" s="231">
        <v>31239</v>
      </c>
      <c r="ET109" s="231">
        <v>146804</v>
      </c>
      <c r="EU109" s="231">
        <v>75294901</v>
      </c>
      <c r="EV109" s="231">
        <v>221862</v>
      </c>
      <c r="EW109" s="231">
        <v>225806</v>
      </c>
      <c r="EX109" s="231">
        <v>-3944</v>
      </c>
      <c r="EY109" s="229">
        <v>-1.7500000000000002E-2</v>
      </c>
      <c r="EZ109" s="229">
        <v>0.53420000000000001</v>
      </c>
      <c r="FA109" s="227" t="s">
        <v>693</v>
      </c>
      <c r="FB109" s="161">
        <f t="shared" si="1"/>
        <v>12499000</v>
      </c>
    </row>
    <row r="110" spans="1:158" ht="17.25" thickBot="1" x14ac:dyDescent="0.3">
      <c r="A110" s="226">
        <v>46135</v>
      </c>
      <c r="B110" s="227" t="s">
        <v>227</v>
      </c>
      <c r="C110" s="227" t="s">
        <v>244</v>
      </c>
      <c r="D110" s="228">
        <v>675</v>
      </c>
      <c r="E110" s="231">
        <v>1254.9000000000001</v>
      </c>
      <c r="F110" s="231">
        <v>1265.4000000000001</v>
      </c>
      <c r="G110" s="228">
        <v>-10.5</v>
      </c>
      <c r="H110" s="229">
        <v>-8.3000000000000001E-3</v>
      </c>
      <c r="I110" s="231">
        <v>1257</v>
      </c>
      <c r="J110" s="231">
        <v>1263.4000000000001</v>
      </c>
      <c r="K110" s="228">
        <v>-6.4</v>
      </c>
      <c r="L110" s="229">
        <v>-5.1000000000000004E-3</v>
      </c>
      <c r="M110" s="231">
        <v>1254.9000000000001</v>
      </c>
      <c r="N110" s="231">
        <v>1265.4000000000001</v>
      </c>
      <c r="O110" s="228">
        <v>-10.5</v>
      </c>
      <c r="P110" s="229">
        <v>-8.3000000000000001E-3</v>
      </c>
      <c r="Q110" s="231">
        <v>1262</v>
      </c>
      <c r="R110" s="231">
        <v>1272.0999999999999</v>
      </c>
      <c r="S110" s="228">
        <v>-10.1</v>
      </c>
      <c r="T110" s="229">
        <v>-7.9000000000000008E-3</v>
      </c>
      <c r="U110" s="231">
        <v>1271.7</v>
      </c>
      <c r="V110" s="231">
        <v>1280.4000000000001</v>
      </c>
      <c r="W110" s="228">
        <v>-8.6999999999999993</v>
      </c>
      <c r="X110" s="229">
        <v>-6.7999999999999996E-3</v>
      </c>
      <c r="Y110" s="228">
        <v>-2.1</v>
      </c>
      <c r="Z110" s="228">
        <v>2</v>
      </c>
      <c r="AA110" s="228">
        <v>-4.0999999999999996</v>
      </c>
      <c r="AB110" s="229">
        <v>-1.6999999999999999E-3</v>
      </c>
      <c r="AC110" s="228">
        <v>-2.1</v>
      </c>
      <c r="AD110" s="228">
        <v>2</v>
      </c>
      <c r="AE110" s="228">
        <v>-4.0999999999999996</v>
      </c>
      <c r="AF110" s="229">
        <v>-1.6999999999999999E-3</v>
      </c>
      <c r="AG110" s="228">
        <v>5</v>
      </c>
      <c r="AH110" s="228">
        <v>8.6999999999999993</v>
      </c>
      <c r="AI110" s="228">
        <v>-3.7</v>
      </c>
      <c r="AJ110" s="229">
        <v>4.0000000000000001E-3</v>
      </c>
      <c r="AK110" s="228">
        <v>14.7</v>
      </c>
      <c r="AL110" s="228">
        <v>17</v>
      </c>
      <c r="AM110" s="228">
        <v>-2.2999999999999998</v>
      </c>
      <c r="AN110" s="229">
        <v>1.17E-2</v>
      </c>
      <c r="AO110" s="231">
        <v>1257.45</v>
      </c>
      <c r="AP110" s="231">
        <v>1264.49</v>
      </c>
      <c r="AQ110" s="228">
        <v>0</v>
      </c>
      <c r="AR110" s="230">
        <v>26140050</v>
      </c>
      <c r="AS110" s="230">
        <v>7809075</v>
      </c>
      <c r="AT110" s="230">
        <v>18330975</v>
      </c>
      <c r="AU110" s="229">
        <v>2.3473999999999999</v>
      </c>
      <c r="AV110" s="230">
        <v>13564800</v>
      </c>
      <c r="AW110" s="230">
        <v>4704075</v>
      </c>
      <c r="AX110" s="230">
        <v>8860725</v>
      </c>
      <c r="AY110" s="229">
        <v>1.8835999999999999</v>
      </c>
      <c r="AZ110" s="230">
        <v>12506400</v>
      </c>
      <c r="BA110" s="230">
        <v>2539350</v>
      </c>
      <c r="BB110" s="230">
        <v>9967050</v>
      </c>
      <c r="BC110" s="229">
        <v>3.9249999999999998</v>
      </c>
      <c r="BD110" s="230">
        <v>68850</v>
      </c>
      <c r="BE110" s="230">
        <v>565650</v>
      </c>
      <c r="BF110" s="230">
        <v>-496800</v>
      </c>
      <c r="BG110" s="229">
        <v>-0.87829999999999997</v>
      </c>
      <c r="BH110" s="230">
        <v>8141175</v>
      </c>
      <c r="BI110" s="230">
        <v>10494900</v>
      </c>
      <c r="BJ110" s="230">
        <v>-2353725</v>
      </c>
      <c r="BK110" s="229">
        <v>-0.2243</v>
      </c>
      <c r="BL110" s="230">
        <v>3925800</v>
      </c>
      <c r="BM110" s="230">
        <v>6979500</v>
      </c>
      <c r="BN110" s="230">
        <v>-3053700</v>
      </c>
      <c r="BO110" s="229">
        <v>-0.4375</v>
      </c>
      <c r="BP110" s="230">
        <v>38207025</v>
      </c>
      <c r="BQ110" s="230">
        <v>25283475</v>
      </c>
      <c r="BR110" s="230">
        <v>12923550</v>
      </c>
      <c r="BS110" s="229">
        <v>0.5111</v>
      </c>
      <c r="BT110" s="230">
        <v>1743929</v>
      </c>
      <c r="BU110" s="230">
        <v>2982876</v>
      </c>
      <c r="BV110" s="230">
        <v>-1238947</v>
      </c>
      <c r="BW110" s="229">
        <v>-0.41539999999999999</v>
      </c>
      <c r="BX110" s="230">
        <v>49832550</v>
      </c>
      <c r="BY110" s="230">
        <v>49842675</v>
      </c>
      <c r="BZ110" s="230">
        <v>-10125</v>
      </c>
      <c r="CA110" s="229">
        <v>-2.0000000000000001E-4</v>
      </c>
      <c r="CB110" s="230">
        <v>23083650</v>
      </c>
      <c r="CC110" s="230">
        <v>34663950</v>
      </c>
      <c r="CD110" s="230">
        <v>-11580300</v>
      </c>
      <c r="CE110" s="229">
        <v>-0.33410000000000001</v>
      </c>
      <c r="CF110" s="230">
        <v>26023275</v>
      </c>
      <c r="CG110" s="230">
        <v>14500350</v>
      </c>
      <c r="CH110" s="230">
        <v>11522925</v>
      </c>
      <c r="CI110" s="229">
        <v>0.79469999999999996</v>
      </c>
      <c r="CJ110" s="230">
        <v>725625</v>
      </c>
      <c r="CK110" s="230">
        <v>678375</v>
      </c>
      <c r="CL110" s="230">
        <v>47250</v>
      </c>
      <c r="CM110" s="229">
        <v>6.9699999999999998E-2</v>
      </c>
      <c r="CN110" s="230">
        <v>6778350</v>
      </c>
      <c r="CO110" s="230">
        <v>6853275</v>
      </c>
      <c r="CP110" s="230">
        <v>-74925</v>
      </c>
      <c r="CQ110" s="229">
        <v>-1.09E-2</v>
      </c>
      <c r="CR110" s="230">
        <v>6024375</v>
      </c>
      <c r="CS110" s="230">
        <v>6145875</v>
      </c>
      <c r="CT110" s="230">
        <v>-121500</v>
      </c>
      <c r="CU110" s="229">
        <v>-1.9800000000000002E-2</v>
      </c>
      <c r="CV110" s="230">
        <v>62635275</v>
      </c>
      <c r="CW110" s="230">
        <v>62841825</v>
      </c>
      <c r="CX110" s="230">
        <v>-206550</v>
      </c>
      <c r="CY110" s="229">
        <v>-3.3E-3</v>
      </c>
      <c r="CZ110" s="228">
        <v>29.04</v>
      </c>
      <c r="DA110" s="228">
        <v>26.44</v>
      </c>
      <c r="DB110" s="228">
        <v>2.6</v>
      </c>
      <c r="DC110" s="228">
        <v>2.6</v>
      </c>
      <c r="DD110" s="228">
        <v>32.01</v>
      </c>
      <c r="DE110" s="228">
        <v>32.07</v>
      </c>
      <c r="DF110" s="228">
        <v>-2.97</v>
      </c>
      <c r="DG110" s="228">
        <v>-0.06</v>
      </c>
      <c r="DH110" s="228">
        <v>28.77</v>
      </c>
      <c r="DI110" s="228">
        <v>25.95</v>
      </c>
      <c r="DJ110" s="228">
        <v>2.82</v>
      </c>
      <c r="DK110" s="228">
        <v>2.82</v>
      </c>
      <c r="DL110" s="228">
        <v>29.54</v>
      </c>
      <c r="DM110" s="228">
        <v>27.17</v>
      </c>
      <c r="DN110" s="228">
        <v>2.37</v>
      </c>
      <c r="DO110" s="228">
        <v>2.37</v>
      </c>
      <c r="DP110" s="228">
        <v>0.89</v>
      </c>
      <c r="DQ110" s="228">
        <v>0.9</v>
      </c>
      <c r="DR110" s="228">
        <v>-0.01</v>
      </c>
      <c r="DS110" s="229">
        <v>-1.11E-2</v>
      </c>
      <c r="DT110" s="231">
        <v>1300</v>
      </c>
      <c r="DU110" s="231">
        <v>1260</v>
      </c>
      <c r="DV110" s="228">
        <v>0.48</v>
      </c>
      <c r="DW110" s="228">
        <v>0.67</v>
      </c>
      <c r="DX110" s="228">
        <v>-0.19</v>
      </c>
      <c r="DY110" s="229">
        <v>-0.28360000000000002</v>
      </c>
      <c r="DZ110" s="229">
        <v>0.53680000000000005</v>
      </c>
      <c r="EA110" s="230">
        <v>15178725</v>
      </c>
      <c r="EB110" s="229">
        <v>5.7000000000000002E-3</v>
      </c>
      <c r="EC110" s="229">
        <v>0.53680000000000005</v>
      </c>
      <c r="ED110" s="228">
        <v>7.04</v>
      </c>
      <c r="EE110" s="229">
        <v>5.5999999999999999E-3</v>
      </c>
      <c r="EF110" s="230">
        <v>818351</v>
      </c>
      <c r="EG110" s="230">
        <v>1786738</v>
      </c>
      <c r="EH110" s="229">
        <v>-0.54200000000000004</v>
      </c>
      <c r="EI110" s="229">
        <v>0.46929999999999999</v>
      </c>
      <c r="EJ110" s="231">
        <v>105269.9</v>
      </c>
      <c r="EK110" s="231">
        <v>48613.2</v>
      </c>
      <c r="EL110" s="231">
        <v>329590.31</v>
      </c>
      <c r="EM110" s="231">
        <v>11103</v>
      </c>
      <c r="EN110" s="231">
        <v>483473.41</v>
      </c>
      <c r="EO110" s="231">
        <v>324184.06</v>
      </c>
      <c r="EP110" s="231">
        <v>159289.35</v>
      </c>
      <c r="EQ110" s="229">
        <v>0.4914</v>
      </c>
      <c r="ER110" s="231">
        <v>85430</v>
      </c>
      <c r="ES110" s="231">
        <v>69866</v>
      </c>
      <c r="ET110" s="231">
        <v>627318</v>
      </c>
      <c r="EU110" s="231">
        <v>133242960</v>
      </c>
      <c r="EV110" s="231">
        <v>782614</v>
      </c>
      <c r="EW110" s="231">
        <v>789551</v>
      </c>
      <c r="EX110" s="231">
        <v>-6937</v>
      </c>
      <c r="EY110" s="229">
        <v>-8.8000000000000005E-3</v>
      </c>
      <c r="EZ110" s="229">
        <v>0.47010000000000002</v>
      </c>
      <c r="FA110" s="227" t="s">
        <v>567</v>
      </c>
      <c r="FB110" s="161">
        <f t="shared" si="1"/>
        <v>26748900</v>
      </c>
    </row>
    <row r="111" spans="1:158" ht="17.25" thickBot="1" x14ac:dyDescent="0.3">
      <c r="A111" s="226">
        <v>46135</v>
      </c>
      <c r="B111" s="227" t="s">
        <v>168</v>
      </c>
      <c r="C111" s="227" t="s">
        <v>245</v>
      </c>
      <c r="D111" s="228">
        <v>1250</v>
      </c>
      <c r="E111" s="228">
        <v>491</v>
      </c>
      <c r="F111" s="228">
        <v>489.6</v>
      </c>
      <c r="G111" s="228">
        <v>1.4</v>
      </c>
      <c r="H111" s="229">
        <v>2.8999999999999998E-3</v>
      </c>
      <c r="I111" s="228">
        <v>492.85</v>
      </c>
      <c r="J111" s="228">
        <v>493.1</v>
      </c>
      <c r="K111" s="228">
        <v>-0.25</v>
      </c>
      <c r="L111" s="229">
        <v>-5.0000000000000001E-4</v>
      </c>
      <c r="M111" s="228">
        <v>491</v>
      </c>
      <c r="N111" s="228">
        <v>489.6</v>
      </c>
      <c r="O111" s="228">
        <v>1.4</v>
      </c>
      <c r="P111" s="229">
        <v>2.8999999999999998E-3</v>
      </c>
      <c r="Q111" s="228">
        <v>477.7</v>
      </c>
      <c r="R111" s="228">
        <v>476.4</v>
      </c>
      <c r="S111" s="228">
        <v>1.3</v>
      </c>
      <c r="T111" s="229">
        <v>2.7000000000000001E-3</v>
      </c>
      <c r="U111" s="228">
        <v>467.7</v>
      </c>
      <c r="V111" s="228">
        <v>465.6</v>
      </c>
      <c r="W111" s="228">
        <v>2.1</v>
      </c>
      <c r="X111" s="229">
        <v>4.4999999999999997E-3</v>
      </c>
      <c r="Y111" s="228">
        <v>-1.85</v>
      </c>
      <c r="Z111" s="228">
        <v>-3.5</v>
      </c>
      <c r="AA111" s="228">
        <v>1.65</v>
      </c>
      <c r="AB111" s="229">
        <v>-3.8E-3</v>
      </c>
      <c r="AC111" s="228">
        <v>-1.85</v>
      </c>
      <c r="AD111" s="228">
        <v>-3.5</v>
      </c>
      <c r="AE111" s="228">
        <v>1.65</v>
      </c>
      <c r="AF111" s="229">
        <v>-3.8E-3</v>
      </c>
      <c r="AG111" s="228">
        <v>-15.15</v>
      </c>
      <c r="AH111" s="228">
        <v>-16.7</v>
      </c>
      <c r="AI111" s="228">
        <v>1.55</v>
      </c>
      <c r="AJ111" s="229">
        <v>-3.0700000000000002E-2</v>
      </c>
      <c r="AK111" s="228">
        <v>-25.15</v>
      </c>
      <c r="AL111" s="228">
        <v>-27.5</v>
      </c>
      <c r="AM111" s="228">
        <v>2.35</v>
      </c>
      <c r="AN111" s="229">
        <v>-5.0999999999999997E-2</v>
      </c>
      <c r="AO111" s="228">
        <v>490.95</v>
      </c>
      <c r="AP111" s="228">
        <v>476.62</v>
      </c>
      <c r="AQ111" s="228">
        <v>0</v>
      </c>
      <c r="AR111" s="230">
        <v>33597500</v>
      </c>
      <c r="AS111" s="230">
        <v>14651250</v>
      </c>
      <c r="AT111" s="230">
        <v>18946250</v>
      </c>
      <c r="AU111" s="229">
        <v>1.2930999999999999</v>
      </c>
      <c r="AV111" s="230">
        <v>17132500</v>
      </c>
      <c r="AW111" s="230">
        <v>8432500</v>
      </c>
      <c r="AX111" s="230">
        <v>8700000</v>
      </c>
      <c r="AY111" s="229">
        <v>1.0317000000000001</v>
      </c>
      <c r="AZ111" s="230">
        <v>16327500</v>
      </c>
      <c r="BA111" s="230">
        <v>5817500</v>
      </c>
      <c r="BB111" s="230">
        <v>10510000</v>
      </c>
      <c r="BC111" s="229">
        <v>1.8066</v>
      </c>
      <c r="BD111" s="230">
        <v>137500</v>
      </c>
      <c r="BE111" s="230">
        <v>401250</v>
      </c>
      <c r="BF111" s="230">
        <v>-263750</v>
      </c>
      <c r="BG111" s="229">
        <v>-0.6573</v>
      </c>
      <c r="BH111" s="230">
        <v>23010000</v>
      </c>
      <c r="BI111" s="230">
        <v>43036250</v>
      </c>
      <c r="BJ111" s="230">
        <v>-20026250</v>
      </c>
      <c r="BK111" s="229">
        <v>-0.46529999999999999</v>
      </c>
      <c r="BL111" s="230">
        <v>10602500</v>
      </c>
      <c r="BM111" s="230">
        <v>19348750</v>
      </c>
      <c r="BN111" s="230">
        <v>-8746250</v>
      </c>
      <c r="BO111" s="229">
        <v>-0.45200000000000001</v>
      </c>
      <c r="BP111" s="230">
        <v>67210000</v>
      </c>
      <c r="BQ111" s="230">
        <v>77036250</v>
      </c>
      <c r="BR111" s="230">
        <v>-9826250</v>
      </c>
      <c r="BS111" s="229">
        <v>-0.12759999999999999</v>
      </c>
      <c r="BT111" s="230">
        <v>2720864</v>
      </c>
      <c r="BU111" s="230">
        <v>4873889</v>
      </c>
      <c r="BV111" s="230">
        <v>-2153025</v>
      </c>
      <c r="BW111" s="229">
        <v>-0.44169999999999998</v>
      </c>
      <c r="BX111" s="230">
        <v>50142500</v>
      </c>
      <c r="BY111" s="230">
        <v>54933750</v>
      </c>
      <c r="BZ111" s="230">
        <v>-4791250</v>
      </c>
      <c r="CA111" s="229">
        <v>-8.72E-2</v>
      </c>
      <c r="CB111" s="230">
        <v>25455000</v>
      </c>
      <c r="CC111" s="230">
        <v>36212500</v>
      </c>
      <c r="CD111" s="230">
        <v>-10757500</v>
      </c>
      <c r="CE111" s="229">
        <v>-0.29709999999999998</v>
      </c>
      <c r="CF111" s="230">
        <v>23912500</v>
      </c>
      <c r="CG111" s="230">
        <v>17938750</v>
      </c>
      <c r="CH111" s="230">
        <v>5973750</v>
      </c>
      <c r="CI111" s="229">
        <v>0.33300000000000002</v>
      </c>
      <c r="CJ111" s="230">
        <v>775000</v>
      </c>
      <c r="CK111" s="230">
        <v>782500</v>
      </c>
      <c r="CL111" s="230">
        <v>-7500</v>
      </c>
      <c r="CM111" s="229">
        <v>-9.5999999999999992E-3</v>
      </c>
      <c r="CN111" s="230">
        <v>13303750</v>
      </c>
      <c r="CO111" s="230">
        <v>13628750</v>
      </c>
      <c r="CP111" s="230">
        <v>-325000</v>
      </c>
      <c r="CQ111" s="229">
        <v>-2.3800000000000002E-2</v>
      </c>
      <c r="CR111" s="230">
        <v>11460000</v>
      </c>
      <c r="CS111" s="230">
        <v>11842500</v>
      </c>
      <c r="CT111" s="230">
        <v>-382500</v>
      </c>
      <c r="CU111" s="229">
        <v>-3.2300000000000002E-2</v>
      </c>
      <c r="CV111" s="230">
        <v>74906250</v>
      </c>
      <c r="CW111" s="230">
        <v>80405000</v>
      </c>
      <c r="CX111" s="230">
        <v>-5498750</v>
      </c>
      <c r="CY111" s="229">
        <v>-6.8400000000000002E-2</v>
      </c>
      <c r="CZ111" s="228">
        <v>38.97</v>
      </c>
      <c r="DA111" s="228">
        <v>35.9</v>
      </c>
      <c r="DB111" s="228">
        <v>3.07</v>
      </c>
      <c r="DC111" s="228">
        <v>3.07</v>
      </c>
      <c r="DD111" s="228">
        <v>38.479999999999997</v>
      </c>
      <c r="DE111" s="228">
        <v>38.57</v>
      </c>
      <c r="DF111" s="228">
        <v>0.49</v>
      </c>
      <c r="DG111" s="228">
        <v>-0.09</v>
      </c>
      <c r="DH111" s="228">
        <v>38.799999999999997</v>
      </c>
      <c r="DI111" s="228">
        <v>34.31</v>
      </c>
      <c r="DJ111" s="228">
        <v>4.49</v>
      </c>
      <c r="DK111" s="228">
        <v>4.49</v>
      </c>
      <c r="DL111" s="228">
        <v>39.6</v>
      </c>
      <c r="DM111" s="228">
        <v>39.450000000000003</v>
      </c>
      <c r="DN111" s="228">
        <v>0.15</v>
      </c>
      <c r="DO111" s="228">
        <v>0.15</v>
      </c>
      <c r="DP111" s="228">
        <v>0.86</v>
      </c>
      <c r="DQ111" s="228">
        <v>0.87</v>
      </c>
      <c r="DR111" s="228">
        <v>-0.01</v>
      </c>
      <c r="DS111" s="229">
        <v>-1.15E-2</v>
      </c>
      <c r="DT111" s="228">
        <v>500</v>
      </c>
      <c r="DU111" s="228">
        <v>400</v>
      </c>
      <c r="DV111" s="228">
        <v>0.46</v>
      </c>
      <c r="DW111" s="228">
        <v>0.45</v>
      </c>
      <c r="DX111" s="228">
        <v>0.01</v>
      </c>
      <c r="DY111" s="229">
        <v>2.2200000000000001E-2</v>
      </c>
      <c r="DZ111" s="229">
        <v>0.49230000000000002</v>
      </c>
      <c r="EA111" s="230">
        <v>18721250</v>
      </c>
      <c r="EB111" s="229">
        <v>-2.7099999999999999E-2</v>
      </c>
      <c r="EC111" s="229">
        <v>0.49230000000000002</v>
      </c>
      <c r="ED111" s="228">
        <v>-14.33</v>
      </c>
      <c r="EE111" s="229">
        <v>-2.92E-2</v>
      </c>
      <c r="EF111" s="230">
        <v>1025872</v>
      </c>
      <c r="EG111" s="230">
        <v>1986356</v>
      </c>
      <c r="EH111" s="229">
        <v>-0.48349999999999999</v>
      </c>
      <c r="EI111" s="229">
        <v>0.377</v>
      </c>
      <c r="EJ111" s="231">
        <v>116432.31</v>
      </c>
      <c r="EK111" s="231">
        <v>50699.8</v>
      </c>
      <c r="EL111" s="231">
        <v>162575.81</v>
      </c>
      <c r="EM111" s="231">
        <v>8145</v>
      </c>
      <c r="EN111" s="231">
        <v>329707.92</v>
      </c>
      <c r="EO111" s="231">
        <v>374881.59</v>
      </c>
      <c r="EP111" s="231">
        <v>-45173.67</v>
      </c>
      <c r="EQ111" s="229">
        <v>-0.1205</v>
      </c>
      <c r="ER111" s="231">
        <v>63227</v>
      </c>
      <c r="ES111" s="231">
        <v>51205</v>
      </c>
      <c r="ET111" s="231">
        <v>242839</v>
      </c>
      <c r="EU111" s="231">
        <v>58777851</v>
      </c>
      <c r="EV111" s="231">
        <v>357271</v>
      </c>
      <c r="EW111" s="231">
        <v>383707</v>
      </c>
      <c r="EX111" s="231">
        <v>-26436</v>
      </c>
      <c r="EY111" s="229">
        <v>-6.8900000000000003E-2</v>
      </c>
      <c r="EZ111" s="229">
        <v>1.2744</v>
      </c>
      <c r="FA111" s="227" t="s">
        <v>693</v>
      </c>
      <c r="FB111" s="161">
        <f t="shared" si="1"/>
        <v>24687500</v>
      </c>
    </row>
    <row r="112" spans="1:158" ht="17.25" thickBot="1" x14ac:dyDescent="0.3">
      <c r="A112" s="226">
        <v>46135</v>
      </c>
      <c r="B112" s="227" t="s">
        <v>168</v>
      </c>
      <c r="C112" s="227" t="s">
        <v>581</v>
      </c>
      <c r="D112" s="228">
        <v>1175</v>
      </c>
      <c r="E112" s="228">
        <v>413.3</v>
      </c>
      <c r="F112" s="228">
        <v>415.35</v>
      </c>
      <c r="G112" s="228">
        <v>-2.0499999999999998</v>
      </c>
      <c r="H112" s="229">
        <v>-4.8999999999999998E-3</v>
      </c>
      <c r="I112" s="228">
        <v>412.85</v>
      </c>
      <c r="J112" s="228">
        <v>414.25</v>
      </c>
      <c r="K112" s="228">
        <v>-1.4</v>
      </c>
      <c r="L112" s="229">
        <v>-3.3999999999999998E-3</v>
      </c>
      <c r="M112" s="228">
        <v>413.3</v>
      </c>
      <c r="N112" s="228">
        <v>415.35</v>
      </c>
      <c r="O112" s="228">
        <v>-2.0499999999999998</v>
      </c>
      <c r="P112" s="229">
        <v>-4.8999999999999998E-3</v>
      </c>
      <c r="Q112" s="228">
        <v>415.7</v>
      </c>
      <c r="R112" s="228">
        <v>417.3</v>
      </c>
      <c r="S112" s="228">
        <v>-1.6</v>
      </c>
      <c r="T112" s="229">
        <v>-3.8E-3</v>
      </c>
      <c r="U112" s="228">
        <v>418.05</v>
      </c>
      <c r="V112" s="228">
        <v>420.6</v>
      </c>
      <c r="W112" s="228">
        <v>-2.5499999999999998</v>
      </c>
      <c r="X112" s="229">
        <v>-6.1000000000000004E-3</v>
      </c>
      <c r="Y112" s="228">
        <v>0.45</v>
      </c>
      <c r="Z112" s="228">
        <v>1.1000000000000001</v>
      </c>
      <c r="AA112" s="228">
        <v>-0.65</v>
      </c>
      <c r="AB112" s="229">
        <v>1.1000000000000001E-3</v>
      </c>
      <c r="AC112" s="228">
        <v>0.45</v>
      </c>
      <c r="AD112" s="228">
        <v>1.1000000000000001</v>
      </c>
      <c r="AE112" s="228">
        <v>-0.65</v>
      </c>
      <c r="AF112" s="229">
        <v>1.1000000000000001E-3</v>
      </c>
      <c r="AG112" s="228">
        <v>2.85</v>
      </c>
      <c r="AH112" s="228">
        <v>3.05</v>
      </c>
      <c r="AI112" s="228">
        <v>-0.2</v>
      </c>
      <c r="AJ112" s="229">
        <v>6.8999999999999999E-3</v>
      </c>
      <c r="AK112" s="228">
        <v>5.2</v>
      </c>
      <c r="AL112" s="228">
        <v>6.35</v>
      </c>
      <c r="AM112" s="228">
        <v>-1.1499999999999999</v>
      </c>
      <c r="AN112" s="229">
        <v>1.26E-2</v>
      </c>
      <c r="AO112" s="228">
        <v>411.23</v>
      </c>
      <c r="AP112" s="228">
        <v>413.74</v>
      </c>
      <c r="AQ112" s="228">
        <v>0</v>
      </c>
      <c r="AR112" s="230">
        <v>13507800</v>
      </c>
      <c r="AS112" s="230">
        <v>2882275</v>
      </c>
      <c r="AT112" s="230">
        <v>10625525</v>
      </c>
      <c r="AU112" s="229">
        <v>3.6865000000000001</v>
      </c>
      <c r="AV112" s="230">
        <v>6733925</v>
      </c>
      <c r="AW112" s="230">
        <v>1908200</v>
      </c>
      <c r="AX112" s="230">
        <v>4825725</v>
      </c>
      <c r="AY112" s="229">
        <v>2.5289000000000001</v>
      </c>
      <c r="AZ112" s="230">
        <v>6697500</v>
      </c>
      <c r="BA112" s="230">
        <v>900050</v>
      </c>
      <c r="BB112" s="230">
        <v>5797450</v>
      </c>
      <c r="BC112" s="229">
        <v>6.4413</v>
      </c>
      <c r="BD112" s="230">
        <v>76375</v>
      </c>
      <c r="BE112" s="230">
        <v>74025</v>
      </c>
      <c r="BF112" s="230">
        <v>2350</v>
      </c>
      <c r="BG112" s="229">
        <v>3.1699999999999999E-2</v>
      </c>
      <c r="BH112" s="230">
        <v>17932850</v>
      </c>
      <c r="BI112" s="230">
        <v>11372825</v>
      </c>
      <c r="BJ112" s="230">
        <v>6560025</v>
      </c>
      <c r="BK112" s="229">
        <v>0.57679999999999998</v>
      </c>
      <c r="BL112" s="230">
        <v>6389650</v>
      </c>
      <c r="BM112" s="230">
        <v>4843350</v>
      </c>
      <c r="BN112" s="230">
        <v>1546300</v>
      </c>
      <c r="BO112" s="229">
        <v>0.31929999999999997</v>
      </c>
      <c r="BP112" s="230">
        <v>37830300</v>
      </c>
      <c r="BQ112" s="230">
        <v>19098450</v>
      </c>
      <c r="BR112" s="230">
        <v>18731850</v>
      </c>
      <c r="BS112" s="229">
        <v>0.98080000000000001</v>
      </c>
      <c r="BT112" s="230">
        <v>3609564</v>
      </c>
      <c r="BU112" s="230">
        <v>3656123</v>
      </c>
      <c r="BV112" s="230">
        <v>-46559</v>
      </c>
      <c r="BW112" s="229">
        <v>-1.2699999999999999E-2</v>
      </c>
      <c r="BX112" s="230">
        <v>27405700</v>
      </c>
      <c r="BY112" s="230">
        <v>27215350</v>
      </c>
      <c r="BZ112" s="230">
        <v>190350</v>
      </c>
      <c r="CA112" s="229">
        <v>7.0000000000000001E-3</v>
      </c>
      <c r="CB112" s="230">
        <v>19051450</v>
      </c>
      <c r="CC112" s="230">
        <v>24226150</v>
      </c>
      <c r="CD112" s="230">
        <v>-5174700</v>
      </c>
      <c r="CE112" s="229">
        <v>-0.21360000000000001</v>
      </c>
      <c r="CF112" s="230">
        <v>8019375</v>
      </c>
      <c r="CG112" s="230">
        <v>2683700</v>
      </c>
      <c r="CH112" s="230">
        <v>5335675</v>
      </c>
      <c r="CI112" s="229">
        <v>1.9882</v>
      </c>
      <c r="CJ112" s="230">
        <v>334875</v>
      </c>
      <c r="CK112" s="230">
        <v>305500</v>
      </c>
      <c r="CL112" s="230">
        <v>29375</v>
      </c>
      <c r="CM112" s="229">
        <v>9.6199999999999994E-2</v>
      </c>
      <c r="CN112" s="230">
        <v>14332650</v>
      </c>
      <c r="CO112" s="230">
        <v>16313700</v>
      </c>
      <c r="CP112" s="230">
        <v>-1981050</v>
      </c>
      <c r="CQ112" s="229">
        <v>-0.12139999999999999</v>
      </c>
      <c r="CR112" s="230">
        <v>6624650</v>
      </c>
      <c r="CS112" s="230">
        <v>6889025</v>
      </c>
      <c r="CT112" s="230">
        <v>-264375</v>
      </c>
      <c r="CU112" s="229">
        <v>-3.8399999999999997E-2</v>
      </c>
      <c r="CV112" s="230">
        <v>48363000</v>
      </c>
      <c r="CW112" s="230">
        <v>50418075</v>
      </c>
      <c r="CX112" s="230">
        <v>-2055075</v>
      </c>
      <c r="CY112" s="229">
        <v>-4.0800000000000003E-2</v>
      </c>
      <c r="CZ112" s="228">
        <v>47.11</v>
      </c>
      <c r="DA112" s="228">
        <v>40.96</v>
      </c>
      <c r="DB112" s="228">
        <v>6.15</v>
      </c>
      <c r="DC112" s="228">
        <v>6.15</v>
      </c>
      <c r="DD112" s="228">
        <v>52.03</v>
      </c>
      <c r="DE112" s="228">
        <v>52.16</v>
      </c>
      <c r="DF112" s="228">
        <v>-4.92</v>
      </c>
      <c r="DG112" s="228">
        <v>-0.13</v>
      </c>
      <c r="DH112" s="228">
        <v>46.41</v>
      </c>
      <c r="DI112" s="228">
        <v>41.55</v>
      </c>
      <c r="DJ112" s="228">
        <v>4.8600000000000003</v>
      </c>
      <c r="DK112" s="228">
        <v>4.8600000000000003</v>
      </c>
      <c r="DL112" s="228">
        <v>48.17</v>
      </c>
      <c r="DM112" s="228">
        <v>39.56</v>
      </c>
      <c r="DN112" s="228">
        <v>8.61</v>
      </c>
      <c r="DO112" s="228">
        <v>8.61</v>
      </c>
      <c r="DP112" s="228">
        <v>0.46</v>
      </c>
      <c r="DQ112" s="228">
        <v>0.42</v>
      </c>
      <c r="DR112" s="228">
        <v>0.04</v>
      </c>
      <c r="DS112" s="229">
        <v>9.5200000000000007E-2</v>
      </c>
      <c r="DT112" s="228">
        <v>450</v>
      </c>
      <c r="DU112" s="228">
        <v>420</v>
      </c>
      <c r="DV112" s="228">
        <v>0.36</v>
      </c>
      <c r="DW112" s="228">
        <v>0.43</v>
      </c>
      <c r="DX112" s="228">
        <v>-7.0000000000000007E-2</v>
      </c>
      <c r="DY112" s="229">
        <v>-0.1628</v>
      </c>
      <c r="DZ112" s="229">
        <v>0.30480000000000002</v>
      </c>
      <c r="EA112" s="230">
        <v>2989200</v>
      </c>
      <c r="EB112" s="229">
        <v>5.7999999999999996E-3</v>
      </c>
      <c r="EC112" s="229">
        <v>0.30480000000000002</v>
      </c>
      <c r="ED112" s="228">
        <v>2.5099999999999998</v>
      </c>
      <c r="EE112" s="229">
        <v>6.1000000000000004E-3</v>
      </c>
      <c r="EF112" s="230">
        <v>1127806</v>
      </c>
      <c r="EG112" s="230">
        <v>1306332</v>
      </c>
      <c r="EH112" s="229">
        <v>-0.13669999999999999</v>
      </c>
      <c r="EI112" s="229">
        <v>0.31240000000000001</v>
      </c>
      <c r="EJ112" s="231">
        <v>78544.84</v>
      </c>
      <c r="EK112" s="231">
        <v>26524.560000000001</v>
      </c>
      <c r="EL112" s="231">
        <v>55719.82</v>
      </c>
      <c r="EM112" s="231">
        <v>5208</v>
      </c>
      <c r="EN112" s="231">
        <v>160789.22</v>
      </c>
      <c r="EO112" s="231">
        <v>82130.960000000006</v>
      </c>
      <c r="EP112" s="231">
        <v>78658.259999999995</v>
      </c>
      <c r="EQ112" s="229">
        <v>0.9577</v>
      </c>
      <c r="ER112" s="231">
        <v>62610</v>
      </c>
      <c r="ES112" s="231">
        <v>27106</v>
      </c>
      <c r="ET112" s="231">
        <v>113476</v>
      </c>
      <c r="EU112" s="231">
        <v>57686748</v>
      </c>
      <c r="EV112" s="231">
        <v>203192</v>
      </c>
      <c r="EW112" s="231">
        <v>213351</v>
      </c>
      <c r="EX112" s="231">
        <v>-10159</v>
      </c>
      <c r="EY112" s="229">
        <v>-4.7600000000000003E-2</v>
      </c>
      <c r="EZ112" s="229">
        <v>0.83840000000000003</v>
      </c>
      <c r="FA112" s="227" t="s">
        <v>566</v>
      </c>
      <c r="FB112" s="161">
        <f t="shared" si="1"/>
        <v>8354250</v>
      </c>
    </row>
    <row r="113" spans="1:158" ht="17.25" thickBot="1" x14ac:dyDescent="0.3">
      <c r="A113" s="226">
        <v>46135</v>
      </c>
      <c r="B113" s="227" t="s">
        <v>184</v>
      </c>
      <c r="C113" s="227" t="s">
        <v>674</v>
      </c>
      <c r="D113" s="228">
        <v>100</v>
      </c>
      <c r="E113" s="231">
        <v>4381.3</v>
      </c>
      <c r="F113" s="231">
        <v>4454.3999999999996</v>
      </c>
      <c r="G113" s="228">
        <v>-73.099999999999994</v>
      </c>
      <c r="H113" s="229">
        <v>-1.6400000000000001E-2</v>
      </c>
      <c r="I113" s="231">
        <v>4387.7</v>
      </c>
      <c r="J113" s="231">
        <v>4458.8999999999996</v>
      </c>
      <c r="K113" s="228">
        <v>-71.2</v>
      </c>
      <c r="L113" s="229">
        <v>-1.6E-2</v>
      </c>
      <c r="M113" s="231">
        <v>4381.3</v>
      </c>
      <c r="N113" s="231">
        <v>4454.3999999999996</v>
      </c>
      <c r="O113" s="228">
        <v>-73.099999999999994</v>
      </c>
      <c r="P113" s="229">
        <v>-1.6400000000000001E-2</v>
      </c>
      <c r="Q113" s="231">
        <v>4326.3999999999996</v>
      </c>
      <c r="R113" s="231">
        <v>4423.8</v>
      </c>
      <c r="S113" s="228">
        <v>-97.4</v>
      </c>
      <c r="T113" s="229">
        <v>-2.1999999999999999E-2</v>
      </c>
      <c r="U113" s="231">
        <v>4307.8</v>
      </c>
      <c r="V113" s="231">
        <v>4403.2</v>
      </c>
      <c r="W113" s="228">
        <v>-95.4</v>
      </c>
      <c r="X113" s="229">
        <v>-2.1700000000000001E-2</v>
      </c>
      <c r="Y113" s="228">
        <v>-6.4</v>
      </c>
      <c r="Z113" s="228">
        <v>-4.5</v>
      </c>
      <c r="AA113" s="228">
        <v>-1.9</v>
      </c>
      <c r="AB113" s="229">
        <v>-1.5E-3</v>
      </c>
      <c r="AC113" s="228">
        <v>-6.4</v>
      </c>
      <c r="AD113" s="228">
        <v>-4.5</v>
      </c>
      <c r="AE113" s="228">
        <v>-1.9</v>
      </c>
      <c r="AF113" s="229">
        <v>-1.5E-3</v>
      </c>
      <c r="AG113" s="228">
        <v>-61.3</v>
      </c>
      <c r="AH113" s="228">
        <v>-35.1</v>
      </c>
      <c r="AI113" s="228">
        <v>-26.2</v>
      </c>
      <c r="AJ113" s="229">
        <v>-1.4E-2</v>
      </c>
      <c r="AK113" s="228">
        <v>-79.900000000000006</v>
      </c>
      <c r="AL113" s="228">
        <v>-55.7</v>
      </c>
      <c r="AM113" s="228">
        <v>-24.2</v>
      </c>
      <c r="AN113" s="229">
        <v>-1.8200000000000001E-2</v>
      </c>
      <c r="AO113" s="231">
        <v>4388.29</v>
      </c>
      <c r="AP113" s="231">
        <v>4339.76</v>
      </c>
      <c r="AQ113" s="228">
        <v>0</v>
      </c>
      <c r="AR113" s="230">
        <v>2611200</v>
      </c>
      <c r="AS113" s="230">
        <v>1546700</v>
      </c>
      <c r="AT113" s="230">
        <v>1064500</v>
      </c>
      <c r="AU113" s="229">
        <v>0.68820000000000003</v>
      </c>
      <c r="AV113" s="230">
        <v>1342700</v>
      </c>
      <c r="AW113" s="230">
        <v>1042200</v>
      </c>
      <c r="AX113" s="230">
        <v>300500</v>
      </c>
      <c r="AY113" s="229">
        <v>0.2883</v>
      </c>
      <c r="AZ113" s="230">
        <v>1249600</v>
      </c>
      <c r="BA113" s="230">
        <v>468600</v>
      </c>
      <c r="BB113" s="230">
        <v>781000</v>
      </c>
      <c r="BC113" s="229">
        <v>1.6667000000000001</v>
      </c>
      <c r="BD113" s="230">
        <v>18900</v>
      </c>
      <c r="BE113" s="230">
        <v>35900</v>
      </c>
      <c r="BF113" s="230">
        <v>-17000</v>
      </c>
      <c r="BG113" s="229">
        <v>-0.47349999999999998</v>
      </c>
      <c r="BH113" s="230">
        <v>3026800</v>
      </c>
      <c r="BI113" s="230">
        <v>7975000</v>
      </c>
      <c r="BJ113" s="230">
        <v>-4948200</v>
      </c>
      <c r="BK113" s="229">
        <v>-0.62050000000000005</v>
      </c>
      <c r="BL113" s="230">
        <v>2150900</v>
      </c>
      <c r="BM113" s="230">
        <v>4653700</v>
      </c>
      <c r="BN113" s="230">
        <v>-2502800</v>
      </c>
      <c r="BO113" s="229">
        <v>-0.53779999999999994</v>
      </c>
      <c r="BP113" s="230">
        <v>7788900</v>
      </c>
      <c r="BQ113" s="230">
        <v>14175400</v>
      </c>
      <c r="BR113" s="230">
        <v>-6386500</v>
      </c>
      <c r="BS113" s="229">
        <v>-0.45050000000000001</v>
      </c>
      <c r="BT113" s="230">
        <v>1094386</v>
      </c>
      <c r="BU113" s="230">
        <v>1991439</v>
      </c>
      <c r="BV113" s="230">
        <v>-897053</v>
      </c>
      <c r="BW113" s="229">
        <v>-0.45050000000000001</v>
      </c>
      <c r="BX113" s="230">
        <v>3191900</v>
      </c>
      <c r="BY113" s="230">
        <v>3639200</v>
      </c>
      <c r="BZ113" s="230">
        <v>-447300</v>
      </c>
      <c r="CA113" s="229">
        <v>-0.1229</v>
      </c>
      <c r="CB113" s="230">
        <v>1812600</v>
      </c>
      <c r="CC113" s="230">
        <v>2693600</v>
      </c>
      <c r="CD113" s="230">
        <v>-881000</v>
      </c>
      <c r="CE113" s="229">
        <v>-0.3271</v>
      </c>
      <c r="CF113" s="230">
        <v>1297600</v>
      </c>
      <c r="CG113" s="230">
        <v>874000</v>
      </c>
      <c r="CH113" s="230">
        <v>423600</v>
      </c>
      <c r="CI113" s="229">
        <v>0.48470000000000002</v>
      </c>
      <c r="CJ113" s="230">
        <v>81700</v>
      </c>
      <c r="CK113" s="230">
        <v>71600</v>
      </c>
      <c r="CL113" s="230">
        <v>10100</v>
      </c>
      <c r="CM113" s="229">
        <v>0.1411</v>
      </c>
      <c r="CN113" s="230">
        <v>1700800</v>
      </c>
      <c r="CO113" s="230">
        <v>1619300</v>
      </c>
      <c r="CP113" s="230">
        <v>81500</v>
      </c>
      <c r="CQ113" s="229">
        <v>5.0299999999999997E-2</v>
      </c>
      <c r="CR113" s="230">
        <v>1436400</v>
      </c>
      <c r="CS113" s="230">
        <v>1552100</v>
      </c>
      <c r="CT113" s="230">
        <v>-115700</v>
      </c>
      <c r="CU113" s="229">
        <v>-7.4499999999999997E-2</v>
      </c>
      <c r="CV113" s="230">
        <v>6329100</v>
      </c>
      <c r="CW113" s="230">
        <v>6810600</v>
      </c>
      <c r="CX113" s="230">
        <v>-481500</v>
      </c>
      <c r="CY113" s="229">
        <v>-7.0699999999999999E-2</v>
      </c>
      <c r="CZ113" s="228">
        <v>49.58</v>
      </c>
      <c r="DA113" s="228">
        <v>42.59</v>
      </c>
      <c r="DB113" s="228">
        <v>6.99</v>
      </c>
      <c r="DC113" s="228">
        <v>6.99</v>
      </c>
      <c r="DD113" s="228">
        <v>61</v>
      </c>
      <c r="DE113" s="228">
        <v>61.11</v>
      </c>
      <c r="DF113" s="228">
        <v>-11.42</v>
      </c>
      <c r="DG113" s="228">
        <v>-0.11</v>
      </c>
      <c r="DH113" s="228">
        <v>49.51</v>
      </c>
      <c r="DI113" s="228">
        <v>39.090000000000003</v>
      </c>
      <c r="DJ113" s="228">
        <v>10.42</v>
      </c>
      <c r="DK113" s="228">
        <v>10.42</v>
      </c>
      <c r="DL113" s="228">
        <v>49.76</v>
      </c>
      <c r="DM113" s="228">
        <v>48.58</v>
      </c>
      <c r="DN113" s="228">
        <v>1.18</v>
      </c>
      <c r="DO113" s="228">
        <v>1.18</v>
      </c>
      <c r="DP113" s="228">
        <v>0.84</v>
      </c>
      <c r="DQ113" s="228">
        <v>0.96</v>
      </c>
      <c r="DR113" s="228">
        <v>-0.12</v>
      </c>
      <c r="DS113" s="229">
        <v>-0.125</v>
      </c>
      <c r="DT113" s="231">
        <v>4500</v>
      </c>
      <c r="DU113" s="231">
        <v>4200</v>
      </c>
      <c r="DV113" s="228">
        <v>0.71</v>
      </c>
      <c r="DW113" s="228">
        <v>0.57999999999999996</v>
      </c>
      <c r="DX113" s="228">
        <v>0.13</v>
      </c>
      <c r="DY113" s="229">
        <v>0.22409999999999999</v>
      </c>
      <c r="DZ113" s="229">
        <v>0.43209999999999998</v>
      </c>
      <c r="EA113" s="230">
        <v>945600</v>
      </c>
      <c r="EB113" s="229">
        <v>-1.2500000000000001E-2</v>
      </c>
      <c r="EC113" s="229">
        <v>0.43209999999999998</v>
      </c>
      <c r="ED113" s="228">
        <v>-48.53</v>
      </c>
      <c r="EE113" s="229">
        <v>-1.11E-2</v>
      </c>
      <c r="EF113" s="230">
        <v>251972</v>
      </c>
      <c r="EG113" s="230">
        <v>453570</v>
      </c>
      <c r="EH113" s="229">
        <v>-0.44450000000000001</v>
      </c>
      <c r="EI113" s="229">
        <v>0.23019999999999999</v>
      </c>
      <c r="EJ113" s="231">
        <v>138660.82</v>
      </c>
      <c r="EK113" s="231">
        <v>88081.03</v>
      </c>
      <c r="EL113" s="231">
        <v>113967.71</v>
      </c>
      <c r="EM113" s="231">
        <v>11570</v>
      </c>
      <c r="EN113" s="231">
        <v>340709.56</v>
      </c>
      <c r="EO113" s="231">
        <v>620450.09</v>
      </c>
      <c r="EP113" s="231">
        <v>-279740.53000000003</v>
      </c>
      <c r="EQ113" s="229">
        <v>-0.45090000000000002</v>
      </c>
      <c r="ER113" s="231">
        <v>71480</v>
      </c>
      <c r="ES113" s="231">
        <v>55834</v>
      </c>
      <c r="ET113" s="231">
        <v>139074</v>
      </c>
      <c r="EU113" s="231">
        <v>4679418</v>
      </c>
      <c r="EV113" s="231">
        <v>266389</v>
      </c>
      <c r="EW113" s="231">
        <v>289657</v>
      </c>
      <c r="EX113" s="231">
        <v>-23268</v>
      </c>
      <c r="EY113" s="229">
        <v>-8.0299999999999996E-2</v>
      </c>
      <c r="EZ113" s="229">
        <v>1.3525</v>
      </c>
      <c r="FA113" s="227" t="s">
        <v>567</v>
      </c>
      <c r="FB113" s="161">
        <f t="shared" si="1"/>
        <v>1379300</v>
      </c>
    </row>
    <row r="114" spans="1:158" ht="17.25" thickBot="1" x14ac:dyDescent="0.3">
      <c r="A114" s="226">
        <v>46135</v>
      </c>
      <c r="B114" s="227" t="s">
        <v>161</v>
      </c>
      <c r="C114" s="227" t="s">
        <v>609</v>
      </c>
      <c r="D114" s="228">
        <v>175</v>
      </c>
      <c r="E114" s="231">
        <v>4855</v>
      </c>
      <c r="F114" s="231">
        <v>4905.8</v>
      </c>
      <c r="G114" s="228">
        <v>-50.8</v>
      </c>
      <c r="H114" s="229">
        <v>-1.04E-2</v>
      </c>
      <c r="I114" s="231">
        <v>4839.5</v>
      </c>
      <c r="J114" s="231">
        <v>4909.7</v>
      </c>
      <c r="K114" s="228">
        <v>-70.2</v>
      </c>
      <c r="L114" s="229">
        <v>-1.43E-2</v>
      </c>
      <c r="M114" s="231">
        <v>4855</v>
      </c>
      <c r="N114" s="231">
        <v>4905.8</v>
      </c>
      <c r="O114" s="228">
        <v>-50.8</v>
      </c>
      <c r="P114" s="229">
        <v>-1.04E-2</v>
      </c>
      <c r="Q114" s="231">
        <v>4781.6000000000004</v>
      </c>
      <c r="R114" s="231">
        <v>4836.8</v>
      </c>
      <c r="S114" s="228">
        <v>-55.2</v>
      </c>
      <c r="T114" s="229">
        <v>-1.14E-2</v>
      </c>
      <c r="U114" s="231">
        <v>4782.3999999999996</v>
      </c>
      <c r="V114" s="231">
        <v>4820</v>
      </c>
      <c r="W114" s="228">
        <v>-37.6</v>
      </c>
      <c r="X114" s="229">
        <v>-7.7999999999999996E-3</v>
      </c>
      <c r="Y114" s="228">
        <v>15.5</v>
      </c>
      <c r="Z114" s="228">
        <v>-3.9</v>
      </c>
      <c r="AA114" s="228">
        <v>19.399999999999999</v>
      </c>
      <c r="AB114" s="229">
        <v>3.2000000000000002E-3</v>
      </c>
      <c r="AC114" s="228">
        <v>15.5</v>
      </c>
      <c r="AD114" s="228">
        <v>-3.9</v>
      </c>
      <c r="AE114" s="228">
        <v>19.399999999999999</v>
      </c>
      <c r="AF114" s="229">
        <v>3.2000000000000002E-3</v>
      </c>
      <c r="AG114" s="228">
        <v>-57.9</v>
      </c>
      <c r="AH114" s="228">
        <v>-72.900000000000006</v>
      </c>
      <c r="AI114" s="228">
        <v>15</v>
      </c>
      <c r="AJ114" s="229">
        <v>-1.2E-2</v>
      </c>
      <c r="AK114" s="228">
        <v>-57.1</v>
      </c>
      <c r="AL114" s="228">
        <v>-89.7</v>
      </c>
      <c r="AM114" s="228">
        <v>32.6</v>
      </c>
      <c r="AN114" s="229">
        <v>-1.18E-2</v>
      </c>
      <c r="AO114" s="231">
        <v>4908.78</v>
      </c>
      <c r="AP114" s="231">
        <v>4827.33</v>
      </c>
      <c r="AQ114" s="228">
        <v>0</v>
      </c>
      <c r="AR114" s="230">
        <v>1578150</v>
      </c>
      <c r="AS114" s="230">
        <v>840350</v>
      </c>
      <c r="AT114" s="230">
        <v>737800</v>
      </c>
      <c r="AU114" s="229">
        <v>0.878</v>
      </c>
      <c r="AV114" s="230">
        <v>850325</v>
      </c>
      <c r="AW114" s="230">
        <v>505400</v>
      </c>
      <c r="AX114" s="230">
        <v>344925</v>
      </c>
      <c r="AY114" s="229">
        <v>0.6825</v>
      </c>
      <c r="AZ114" s="230">
        <v>725375</v>
      </c>
      <c r="BA114" s="230">
        <v>334600</v>
      </c>
      <c r="BB114" s="230">
        <v>390775</v>
      </c>
      <c r="BC114" s="229">
        <v>1.1678999999999999</v>
      </c>
      <c r="BD114" s="230">
        <v>2450</v>
      </c>
      <c r="BE114" s="228">
        <v>350</v>
      </c>
      <c r="BF114" s="230">
        <v>2100</v>
      </c>
      <c r="BG114" s="229">
        <v>6</v>
      </c>
      <c r="BH114" s="230">
        <v>1263850</v>
      </c>
      <c r="BI114" s="230">
        <v>1321950</v>
      </c>
      <c r="BJ114" s="230">
        <v>-58100</v>
      </c>
      <c r="BK114" s="229">
        <v>-4.3999999999999997E-2</v>
      </c>
      <c r="BL114" s="230">
        <v>1269450</v>
      </c>
      <c r="BM114" s="230">
        <v>2251725</v>
      </c>
      <c r="BN114" s="230">
        <v>-982275</v>
      </c>
      <c r="BO114" s="229">
        <v>-0.43619999999999998</v>
      </c>
      <c r="BP114" s="230">
        <v>4111450</v>
      </c>
      <c r="BQ114" s="230">
        <v>4414025</v>
      </c>
      <c r="BR114" s="230">
        <v>-302575</v>
      </c>
      <c r="BS114" s="229">
        <v>-6.8500000000000005E-2</v>
      </c>
      <c r="BT114" s="230">
        <v>380681</v>
      </c>
      <c r="BU114" s="230">
        <v>297322</v>
      </c>
      <c r="BV114" s="230">
        <v>83359</v>
      </c>
      <c r="BW114" s="229">
        <v>0.28039999999999998</v>
      </c>
      <c r="BX114" s="230">
        <v>2268350</v>
      </c>
      <c r="BY114" s="230">
        <v>2604700</v>
      </c>
      <c r="BZ114" s="230">
        <v>-336350</v>
      </c>
      <c r="CA114" s="229">
        <v>-0.12909999999999999</v>
      </c>
      <c r="CB114" s="230">
        <v>1070475</v>
      </c>
      <c r="CC114" s="230">
        <v>1623125</v>
      </c>
      <c r="CD114" s="230">
        <v>-552650</v>
      </c>
      <c r="CE114" s="229">
        <v>-0.34050000000000002</v>
      </c>
      <c r="CF114" s="230">
        <v>1191225</v>
      </c>
      <c r="CG114" s="230">
        <v>975625</v>
      </c>
      <c r="CH114" s="230">
        <v>215600</v>
      </c>
      <c r="CI114" s="229">
        <v>0.221</v>
      </c>
      <c r="CJ114" s="230">
        <v>6650</v>
      </c>
      <c r="CK114" s="230">
        <v>5950</v>
      </c>
      <c r="CL114" s="228">
        <v>700</v>
      </c>
      <c r="CM114" s="229">
        <v>0.1176</v>
      </c>
      <c r="CN114" s="230">
        <v>813925</v>
      </c>
      <c r="CO114" s="230">
        <v>781375</v>
      </c>
      <c r="CP114" s="230">
        <v>32550</v>
      </c>
      <c r="CQ114" s="229">
        <v>4.1700000000000001E-2</v>
      </c>
      <c r="CR114" s="230">
        <v>577675</v>
      </c>
      <c r="CS114" s="230">
        <v>588175</v>
      </c>
      <c r="CT114" s="230">
        <v>-10500</v>
      </c>
      <c r="CU114" s="229">
        <v>-1.7899999999999999E-2</v>
      </c>
      <c r="CV114" s="230">
        <v>3659950</v>
      </c>
      <c r="CW114" s="230">
        <v>3974250</v>
      </c>
      <c r="CX114" s="230">
        <v>-314300</v>
      </c>
      <c r="CY114" s="229">
        <v>-7.9100000000000004E-2</v>
      </c>
      <c r="CZ114" s="228">
        <v>40.76</v>
      </c>
      <c r="DA114" s="228">
        <v>51.47</v>
      </c>
      <c r="DB114" s="228">
        <v>-10.71</v>
      </c>
      <c r="DC114" s="228">
        <v>-10.71</v>
      </c>
      <c r="DD114" s="228">
        <v>46.28</v>
      </c>
      <c r="DE114" s="228">
        <v>46.37</v>
      </c>
      <c r="DF114" s="228">
        <v>-5.52</v>
      </c>
      <c r="DG114" s="228">
        <v>-0.09</v>
      </c>
      <c r="DH114" s="228">
        <v>40.32</v>
      </c>
      <c r="DI114" s="228">
        <v>35.1</v>
      </c>
      <c r="DJ114" s="228">
        <v>5.22</v>
      </c>
      <c r="DK114" s="228">
        <v>5.22</v>
      </c>
      <c r="DL114" s="228">
        <v>41.84</v>
      </c>
      <c r="DM114" s="228">
        <v>61.09</v>
      </c>
      <c r="DN114" s="228">
        <v>-19.25</v>
      </c>
      <c r="DO114" s="228">
        <v>-19.25</v>
      </c>
      <c r="DP114" s="228">
        <v>0.71</v>
      </c>
      <c r="DQ114" s="228">
        <v>0.75</v>
      </c>
      <c r="DR114" s="228">
        <v>-0.04</v>
      </c>
      <c r="DS114" s="229">
        <v>-5.33E-2</v>
      </c>
      <c r="DT114" s="231">
        <v>5000</v>
      </c>
      <c r="DU114" s="231">
        <v>4500</v>
      </c>
      <c r="DV114" s="228">
        <v>1</v>
      </c>
      <c r="DW114" s="228">
        <v>1.7</v>
      </c>
      <c r="DX114" s="228">
        <v>-0.7</v>
      </c>
      <c r="DY114" s="229">
        <v>-0.4118</v>
      </c>
      <c r="DZ114" s="229">
        <v>0.52810000000000001</v>
      </c>
      <c r="EA114" s="230">
        <v>981575</v>
      </c>
      <c r="EB114" s="229">
        <v>-1.5100000000000001E-2</v>
      </c>
      <c r="EC114" s="229">
        <v>0.52810000000000001</v>
      </c>
      <c r="ED114" s="228">
        <v>-81.45</v>
      </c>
      <c r="EE114" s="229">
        <v>-1.66E-2</v>
      </c>
      <c r="EF114" s="230">
        <v>176539</v>
      </c>
      <c r="EG114" s="230">
        <v>98062</v>
      </c>
      <c r="EH114" s="229">
        <v>0.80030000000000001</v>
      </c>
      <c r="EI114" s="229">
        <v>0.4637</v>
      </c>
      <c r="EJ114" s="231">
        <v>64117.3</v>
      </c>
      <c r="EK114" s="231">
        <v>55922.400000000001</v>
      </c>
      <c r="EL114" s="231">
        <v>76874.34</v>
      </c>
      <c r="EM114" s="231">
        <v>4271</v>
      </c>
      <c r="EN114" s="231">
        <v>196914.04</v>
      </c>
      <c r="EO114" s="231">
        <v>203608.27</v>
      </c>
      <c r="EP114" s="231">
        <v>-6694.23</v>
      </c>
      <c r="EQ114" s="229">
        <v>-3.2899999999999999E-2</v>
      </c>
      <c r="ER114" s="231">
        <v>38659</v>
      </c>
      <c r="ES114" s="231">
        <v>25678</v>
      </c>
      <c r="ET114" s="231">
        <v>109249</v>
      </c>
      <c r="EU114" s="231">
        <v>9320940</v>
      </c>
      <c r="EV114" s="231">
        <v>173586</v>
      </c>
      <c r="EW114" s="231">
        <v>190046</v>
      </c>
      <c r="EX114" s="231">
        <v>-16460</v>
      </c>
      <c r="EY114" s="229">
        <v>-8.6599999999999996E-2</v>
      </c>
      <c r="EZ114" s="229">
        <v>0.39269999999999999</v>
      </c>
      <c r="FA114" s="227" t="s">
        <v>567</v>
      </c>
      <c r="FB114" s="161">
        <f t="shared" si="1"/>
        <v>1197875</v>
      </c>
    </row>
    <row r="115" spans="1:158" ht="17.25" thickBot="1" x14ac:dyDescent="0.3">
      <c r="A115" s="226">
        <v>46135</v>
      </c>
      <c r="B115" s="227" t="s">
        <v>175</v>
      </c>
      <c r="C115" s="227" t="s">
        <v>681</v>
      </c>
      <c r="D115" s="228">
        <v>500</v>
      </c>
      <c r="E115" s="228">
        <v>985.4</v>
      </c>
      <c r="F115" s="228">
        <v>989.05</v>
      </c>
      <c r="G115" s="228">
        <v>-3.65</v>
      </c>
      <c r="H115" s="229">
        <v>-3.7000000000000002E-3</v>
      </c>
      <c r="I115" s="228">
        <v>981.9</v>
      </c>
      <c r="J115" s="228">
        <v>990</v>
      </c>
      <c r="K115" s="228">
        <v>-8.1</v>
      </c>
      <c r="L115" s="229">
        <v>-8.2000000000000007E-3</v>
      </c>
      <c r="M115" s="228">
        <v>985.4</v>
      </c>
      <c r="N115" s="228">
        <v>989.05</v>
      </c>
      <c r="O115" s="228">
        <v>-3.65</v>
      </c>
      <c r="P115" s="229">
        <v>-3.7000000000000002E-3</v>
      </c>
      <c r="Q115" s="228">
        <v>968.05</v>
      </c>
      <c r="R115" s="228">
        <v>969.25</v>
      </c>
      <c r="S115" s="228">
        <v>-1.2</v>
      </c>
      <c r="T115" s="229">
        <v>-1.1999999999999999E-3</v>
      </c>
      <c r="U115" s="228">
        <v>964</v>
      </c>
      <c r="V115" s="228">
        <v>960.55</v>
      </c>
      <c r="W115" s="228">
        <v>3.45</v>
      </c>
      <c r="X115" s="229">
        <v>3.5999999999999999E-3</v>
      </c>
      <c r="Y115" s="228">
        <v>3.5</v>
      </c>
      <c r="Z115" s="228">
        <v>-0.95</v>
      </c>
      <c r="AA115" s="228">
        <v>4.45</v>
      </c>
      <c r="AB115" s="229">
        <v>3.5999999999999999E-3</v>
      </c>
      <c r="AC115" s="228">
        <v>3.5</v>
      </c>
      <c r="AD115" s="228">
        <v>-0.95</v>
      </c>
      <c r="AE115" s="228">
        <v>4.45</v>
      </c>
      <c r="AF115" s="229">
        <v>3.5999999999999999E-3</v>
      </c>
      <c r="AG115" s="228">
        <v>-13.85</v>
      </c>
      <c r="AH115" s="228">
        <v>-20.75</v>
      </c>
      <c r="AI115" s="228">
        <v>6.9</v>
      </c>
      <c r="AJ115" s="229">
        <v>-1.41E-2</v>
      </c>
      <c r="AK115" s="228">
        <v>-17.899999999999999</v>
      </c>
      <c r="AL115" s="228">
        <v>-29.45</v>
      </c>
      <c r="AM115" s="228">
        <v>11.55</v>
      </c>
      <c r="AN115" s="229">
        <v>-1.8200000000000001E-2</v>
      </c>
      <c r="AO115" s="228">
        <v>984.16</v>
      </c>
      <c r="AP115" s="228">
        <v>966.36</v>
      </c>
      <c r="AQ115" s="228">
        <v>0</v>
      </c>
      <c r="AR115" s="230">
        <v>2798000</v>
      </c>
      <c r="AS115" s="230">
        <v>1437500</v>
      </c>
      <c r="AT115" s="230">
        <v>1360500</v>
      </c>
      <c r="AU115" s="229">
        <v>0.94640000000000002</v>
      </c>
      <c r="AV115" s="230">
        <v>1546000</v>
      </c>
      <c r="AW115" s="230">
        <v>760000</v>
      </c>
      <c r="AX115" s="230">
        <v>786000</v>
      </c>
      <c r="AY115" s="229">
        <v>1.0342</v>
      </c>
      <c r="AZ115" s="230">
        <v>1236000</v>
      </c>
      <c r="BA115" s="230">
        <v>656500</v>
      </c>
      <c r="BB115" s="230">
        <v>579500</v>
      </c>
      <c r="BC115" s="229">
        <v>0.88270000000000004</v>
      </c>
      <c r="BD115" s="230">
        <v>16000</v>
      </c>
      <c r="BE115" s="230">
        <v>21000</v>
      </c>
      <c r="BF115" s="230">
        <v>-5000</v>
      </c>
      <c r="BG115" s="229">
        <v>-0.23810000000000001</v>
      </c>
      <c r="BH115" s="230">
        <v>1525000</v>
      </c>
      <c r="BI115" s="230">
        <v>2347000</v>
      </c>
      <c r="BJ115" s="230">
        <v>-822000</v>
      </c>
      <c r="BK115" s="229">
        <v>-0.35020000000000001</v>
      </c>
      <c r="BL115" s="230">
        <v>566500</v>
      </c>
      <c r="BM115" s="230">
        <v>482500</v>
      </c>
      <c r="BN115" s="230">
        <v>84000</v>
      </c>
      <c r="BO115" s="229">
        <v>0.1741</v>
      </c>
      <c r="BP115" s="230">
        <v>4889500</v>
      </c>
      <c r="BQ115" s="230">
        <v>4267000</v>
      </c>
      <c r="BR115" s="230">
        <v>622500</v>
      </c>
      <c r="BS115" s="229">
        <v>0.1459</v>
      </c>
      <c r="BT115" s="230">
        <v>621038</v>
      </c>
      <c r="BU115" s="230">
        <v>819182</v>
      </c>
      <c r="BV115" s="230">
        <v>-198144</v>
      </c>
      <c r="BW115" s="229">
        <v>-0.2419</v>
      </c>
      <c r="BX115" s="230">
        <v>4077500</v>
      </c>
      <c r="BY115" s="230">
        <v>4405000</v>
      </c>
      <c r="BZ115" s="230">
        <v>-327500</v>
      </c>
      <c r="CA115" s="229">
        <v>-7.4300000000000005E-2</v>
      </c>
      <c r="CB115" s="230">
        <v>2280500</v>
      </c>
      <c r="CC115" s="230">
        <v>3022500</v>
      </c>
      <c r="CD115" s="230">
        <v>-742000</v>
      </c>
      <c r="CE115" s="229">
        <v>-0.2455</v>
      </c>
      <c r="CF115" s="230">
        <v>1711000</v>
      </c>
      <c r="CG115" s="230">
        <v>1306500</v>
      </c>
      <c r="CH115" s="230">
        <v>404500</v>
      </c>
      <c r="CI115" s="229">
        <v>0.30959999999999999</v>
      </c>
      <c r="CJ115" s="230">
        <v>86000</v>
      </c>
      <c r="CK115" s="230">
        <v>76000</v>
      </c>
      <c r="CL115" s="230">
        <v>10000</v>
      </c>
      <c r="CM115" s="229">
        <v>0.13159999999999999</v>
      </c>
      <c r="CN115" s="230">
        <v>2162500</v>
      </c>
      <c r="CO115" s="230">
        <v>2463000</v>
      </c>
      <c r="CP115" s="230">
        <v>-300500</v>
      </c>
      <c r="CQ115" s="229">
        <v>-0.122</v>
      </c>
      <c r="CR115" s="230">
        <v>1441000</v>
      </c>
      <c r="CS115" s="230">
        <v>1514500</v>
      </c>
      <c r="CT115" s="230">
        <v>-73500</v>
      </c>
      <c r="CU115" s="229">
        <v>-4.8500000000000001E-2</v>
      </c>
      <c r="CV115" s="230">
        <v>7681000</v>
      </c>
      <c r="CW115" s="230">
        <v>8382500</v>
      </c>
      <c r="CX115" s="230">
        <v>-701500</v>
      </c>
      <c r="CY115" s="229">
        <v>-8.3699999999999997E-2</v>
      </c>
      <c r="CZ115" s="228">
        <v>41.64</v>
      </c>
      <c r="DA115" s="228">
        <v>33.799999999999997</v>
      </c>
      <c r="DB115" s="228">
        <v>7.84</v>
      </c>
      <c r="DC115" s="228">
        <v>7.84</v>
      </c>
      <c r="DD115" s="228">
        <v>49.97</v>
      </c>
      <c r="DE115" s="228">
        <v>50.09</v>
      </c>
      <c r="DF115" s="228">
        <v>-8.33</v>
      </c>
      <c r="DG115" s="228">
        <v>-0.12</v>
      </c>
      <c r="DH115" s="228">
        <v>41.97</v>
      </c>
      <c r="DI115" s="228">
        <v>33.03</v>
      </c>
      <c r="DJ115" s="228">
        <v>8.94</v>
      </c>
      <c r="DK115" s="228">
        <v>8.94</v>
      </c>
      <c r="DL115" s="228">
        <v>41.12</v>
      </c>
      <c r="DM115" s="228">
        <v>37.51</v>
      </c>
      <c r="DN115" s="228">
        <v>3.61</v>
      </c>
      <c r="DO115" s="228">
        <v>3.61</v>
      </c>
      <c r="DP115" s="228">
        <v>0.67</v>
      </c>
      <c r="DQ115" s="228">
        <v>0.61</v>
      </c>
      <c r="DR115" s="228">
        <v>0.06</v>
      </c>
      <c r="DS115" s="229">
        <v>9.8400000000000001E-2</v>
      </c>
      <c r="DT115" s="231">
        <v>1040</v>
      </c>
      <c r="DU115" s="228">
        <v>950</v>
      </c>
      <c r="DV115" s="228">
        <v>0.37</v>
      </c>
      <c r="DW115" s="228">
        <v>0.21</v>
      </c>
      <c r="DX115" s="228">
        <v>0.16</v>
      </c>
      <c r="DY115" s="229">
        <v>0.76190000000000002</v>
      </c>
      <c r="DZ115" s="229">
        <v>0.44069999999999998</v>
      </c>
      <c r="EA115" s="230">
        <v>1382500</v>
      </c>
      <c r="EB115" s="229">
        <v>-1.7600000000000001E-2</v>
      </c>
      <c r="EC115" s="229">
        <v>0.44069999999999998</v>
      </c>
      <c r="ED115" s="228">
        <v>-17.8</v>
      </c>
      <c r="EE115" s="229">
        <v>-1.8100000000000002E-2</v>
      </c>
      <c r="EF115" s="230">
        <v>222686</v>
      </c>
      <c r="EG115" s="230">
        <v>363985</v>
      </c>
      <c r="EH115" s="229">
        <v>-0.38819999999999999</v>
      </c>
      <c r="EI115" s="229">
        <v>0.35859999999999997</v>
      </c>
      <c r="EJ115" s="231">
        <v>15550.11</v>
      </c>
      <c r="EK115" s="231">
        <v>5606.03</v>
      </c>
      <c r="EL115" s="231">
        <v>27312.15</v>
      </c>
      <c r="EM115" s="231">
        <v>3632</v>
      </c>
      <c r="EN115" s="231">
        <v>48468.29</v>
      </c>
      <c r="EO115" s="231">
        <v>42754.89</v>
      </c>
      <c r="EP115" s="231">
        <v>5713.4</v>
      </c>
      <c r="EQ115" s="229">
        <v>0.1336</v>
      </c>
      <c r="ER115" s="231">
        <v>21624</v>
      </c>
      <c r="ES115" s="231">
        <v>13325</v>
      </c>
      <c r="ET115" s="231">
        <v>39864</v>
      </c>
      <c r="EU115" s="231">
        <v>19953342</v>
      </c>
      <c r="EV115" s="231">
        <v>74814</v>
      </c>
      <c r="EW115" s="231">
        <v>81922</v>
      </c>
      <c r="EX115" s="231">
        <v>-7108</v>
      </c>
      <c r="EY115" s="229">
        <v>-8.6800000000000002E-2</v>
      </c>
      <c r="EZ115" s="229">
        <v>0.38490000000000002</v>
      </c>
      <c r="FA115" s="227" t="s">
        <v>567</v>
      </c>
      <c r="FB115" s="161">
        <f t="shared" si="1"/>
        <v>1797000</v>
      </c>
    </row>
    <row r="116" spans="1:158" ht="17.25" thickBot="1" x14ac:dyDescent="0.3">
      <c r="A116" s="226">
        <v>46135</v>
      </c>
      <c r="B116" s="227" t="s">
        <v>172</v>
      </c>
      <c r="C116" s="227" t="s">
        <v>246</v>
      </c>
      <c r="D116" s="228">
        <v>2000</v>
      </c>
      <c r="E116" s="228">
        <v>370.75</v>
      </c>
      <c r="F116" s="228">
        <v>377.35</v>
      </c>
      <c r="G116" s="228">
        <v>-6.6</v>
      </c>
      <c r="H116" s="229">
        <v>-1.7500000000000002E-2</v>
      </c>
      <c r="I116" s="228">
        <v>370.4</v>
      </c>
      <c r="J116" s="228">
        <v>376.85</v>
      </c>
      <c r="K116" s="228">
        <v>-6.45</v>
      </c>
      <c r="L116" s="229">
        <v>-1.7100000000000001E-2</v>
      </c>
      <c r="M116" s="228">
        <v>370.75</v>
      </c>
      <c r="N116" s="228">
        <v>377.35</v>
      </c>
      <c r="O116" s="228">
        <v>-6.6</v>
      </c>
      <c r="P116" s="229">
        <v>-1.7500000000000002E-2</v>
      </c>
      <c r="Q116" s="228">
        <v>372.9</v>
      </c>
      <c r="R116" s="228">
        <v>379.45</v>
      </c>
      <c r="S116" s="228">
        <v>-6.55</v>
      </c>
      <c r="T116" s="229">
        <v>-1.7299999999999999E-2</v>
      </c>
      <c r="U116" s="228">
        <v>375.2</v>
      </c>
      <c r="V116" s="228">
        <v>381.9</v>
      </c>
      <c r="W116" s="228">
        <v>-6.7</v>
      </c>
      <c r="X116" s="229">
        <v>-1.7500000000000002E-2</v>
      </c>
      <c r="Y116" s="228">
        <v>0.35</v>
      </c>
      <c r="Z116" s="228">
        <v>0.5</v>
      </c>
      <c r="AA116" s="228">
        <v>-0.15</v>
      </c>
      <c r="AB116" s="229">
        <v>8.9999999999999998E-4</v>
      </c>
      <c r="AC116" s="228">
        <v>0.35</v>
      </c>
      <c r="AD116" s="228">
        <v>0.5</v>
      </c>
      <c r="AE116" s="228">
        <v>-0.15</v>
      </c>
      <c r="AF116" s="229">
        <v>8.9999999999999998E-4</v>
      </c>
      <c r="AG116" s="228">
        <v>2.5</v>
      </c>
      <c r="AH116" s="228">
        <v>2.6</v>
      </c>
      <c r="AI116" s="228">
        <v>-0.1</v>
      </c>
      <c r="AJ116" s="229">
        <v>6.7000000000000002E-3</v>
      </c>
      <c r="AK116" s="228">
        <v>4.8</v>
      </c>
      <c r="AL116" s="228">
        <v>5.05</v>
      </c>
      <c r="AM116" s="228">
        <v>-0.25</v>
      </c>
      <c r="AN116" s="229">
        <v>1.2999999999999999E-2</v>
      </c>
      <c r="AO116" s="228">
        <v>371.7</v>
      </c>
      <c r="AP116" s="228">
        <v>373.89</v>
      </c>
      <c r="AQ116" s="228">
        <v>0</v>
      </c>
      <c r="AR116" s="230">
        <v>88260000</v>
      </c>
      <c r="AS116" s="230">
        <v>42930000</v>
      </c>
      <c r="AT116" s="230">
        <v>45330000</v>
      </c>
      <c r="AU116" s="229">
        <v>1.0559000000000001</v>
      </c>
      <c r="AV116" s="230">
        <v>41566000</v>
      </c>
      <c r="AW116" s="230">
        <v>20972000</v>
      </c>
      <c r="AX116" s="230">
        <v>20594000</v>
      </c>
      <c r="AY116" s="229">
        <v>0.98199999999999998</v>
      </c>
      <c r="AZ116" s="230">
        <v>38308000</v>
      </c>
      <c r="BA116" s="230">
        <v>20008000</v>
      </c>
      <c r="BB116" s="230">
        <v>18300000</v>
      </c>
      <c r="BC116" s="229">
        <v>0.91459999999999997</v>
      </c>
      <c r="BD116" s="230">
        <v>8386000</v>
      </c>
      <c r="BE116" s="230">
        <v>1950000</v>
      </c>
      <c r="BF116" s="230">
        <v>6436000</v>
      </c>
      <c r="BG116" s="229">
        <v>3.3005</v>
      </c>
      <c r="BH116" s="230">
        <v>48974000</v>
      </c>
      <c r="BI116" s="230">
        <v>33490000</v>
      </c>
      <c r="BJ116" s="230">
        <v>15484000</v>
      </c>
      <c r="BK116" s="229">
        <v>0.46229999999999999</v>
      </c>
      <c r="BL116" s="230">
        <v>27692000</v>
      </c>
      <c r="BM116" s="230">
        <v>13966000</v>
      </c>
      <c r="BN116" s="230">
        <v>13726000</v>
      </c>
      <c r="BO116" s="229">
        <v>0.98280000000000001</v>
      </c>
      <c r="BP116" s="230">
        <v>164926000</v>
      </c>
      <c r="BQ116" s="230">
        <v>90386000</v>
      </c>
      <c r="BR116" s="230">
        <v>74540000</v>
      </c>
      <c r="BS116" s="229">
        <v>0.82469999999999999</v>
      </c>
      <c r="BT116" s="230">
        <v>31843771</v>
      </c>
      <c r="BU116" s="230">
        <v>17342185</v>
      </c>
      <c r="BV116" s="230">
        <v>14501586</v>
      </c>
      <c r="BW116" s="229">
        <v>0.83620000000000005</v>
      </c>
      <c r="BX116" s="230">
        <v>234936000</v>
      </c>
      <c r="BY116" s="230">
        <v>224774000</v>
      </c>
      <c r="BZ116" s="230">
        <v>10162000</v>
      </c>
      <c r="CA116" s="229">
        <v>4.5199999999999997E-2</v>
      </c>
      <c r="CB116" s="230">
        <v>93358000</v>
      </c>
      <c r="CC116" s="230">
        <v>125686000</v>
      </c>
      <c r="CD116" s="230">
        <v>-32328000</v>
      </c>
      <c r="CE116" s="229">
        <v>-0.25719999999999998</v>
      </c>
      <c r="CF116" s="230">
        <v>112594000</v>
      </c>
      <c r="CG116" s="230">
        <v>78156000</v>
      </c>
      <c r="CH116" s="230">
        <v>34438000</v>
      </c>
      <c r="CI116" s="229">
        <v>0.44059999999999999</v>
      </c>
      <c r="CJ116" s="230">
        <v>28984000</v>
      </c>
      <c r="CK116" s="230">
        <v>20932000</v>
      </c>
      <c r="CL116" s="230">
        <v>8052000</v>
      </c>
      <c r="CM116" s="229">
        <v>0.38469999999999999</v>
      </c>
      <c r="CN116" s="230">
        <v>37174000</v>
      </c>
      <c r="CO116" s="230">
        <v>35730000</v>
      </c>
      <c r="CP116" s="230">
        <v>1444000</v>
      </c>
      <c r="CQ116" s="229">
        <v>4.0399999999999998E-2</v>
      </c>
      <c r="CR116" s="230">
        <v>29858000</v>
      </c>
      <c r="CS116" s="230">
        <v>29108000</v>
      </c>
      <c r="CT116" s="230">
        <v>750000</v>
      </c>
      <c r="CU116" s="229">
        <v>2.58E-2</v>
      </c>
      <c r="CV116" s="230">
        <v>301968000</v>
      </c>
      <c r="CW116" s="230">
        <v>289612000</v>
      </c>
      <c r="CX116" s="230">
        <v>12356000</v>
      </c>
      <c r="CY116" s="229">
        <v>4.2700000000000002E-2</v>
      </c>
      <c r="CZ116" s="228">
        <v>29.53</v>
      </c>
      <c r="DA116" s="228">
        <v>25.22</v>
      </c>
      <c r="DB116" s="228">
        <v>4.3099999999999996</v>
      </c>
      <c r="DC116" s="228">
        <v>4.3099999999999996</v>
      </c>
      <c r="DD116" s="228">
        <v>27.3</v>
      </c>
      <c r="DE116" s="228">
        <v>27.26</v>
      </c>
      <c r="DF116" s="228">
        <v>2.23</v>
      </c>
      <c r="DG116" s="228">
        <v>0.04</v>
      </c>
      <c r="DH116" s="228">
        <v>30.1</v>
      </c>
      <c r="DI116" s="228">
        <v>25.56</v>
      </c>
      <c r="DJ116" s="228">
        <v>4.54</v>
      </c>
      <c r="DK116" s="228">
        <v>4.54</v>
      </c>
      <c r="DL116" s="228">
        <v>28.66</v>
      </c>
      <c r="DM116" s="228">
        <v>24.4</v>
      </c>
      <c r="DN116" s="228">
        <v>4.26</v>
      </c>
      <c r="DO116" s="228">
        <v>4.26</v>
      </c>
      <c r="DP116" s="228">
        <v>0.8</v>
      </c>
      <c r="DQ116" s="228">
        <v>0.81</v>
      </c>
      <c r="DR116" s="228">
        <v>-0.01</v>
      </c>
      <c r="DS116" s="229">
        <v>-1.23E-2</v>
      </c>
      <c r="DT116" s="228">
        <v>370</v>
      </c>
      <c r="DU116" s="228">
        <v>335</v>
      </c>
      <c r="DV116" s="228">
        <v>0.56999999999999995</v>
      </c>
      <c r="DW116" s="228">
        <v>0.42</v>
      </c>
      <c r="DX116" s="228">
        <v>0.15</v>
      </c>
      <c r="DY116" s="229">
        <v>0.35709999999999997</v>
      </c>
      <c r="DZ116" s="229">
        <v>0.60260000000000002</v>
      </c>
      <c r="EA116" s="230">
        <v>99088000</v>
      </c>
      <c r="EB116" s="229">
        <v>5.7999999999999996E-3</v>
      </c>
      <c r="EC116" s="229">
        <v>0.60260000000000002</v>
      </c>
      <c r="ED116" s="228">
        <v>2.19</v>
      </c>
      <c r="EE116" s="229">
        <v>5.8999999999999999E-3</v>
      </c>
      <c r="EF116" s="230">
        <v>21547339</v>
      </c>
      <c r="EG116" s="230">
        <v>13052506</v>
      </c>
      <c r="EH116" s="229">
        <v>0.65080000000000005</v>
      </c>
      <c r="EI116" s="229">
        <v>0.67669999999999997</v>
      </c>
      <c r="EJ116" s="231">
        <v>188340.29</v>
      </c>
      <c r="EK116" s="231">
        <v>103983.99</v>
      </c>
      <c r="EL116" s="231">
        <v>329257.42</v>
      </c>
      <c r="EM116" s="231">
        <v>17857</v>
      </c>
      <c r="EN116" s="231">
        <v>621581.69999999995</v>
      </c>
      <c r="EO116" s="231">
        <v>347952.69</v>
      </c>
      <c r="EP116" s="231">
        <v>273629.01</v>
      </c>
      <c r="EQ116" s="229">
        <v>0.78639999999999999</v>
      </c>
      <c r="ER116" s="231">
        <v>144438</v>
      </c>
      <c r="ES116" s="231">
        <v>107442</v>
      </c>
      <c r="ET116" s="231">
        <v>874736</v>
      </c>
      <c r="EU116" s="231">
        <v>882793124</v>
      </c>
      <c r="EV116" s="231">
        <v>1126616</v>
      </c>
      <c r="EW116" s="231">
        <v>1094607</v>
      </c>
      <c r="EX116" s="231">
        <v>32009</v>
      </c>
      <c r="EY116" s="229">
        <v>2.92E-2</v>
      </c>
      <c r="EZ116" s="229">
        <v>0.34210000000000002</v>
      </c>
      <c r="FA116" s="227" t="s">
        <v>566</v>
      </c>
      <c r="FB116" s="161">
        <f t="shared" si="1"/>
        <v>141578000</v>
      </c>
    </row>
    <row r="117" spans="1:158" ht="17.25" thickBot="1" x14ac:dyDescent="0.3">
      <c r="A117" s="226">
        <v>46135</v>
      </c>
      <c r="B117" s="227" t="s">
        <v>221</v>
      </c>
      <c r="C117" s="227" t="s">
        <v>576</v>
      </c>
      <c r="D117" s="228">
        <v>425</v>
      </c>
      <c r="E117" s="228">
        <v>733.4</v>
      </c>
      <c r="F117" s="228">
        <v>735.55</v>
      </c>
      <c r="G117" s="228">
        <v>-2.15</v>
      </c>
      <c r="H117" s="229">
        <v>-2.8999999999999998E-3</v>
      </c>
      <c r="I117" s="228">
        <v>733.65</v>
      </c>
      <c r="J117" s="228">
        <v>735.95</v>
      </c>
      <c r="K117" s="228">
        <v>-2.2999999999999998</v>
      </c>
      <c r="L117" s="229">
        <v>-3.0999999999999999E-3</v>
      </c>
      <c r="M117" s="228">
        <v>733.4</v>
      </c>
      <c r="N117" s="228">
        <v>735.55</v>
      </c>
      <c r="O117" s="228">
        <v>-2.15</v>
      </c>
      <c r="P117" s="229">
        <v>-2.8999999999999998E-3</v>
      </c>
      <c r="Q117" s="228">
        <v>738.2</v>
      </c>
      <c r="R117" s="228">
        <v>739</v>
      </c>
      <c r="S117" s="228">
        <v>-0.8</v>
      </c>
      <c r="T117" s="229">
        <v>-1.1000000000000001E-3</v>
      </c>
      <c r="U117" s="228">
        <v>743</v>
      </c>
      <c r="V117" s="228">
        <v>743.15</v>
      </c>
      <c r="W117" s="228">
        <v>-0.15</v>
      </c>
      <c r="X117" s="229">
        <v>-2.0000000000000001E-4</v>
      </c>
      <c r="Y117" s="228">
        <v>-0.25</v>
      </c>
      <c r="Z117" s="228">
        <v>-0.4</v>
      </c>
      <c r="AA117" s="228">
        <v>0.15</v>
      </c>
      <c r="AB117" s="229">
        <v>-2.9999999999999997E-4</v>
      </c>
      <c r="AC117" s="228">
        <v>-0.25</v>
      </c>
      <c r="AD117" s="228">
        <v>-0.4</v>
      </c>
      <c r="AE117" s="228">
        <v>0.15</v>
      </c>
      <c r="AF117" s="229">
        <v>-2.9999999999999997E-4</v>
      </c>
      <c r="AG117" s="228">
        <v>4.55</v>
      </c>
      <c r="AH117" s="228">
        <v>3.05</v>
      </c>
      <c r="AI117" s="228">
        <v>1.5</v>
      </c>
      <c r="AJ117" s="229">
        <v>6.1999999999999998E-3</v>
      </c>
      <c r="AK117" s="228">
        <v>9.35</v>
      </c>
      <c r="AL117" s="228">
        <v>7.2</v>
      </c>
      <c r="AM117" s="228">
        <v>2.15</v>
      </c>
      <c r="AN117" s="229">
        <v>1.2699999999999999E-2</v>
      </c>
      <c r="AO117" s="228">
        <v>739.12</v>
      </c>
      <c r="AP117" s="228">
        <v>743</v>
      </c>
      <c r="AQ117" s="228">
        <v>0</v>
      </c>
      <c r="AR117" s="230">
        <v>4998425</v>
      </c>
      <c r="AS117" s="230">
        <v>2412725</v>
      </c>
      <c r="AT117" s="230">
        <v>2585700</v>
      </c>
      <c r="AU117" s="229">
        <v>1.0717000000000001</v>
      </c>
      <c r="AV117" s="230">
        <v>2766325</v>
      </c>
      <c r="AW117" s="230">
        <v>1659200</v>
      </c>
      <c r="AX117" s="230">
        <v>1107125</v>
      </c>
      <c r="AY117" s="229">
        <v>0.6673</v>
      </c>
      <c r="AZ117" s="230">
        <v>2201500</v>
      </c>
      <c r="BA117" s="230">
        <v>690200</v>
      </c>
      <c r="BB117" s="230">
        <v>1511300</v>
      </c>
      <c r="BC117" s="229">
        <v>2.1897000000000002</v>
      </c>
      <c r="BD117" s="230">
        <v>30600</v>
      </c>
      <c r="BE117" s="230">
        <v>63325</v>
      </c>
      <c r="BF117" s="230">
        <v>-32725</v>
      </c>
      <c r="BG117" s="229">
        <v>-0.51680000000000004</v>
      </c>
      <c r="BH117" s="230">
        <v>3073175</v>
      </c>
      <c r="BI117" s="230">
        <v>3078275</v>
      </c>
      <c r="BJ117" s="230">
        <v>-5100</v>
      </c>
      <c r="BK117" s="229">
        <v>-1.6999999999999999E-3</v>
      </c>
      <c r="BL117" s="230">
        <v>1366800</v>
      </c>
      <c r="BM117" s="230">
        <v>2635850</v>
      </c>
      <c r="BN117" s="230">
        <v>-1269050</v>
      </c>
      <c r="BO117" s="229">
        <v>-0.48149999999999998</v>
      </c>
      <c r="BP117" s="230">
        <v>9438400</v>
      </c>
      <c r="BQ117" s="230">
        <v>8126850</v>
      </c>
      <c r="BR117" s="230">
        <v>1311550</v>
      </c>
      <c r="BS117" s="229">
        <v>0.16139999999999999</v>
      </c>
      <c r="BT117" s="230">
        <v>1125887</v>
      </c>
      <c r="BU117" s="230">
        <v>1847170</v>
      </c>
      <c r="BV117" s="230">
        <v>-721283</v>
      </c>
      <c r="BW117" s="229">
        <v>-0.39050000000000001</v>
      </c>
      <c r="BX117" s="230">
        <v>6843775</v>
      </c>
      <c r="BY117" s="230">
        <v>6995500</v>
      </c>
      <c r="BZ117" s="230">
        <v>-151725</v>
      </c>
      <c r="CA117" s="229">
        <v>-2.1700000000000001E-2</v>
      </c>
      <c r="CB117" s="230">
        <v>4518175</v>
      </c>
      <c r="CC117" s="230">
        <v>6080475</v>
      </c>
      <c r="CD117" s="230">
        <v>-1562300</v>
      </c>
      <c r="CE117" s="229">
        <v>-0.25690000000000002</v>
      </c>
      <c r="CF117" s="230">
        <v>2215950</v>
      </c>
      <c r="CG117" s="230">
        <v>805800</v>
      </c>
      <c r="CH117" s="230">
        <v>1410150</v>
      </c>
      <c r="CI117" s="229">
        <v>1.75</v>
      </c>
      <c r="CJ117" s="230">
        <v>109650</v>
      </c>
      <c r="CK117" s="230">
        <v>109225</v>
      </c>
      <c r="CL117" s="228">
        <v>425</v>
      </c>
      <c r="CM117" s="229">
        <v>3.8999999999999998E-3</v>
      </c>
      <c r="CN117" s="230">
        <v>3664350</v>
      </c>
      <c r="CO117" s="230">
        <v>3633750</v>
      </c>
      <c r="CP117" s="230">
        <v>30600</v>
      </c>
      <c r="CQ117" s="229">
        <v>8.3999999999999995E-3</v>
      </c>
      <c r="CR117" s="230">
        <v>2138600</v>
      </c>
      <c r="CS117" s="230">
        <v>2173450</v>
      </c>
      <c r="CT117" s="230">
        <v>-34850</v>
      </c>
      <c r="CU117" s="229">
        <v>-1.6E-2</v>
      </c>
      <c r="CV117" s="230">
        <v>12646725</v>
      </c>
      <c r="CW117" s="230">
        <v>12802700</v>
      </c>
      <c r="CX117" s="230">
        <v>-155975</v>
      </c>
      <c r="CY117" s="229">
        <v>-1.2200000000000001E-2</v>
      </c>
      <c r="CZ117" s="228">
        <v>45.38</v>
      </c>
      <c r="DA117" s="228">
        <v>45.83</v>
      </c>
      <c r="DB117" s="228">
        <v>-0.45</v>
      </c>
      <c r="DC117" s="228">
        <v>-0.45</v>
      </c>
      <c r="DD117" s="228">
        <v>44.76</v>
      </c>
      <c r="DE117" s="228">
        <v>44.87</v>
      </c>
      <c r="DF117" s="228">
        <v>0.62</v>
      </c>
      <c r="DG117" s="228">
        <v>-0.11</v>
      </c>
      <c r="DH117" s="228">
        <v>43.59</v>
      </c>
      <c r="DI117" s="228">
        <v>44.15</v>
      </c>
      <c r="DJ117" s="228">
        <v>-0.56000000000000005</v>
      </c>
      <c r="DK117" s="228">
        <v>-0.56000000000000005</v>
      </c>
      <c r="DL117" s="228">
        <v>47.9</v>
      </c>
      <c r="DM117" s="228">
        <v>47.79</v>
      </c>
      <c r="DN117" s="228">
        <v>0.11</v>
      </c>
      <c r="DO117" s="228">
        <v>0.11</v>
      </c>
      <c r="DP117" s="228">
        <v>0.57999999999999996</v>
      </c>
      <c r="DQ117" s="228">
        <v>0.6</v>
      </c>
      <c r="DR117" s="228">
        <v>-0.02</v>
      </c>
      <c r="DS117" s="229">
        <v>-3.3300000000000003E-2</v>
      </c>
      <c r="DT117" s="228">
        <v>800</v>
      </c>
      <c r="DU117" s="228">
        <v>700</v>
      </c>
      <c r="DV117" s="228">
        <v>0.44</v>
      </c>
      <c r="DW117" s="228">
        <v>0.86</v>
      </c>
      <c r="DX117" s="228">
        <v>-0.42</v>
      </c>
      <c r="DY117" s="229">
        <v>-0.4884</v>
      </c>
      <c r="DZ117" s="229">
        <v>0.33979999999999999</v>
      </c>
      <c r="EA117" s="230">
        <v>915025</v>
      </c>
      <c r="EB117" s="229">
        <v>6.4999999999999997E-3</v>
      </c>
      <c r="EC117" s="229">
        <v>0.33979999999999999</v>
      </c>
      <c r="ED117" s="228">
        <v>3.88</v>
      </c>
      <c r="EE117" s="229">
        <v>5.1999999999999998E-3</v>
      </c>
      <c r="EF117" s="230">
        <v>340525</v>
      </c>
      <c r="EG117" s="230">
        <v>539848</v>
      </c>
      <c r="EH117" s="229">
        <v>-0.36919999999999997</v>
      </c>
      <c r="EI117" s="229">
        <v>0.30249999999999999</v>
      </c>
      <c r="EJ117" s="231">
        <v>23663.599999999999</v>
      </c>
      <c r="EK117" s="231">
        <v>9941.4699999999993</v>
      </c>
      <c r="EL117" s="231">
        <v>37032.089999999997</v>
      </c>
      <c r="EM117" s="231">
        <v>4222</v>
      </c>
      <c r="EN117" s="231">
        <v>70637.16</v>
      </c>
      <c r="EO117" s="231">
        <v>60160.47</v>
      </c>
      <c r="EP117" s="231">
        <v>10476.69</v>
      </c>
      <c r="EQ117" s="229">
        <v>0.1741</v>
      </c>
      <c r="ER117" s="231">
        <v>27747</v>
      </c>
      <c r="ES117" s="231">
        <v>14828</v>
      </c>
      <c r="ET117" s="231">
        <v>50309</v>
      </c>
      <c r="EU117" s="231">
        <v>24611073</v>
      </c>
      <c r="EV117" s="231">
        <v>92885</v>
      </c>
      <c r="EW117" s="231">
        <v>94066</v>
      </c>
      <c r="EX117" s="231">
        <v>-1181</v>
      </c>
      <c r="EY117" s="229">
        <v>-1.26E-2</v>
      </c>
      <c r="EZ117" s="229">
        <v>0.51390000000000002</v>
      </c>
      <c r="FA117" s="227" t="s">
        <v>567</v>
      </c>
      <c r="FB117" s="161">
        <f t="shared" si="1"/>
        <v>2325600</v>
      </c>
    </row>
    <row r="118" spans="1:158" ht="17.25" thickBot="1" x14ac:dyDescent="0.3">
      <c r="A118" s="226">
        <v>46135</v>
      </c>
      <c r="B118" s="227" t="s">
        <v>170</v>
      </c>
      <c r="C118" s="227" t="s">
        <v>535</v>
      </c>
      <c r="D118" s="228">
        <v>850</v>
      </c>
      <c r="E118" s="231">
        <v>1129.3</v>
      </c>
      <c r="F118" s="231">
        <v>1098.75</v>
      </c>
      <c r="G118" s="228">
        <v>30.55</v>
      </c>
      <c r="H118" s="229">
        <v>2.7799999999999998E-2</v>
      </c>
      <c r="I118" s="231">
        <v>1129</v>
      </c>
      <c r="J118" s="231">
        <v>1096.0999999999999</v>
      </c>
      <c r="K118" s="228">
        <v>32.9</v>
      </c>
      <c r="L118" s="229">
        <v>0.03</v>
      </c>
      <c r="M118" s="231">
        <v>1129.3</v>
      </c>
      <c r="N118" s="231">
        <v>1098.75</v>
      </c>
      <c r="O118" s="228">
        <v>30.55</v>
      </c>
      <c r="P118" s="229">
        <v>2.7799999999999998E-2</v>
      </c>
      <c r="Q118" s="231">
        <v>1134.55</v>
      </c>
      <c r="R118" s="231">
        <v>1103.45</v>
      </c>
      <c r="S118" s="228">
        <v>31.1</v>
      </c>
      <c r="T118" s="229">
        <v>2.8199999999999999E-2</v>
      </c>
      <c r="U118" s="231">
        <v>1142.3</v>
      </c>
      <c r="V118" s="231">
        <v>1110.7</v>
      </c>
      <c r="W118" s="228">
        <v>31.6</v>
      </c>
      <c r="X118" s="229">
        <v>2.8500000000000001E-2</v>
      </c>
      <c r="Y118" s="228">
        <v>0.3</v>
      </c>
      <c r="Z118" s="228">
        <v>2.65</v>
      </c>
      <c r="AA118" s="228">
        <v>-2.35</v>
      </c>
      <c r="AB118" s="229">
        <v>2.9999999999999997E-4</v>
      </c>
      <c r="AC118" s="228">
        <v>0.3</v>
      </c>
      <c r="AD118" s="228">
        <v>2.65</v>
      </c>
      <c r="AE118" s="228">
        <v>-2.35</v>
      </c>
      <c r="AF118" s="229">
        <v>2.9999999999999997E-4</v>
      </c>
      <c r="AG118" s="228">
        <v>5.55</v>
      </c>
      <c r="AH118" s="228">
        <v>7.35</v>
      </c>
      <c r="AI118" s="228">
        <v>-1.8</v>
      </c>
      <c r="AJ118" s="229">
        <v>4.8999999999999998E-3</v>
      </c>
      <c r="AK118" s="228">
        <v>13.3</v>
      </c>
      <c r="AL118" s="228">
        <v>14.6</v>
      </c>
      <c r="AM118" s="228">
        <v>-1.3</v>
      </c>
      <c r="AN118" s="229">
        <v>1.18E-2</v>
      </c>
      <c r="AO118" s="231">
        <v>1121.58</v>
      </c>
      <c r="AP118" s="231">
        <v>1127.3900000000001</v>
      </c>
      <c r="AQ118" s="228">
        <v>0</v>
      </c>
      <c r="AR118" s="230">
        <v>10410800</v>
      </c>
      <c r="AS118" s="230">
        <v>5108500</v>
      </c>
      <c r="AT118" s="230">
        <v>5302300</v>
      </c>
      <c r="AU118" s="229">
        <v>1.0379</v>
      </c>
      <c r="AV118" s="230">
        <v>5475700</v>
      </c>
      <c r="AW118" s="230">
        <v>2572950</v>
      </c>
      <c r="AX118" s="230">
        <v>2902750</v>
      </c>
      <c r="AY118" s="229">
        <v>1.1282000000000001</v>
      </c>
      <c r="AZ118" s="230">
        <v>4896850</v>
      </c>
      <c r="BA118" s="230">
        <v>2510050</v>
      </c>
      <c r="BB118" s="230">
        <v>2386800</v>
      </c>
      <c r="BC118" s="229">
        <v>0.95089999999999997</v>
      </c>
      <c r="BD118" s="230">
        <v>38250</v>
      </c>
      <c r="BE118" s="230">
        <v>25500</v>
      </c>
      <c r="BF118" s="230">
        <v>12750</v>
      </c>
      <c r="BG118" s="229">
        <v>0.5</v>
      </c>
      <c r="BH118" s="230">
        <v>15288950</v>
      </c>
      <c r="BI118" s="230">
        <v>6789800</v>
      </c>
      <c r="BJ118" s="230">
        <v>8499150</v>
      </c>
      <c r="BK118" s="229">
        <v>1.2518</v>
      </c>
      <c r="BL118" s="230">
        <v>3985650</v>
      </c>
      <c r="BM118" s="230">
        <v>3383850</v>
      </c>
      <c r="BN118" s="230">
        <v>601800</v>
      </c>
      <c r="BO118" s="229">
        <v>0.17780000000000001</v>
      </c>
      <c r="BP118" s="230">
        <v>29685400</v>
      </c>
      <c r="BQ118" s="230">
        <v>15282150</v>
      </c>
      <c r="BR118" s="230">
        <v>14403250</v>
      </c>
      <c r="BS118" s="229">
        <v>0.9425</v>
      </c>
      <c r="BT118" s="230">
        <v>1993393</v>
      </c>
      <c r="BU118" s="230">
        <v>1981298</v>
      </c>
      <c r="BV118" s="230">
        <v>12095</v>
      </c>
      <c r="BW118" s="229">
        <v>6.1000000000000004E-3</v>
      </c>
      <c r="BX118" s="230">
        <v>18167050</v>
      </c>
      <c r="BY118" s="230">
        <v>18271600</v>
      </c>
      <c r="BZ118" s="230">
        <v>-104550</v>
      </c>
      <c r="CA118" s="229">
        <v>-5.7000000000000002E-3</v>
      </c>
      <c r="CB118" s="230">
        <v>10973500</v>
      </c>
      <c r="CC118" s="230">
        <v>14846950</v>
      </c>
      <c r="CD118" s="230">
        <v>-3873450</v>
      </c>
      <c r="CE118" s="229">
        <v>-0.26090000000000002</v>
      </c>
      <c r="CF118" s="230">
        <v>7095800</v>
      </c>
      <c r="CG118" s="230">
        <v>3346450</v>
      </c>
      <c r="CH118" s="230">
        <v>3749350</v>
      </c>
      <c r="CI118" s="229">
        <v>1.1204000000000001</v>
      </c>
      <c r="CJ118" s="230">
        <v>97750</v>
      </c>
      <c r="CK118" s="230">
        <v>78200</v>
      </c>
      <c r="CL118" s="230">
        <v>19550</v>
      </c>
      <c r="CM118" s="229">
        <v>0.25</v>
      </c>
      <c r="CN118" s="230">
        <v>6007800</v>
      </c>
      <c r="CO118" s="230">
        <v>5866700</v>
      </c>
      <c r="CP118" s="230">
        <v>141100</v>
      </c>
      <c r="CQ118" s="229">
        <v>2.41E-2</v>
      </c>
      <c r="CR118" s="230">
        <v>4764250</v>
      </c>
      <c r="CS118" s="230">
        <v>4714950</v>
      </c>
      <c r="CT118" s="230">
        <v>49300</v>
      </c>
      <c r="CU118" s="229">
        <v>1.0500000000000001E-2</v>
      </c>
      <c r="CV118" s="230">
        <v>28939100</v>
      </c>
      <c r="CW118" s="230">
        <v>28853250</v>
      </c>
      <c r="CX118" s="230">
        <v>85850</v>
      </c>
      <c r="CY118" s="229">
        <v>3.0000000000000001E-3</v>
      </c>
      <c r="CZ118" s="228">
        <v>35.99</v>
      </c>
      <c r="DA118" s="228">
        <v>30.08</v>
      </c>
      <c r="DB118" s="228">
        <v>5.91</v>
      </c>
      <c r="DC118" s="228">
        <v>5.91</v>
      </c>
      <c r="DD118" s="228">
        <v>39.380000000000003</v>
      </c>
      <c r="DE118" s="228">
        <v>39.28</v>
      </c>
      <c r="DF118" s="228">
        <v>-3.39</v>
      </c>
      <c r="DG118" s="228">
        <v>0.1</v>
      </c>
      <c r="DH118" s="228">
        <v>35.65</v>
      </c>
      <c r="DI118" s="228">
        <v>29.87</v>
      </c>
      <c r="DJ118" s="228">
        <v>5.78</v>
      </c>
      <c r="DK118" s="228">
        <v>5.78</v>
      </c>
      <c r="DL118" s="228">
        <v>37.200000000000003</v>
      </c>
      <c r="DM118" s="228">
        <v>30.52</v>
      </c>
      <c r="DN118" s="228">
        <v>6.68</v>
      </c>
      <c r="DO118" s="228">
        <v>6.68</v>
      </c>
      <c r="DP118" s="228">
        <v>0.79</v>
      </c>
      <c r="DQ118" s="228">
        <v>0.8</v>
      </c>
      <c r="DR118" s="228">
        <v>-0.01</v>
      </c>
      <c r="DS118" s="229">
        <v>-1.2500000000000001E-2</v>
      </c>
      <c r="DT118" s="231">
        <v>1200</v>
      </c>
      <c r="DU118" s="231">
        <v>1050</v>
      </c>
      <c r="DV118" s="228">
        <v>0.26</v>
      </c>
      <c r="DW118" s="228">
        <v>0.5</v>
      </c>
      <c r="DX118" s="228">
        <v>-0.24</v>
      </c>
      <c r="DY118" s="229">
        <v>-0.48</v>
      </c>
      <c r="DZ118" s="229">
        <v>0.39600000000000002</v>
      </c>
      <c r="EA118" s="230">
        <v>3424650</v>
      </c>
      <c r="EB118" s="229">
        <v>4.5999999999999999E-3</v>
      </c>
      <c r="EC118" s="229">
        <v>0.39600000000000002</v>
      </c>
      <c r="ED118" s="228">
        <v>5.81</v>
      </c>
      <c r="EE118" s="229">
        <v>5.1999999999999998E-3</v>
      </c>
      <c r="EF118" s="230">
        <v>974657</v>
      </c>
      <c r="EG118" s="230">
        <v>1218577</v>
      </c>
      <c r="EH118" s="229">
        <v>-0.20019999999999999</v>
      </c>
      <c r="EI118" s="229">
        <v>0.4889</v>
      </c>
      <c r="EJ118" s="231">
        <v>176596.12</v>
      </c>
      <c r="EK118" s="231">
        <v>43832.39</v>
      </c>
      <c r="EL118" s="231">
        <v>117054.39999999999</v>
      </c>
      <c r="EM118" s="231">
        <v>3450</v>
      </c>
      <c r="EN118" s="231">
        <v>337482.91</v>
      </c>
      <c r="EO118" s="231">
        <v>172027.97</v>
      </c>
      <c r="EP118" s="231">
        <v>165454.94</v>
      </c>
      <c r="EQ118" s="229">
        <v>0.96179999999999999</v>
      </c>
      <c r="ER118" s="231">
        <v>67768</v>
      </c>
      <c r="ES118" s="231">
        <v>49867</v>
      </c>
      <c r="ET118" s="231">
        <v>205546</v>
      </c>
      <c r="EU118" s="231">
        <v>58713729</v>
      </c>
      <c r="EV118" s="231">
        <v>323181</v>
      </c>
      <c r="EW118" s="231">
        <v>315816</v>
      </c>
      <c r="EX118" s="231">
        <v>7365</v>
      </c>
      <c r="EY118" s="229">
        <v>2.3300000000000001E-2</v>
      </c>
      <c r="EZ118" s="229">
        <v>0.4929</v>
      </c>
      <c r="FA118" s="227" t="s">
        <v>693</v>
      </c>
      <c r="FB118" s="161">
        <f t="shared" si="1"/>
        <v>7193550</v>
      </c>
    </row>
    <row r="119" spans="1:158" ht="17.25" thickBot="1" x14ac:dyDescent="0.3">
      <c r="A119" s="226">
        <v>46135</v>
      </c>
      <c r="B119" s="227" t="s">
        <v>175</v>
      </c>
      <c r="C119" s="227" t="s">
        <v>248</v>
      </c>
      <c r="D119" s="228">
        <v>1000</v>
      </c>
      <c r="E119" s="228">
        <v>546.20000000000005</v>
      </c>
      <c r="F119" s="228">
        <v>558.35</v>
      </c>
      <c r="G119" s="228">
        <v>-12.15</v>
      </c>
      <c r="H119" s="229">
        <v>-2.18E-2</v>
      </c>
      <c r="I119" s="228">
        <v>545.54999999999995</v>
      </c>
      <c r="J119" s="228">
        <v>559.04999999999995</v>
      </c>
      <c r="K119" s="228">
        <v>-13.5</v>
      </c>
      <c r="L119" s="229">
        <v>-2.41E-2</v>
      </c>
      <c r="M119" s="228">
        <v>546.20000000000005</v>
      </c>
      <c r="N119" s="228">
        <v>558.35</v>
      </c>
      <c r="O119" s="228">
        <v>-12.15</v>
      </c>
      <c r="P119" s="229">
        <v>-2.18E-2</v>
      </c>
      <c r="Q119" s="228">
        <v>549.25</v>
      </c>
      <c r="R119" s="228">
        <v>561.5</v>
      </c>
      <c r="S119" s="228">
        <v>-12.25</v>
      </c>
      <c r="T119" s="229">
        <v>-2.18E-2</v>
      </c>
      <c r="U119" s="228">
        <v>552.75</v>
      </c>
      <c r="V119" s="228">
        <v>565.15</v>
      </c>
      <c r="W119" s="228">
        <v>-12.4</v>
      </c>
      <c r="X119" s="229">
        <v>-2.1899999999999999E-2</v>
      </c>
      <c r="Y119" s="228">
        <v>0.65</v>
      </c>
      <c r="Z119" s="228">
        <v>-0.7</v>
      </c>
      <c r="AA119" s="228">
        <v>1.35</v>
      </c>
      <c r="AB119" s="229">
        <v>1.1999999999999999E-3</v>
      </c>
      <c r="AC119" s="228">
        <v>0.65</v>
      </c>
      <c r="AD119" s="228">
        <v>-0.7</v>
      </c>
      <c r="AE119" s="228">
        <v>1.35</v>
      </c>
      <c r="AF119" s="229">
        <v>1.1999999999999999E-3</v>
      </c>
      <c r="AG119" s="228">
        <v>3.7</v>
      </c>
      <c r="AH119" s="228">
        <v>2.4500000000000002</v>
      </c>
      <c r="AI119" s="228">
        <v>1.25</v>
      </c>
      <c r="AJ119" s="229">
        <v>6.7999999999999996E-3</v>
      </c>
      <c r="AK119" s="228">
        <v>7.2</v>
      </c>
      <c r="AL119" s="228">
        <v>6.1</v>
      </c>
      <c r="AM119" s="228">
        <v>1.1000000000000001</v>
      </c>
      <c r="AN119" s="229">
        <v>1.32E-2</v>
      </c>
      <c r="AO119" s="228">
        <v>550.37</v>
      </c>
      <c r="AP119" s="228">
        <v>553.23</v>
      </c>
      <c r="AQ119" s="228">
        <v>0</v>
      </c>
      <c r="AR119" s="230">
        <v>10978000</v>
      </c>
      <c r="AS119" s="230">
        <v>6247000</v>
      </c>
      <c r="AT119" s="230">
        <v>4731000</v>
      </c>
      <c r="AU119" s="229">
        <v>0.75729999999999997</v>
      </c>
      <c r="AV119" s="230">
        <v>5783000</v>
      </c>
      <c r="AW119" s="230">
        <v>3685000</v>
      </c>
      <c r="AX119" s="230">
        <v>2098000</v>
      </c>
      <c r="AY119" s="229">
        <v>0.56930000000000003</v>
      </c>
      <c r="AZ119" s="230">
        <v>5148000</v>
      </c>
      <c r="BA119" s="230">
        <v>2548000</v>
      </c>
      <c r="BB119" s="230">
        <v>2600000</v>
      </c>
      <c r="BC119" s="229">
        <v>1.0204</v>
      </c>
      <c r="BD119" s="230">
        <v>47000</v>
      </c>
      <c r="BE119" s="230">
        <v>14000</v>
      </c>
      <c r="BF119" s="230">
        <v>33000</v>
      </c>
      <c r="BG119" s="229">
        <v>2.3571</v>
      </c>
      <c r="BH119" s="230">
        <v>7958000</v>
      </c>
      <c r="BI119" s="230">
        <v>9419000</v>
      </c>
      <c r="BJ119" s="230">
        <v>-1461000</v>
      </c>
      <c r="BK119" s="229">
        <v>-0.15509999999999999</v>
      </c>
      <c r="BL119" s="230">
        <v>4441000</v>
      </c>
      <c r="BM119" s="230">
        <v>3942000</v>
      </c>
      <c r="BN119" s="230">
        <v>499000</v>
      </c>
      <c r="BO119" s="229">
        <v>0.12659999999999999</v>
      </c>
      <c r="BP119" s="230">
        <v>23377000</v>
      </c>
      <c r="BQ119" s="230">
        <v>19608000</v>
      </c>
      <c r="BR119" s="230">
        <v>3769000</v>
      </c>
      <c r="BS119" s="229">
        <v>0.19220000000000001</v>
      </c>
      <c r="BT119" s="230">
        <v>1397095</v>
      </c>
      <c r="BU119" s="230">
        <v>1483159</v>
      </c>
      <c r="BV119" s="230">
        <v>-86064</v>
      </c>
      <c r="BW119" s="229">
        <v>-5.8000000000000003E-2</v>
      </c>
      <c r="BX119" s="230">
        <v>30775000</v>
      </c>
      <c r="BY119" s="230">
        <v>31468000</v>
      </c>
      <c r="BZ119" s="230">
        <v>-693000</v>
      </c>
      <c r="CA119" s="229">
        <v>-2.1999999999999999E-2</v>
      </c>
      <c r="CB119" s="230">
        <v>20992000</v>
      </c>
      <c r="CC119" s="230">
        <v>25336000</v>
      </c>
      <c r="CD119" s="230">
        <v>-4344000</v>
      </c>
      <c r="CE119" s="229">
        <v>-0.17150000000000001</v>
      </c>
      <c r="CF119" s="230">
        <v>9676000</v>
      </c>
      <c r="CG119" s="230">
        <v>6065000</v>
      </c>
      <c r="CH119" s="230">
        <v>3611000</v>
      </c>
      <c r="CI119" s="229">
        <v>0.59540000000000004</v>
      </c>
      <c r="CJ119" s="230">
        <v>107000</v>
      </c>
      <c r="CK119" s="230">
        <v>67000</v>
      </c>
      <c r="CL119" s="230">
        <v>40000</v>
      </c>
      <c r="CM119" s="229">
        <v>0.59699999999999998</v>
      </c>
      <c r="CN119" s="230">
        <v>8394000</v>
      </c>
      <c r="CO119" s="230">
        <v>8100000</v>
      </c>
      <c r="CP119" s="230">
        <v>294000</v>
      </c>
      <c r="CQ119" s="229">
        <v>3.6299999999999999E-2</v>
      </c>
      <c r="CR119" s="230">
        <v>6947000</v>
      </c>
      <c r="CS119" s="230">
        <v>7143000</v>
      </c>
      <c r="CT119" s="230">
        <v>-196000</v>
      </c>
      <c r="CU119" s="229">
        <v>-2.7400000000000001E-2</v>
      </c>
      <c r="CV119" s="230">
        <v>46116000</v>
      </c>
      <c r="CW119" s="230">
        <v>46711000</v>
      </c>
      <c r="CX119" s="230">
        <v>-595000</v>
      </c>
      <c r="CY119" s="229">
        <v>-1.2699999999999999E-2</v>
      </c>
      <c r="CZ119" s="228">
        <v>30.13</v>
      </c>
      <c r="DA119" s="228">
        <v>29.81</v>
      </c>
      <c r="DB119" s="228">
        <v>0.32</v>
      </c>
      <c r="DC119" s="228">
        <v>0.32</v>
      </c>
      <c r="DD119" s="228">
        <v>33.76</v>
      </c>
      <c r="DE119" s="228">
        <v>33.71</v>
      </c>
      <c r="DF119" s="228">
        <v>-3.63</v>
      </c>
      <c r="DG119" s="228">
        <v>0.05</v>
      </c>
      <c r="DH119" s="228">
        <v>30.19</v>
      </c>
      <c r="DI119" s="228">
        <v>29.29</v>
      </c>
      <c r="DJ119" s="228">
        <v>0.9</v>
      </c>
      <c r="DK119" s="228">
        <v>0.9</v>
      </c>
      <c r="DL119" s="228">
        <v>29.94</v>
      </c>
      <c r="DM119" s="228">
        <v>31.08</v>
      </c>
      <c r="DN119" s="228">
        <v>-1.1399999999999999</v>
      </c>
      <c r="DO119" s="228">
        <v>-1.1399999999999999</v>
      </c>
      <c r="DP119" s="228">
        <v>0.83</v>
      </c>
      <c r="DQ119" s="228">
        <v>0.88</v>
      </c>
      <c r="DR119" s="228">
        <v>-0.05</v>
      </c>
      <c r="DS119" s="229">
        <v>-5.6800000000000003E-2</v>
      </c>
      <c r="DT119" s="228">
        <v>600</v>
      </c>
      <c r="DU119" s="228">
        <v>480</v>
      </c>
      <c r="DV119" s="228">
        <v>0.56000000000000005</v>
      </c>
      <c r="DW119" s="228">
        <v>0.42</v>
      </c>
      <c r="DX119" s="228">
        <v>0.14000000000000001</v>
      </c>
      <c r="DY119" s="229">
        <v>0.33329999999999999</v>
      </c>
      <c r="DZ119" s="229">
        <v>0.31790000000000002</v>
      </c>
      <c r="EA119" s="230">
        <v>6132000</v>
      </c>
      <c r="EB119" s="229">
        <v>5.5999999999999999E-3</v>
      </c>
      <c r="EC119" s="229">
        <v>0.31790000000000002</v>
      </c>
      <c r="ED119" s="228">
        <v>2.86</v>
      </c>
      <c r="EE119" s="229">
        <v>5.1999999999999998E-3</v>
      </c>
      <c r="EF119" s="230">
        <v>630581</v>
      </c>
      <c r="EG119" s="230">
        <v>651975</v>
      </c>
      <c r="EH119" s="229">
        <v>-3.2800000000000003E-2</v>
      </c>
      <c r="EI119" s="229">
        <v>0.45140000000000002</v>
      </c>
      <c r="EJ119" s="231">
        <v>45728.34</v>
      </c>
      <c r="EK119" s="231">
        <v>24281.89</v>
      </c>
      <c r="EL119" s="231">
        <v>60568.53</v>
      </c>
      <c r="EM119" s="231">
        <v>5151</v>
      </c>
      <c r="EN119" s="231">
        <v>130578.76</v>
      </c>
      <c r="EO119" s="231">
        <v>111578.37</v>
      </c>
      <c r="EP119" s="231">
        <v>19000.39</v>
      </c>
      <c r="EQ119" s="229">
        <v>0.17030000000000001</v>
      </c>
      <c r="ER119" s="231">
        <v>47291</v>
      </c>
      <c r="ES119" s="231">
        <v>35834</v>
      </c>
      <c r="ET119" s="231">
        <v>168395</v>
      </c>
      <c r="EU119" s="231">
        <v>45183075</v>
      </c>
      <c r="EV119" s="231">
        <v>251520</v>
      </c>
      <c r="EW119" s="231">
        <v>258367</v>
      </c>
      <c r="EX119" s="231">
        <v>-6847</v>
      </c>
      <c r="EY119" s="229">
        <v>-2.6499999999999999E-2</v>
      </c>
      <c r="EZ119" s="229">
        <v>1.0206</v>
      </c>
      <c r="FA119" s="227" t="s">
        <v>567</v>
      </c>
      <c r="FB119" s="161">
        <f t="shared" si="1"/>
        <v>9783000</v>
      </c>
    </row>
    <row r="120" spans="1:158" ht="17.25" thickBot="1" x14ac:dyDescent="0.3">
      <c r="A120" s="226">
        <v>46135</v>
      </c>
      <c r="B120" s="227" t="s">
        <v>175</v>
      </c>
      <c r="C120" s="227" t="s">
        <v>606</v>
      </c>
      <c r="D120" s="228">
        <v>700</v>
      </c>
      <c r="E120" s="228">
        <v>810.8</v>
      </c>
      <c r="F120" s="228">
        <v>822.85</v>
      </c>
      <c r="G120" s="228">
        <v>-12.05</v>
      </c>
      <c r="H120" s="229">
        <v>-1.46E-2</v>
      </c>
      <c r="I120" s="228">
        <v>811.65</v>
      </c>
      <c r="J120" s="228">
        <v>820.5</v>
      </c>
      <c r="K120" s="228">
        <v>-8.85</v>
      </c>
      <c r="L120" s="229">
        <v>-1.0800000000000001E-2</v>
      </c>
      <c r="M120" s="228">
        <v>810.8</v>
      </c>
      <c r="N120" s="228">
        <v>822.85</v>
      </c>
      <c r="O120" s="228">
        <v>-12.05</v>
      </c>
      <c r="P120" s="229">
        <v>-1.46E-2</v>
      </c>
      <c r="Q120" s="228">
        <v>805.65</v>
      </c>
      <c r="R120" s="228">
        <v>820.5</v>
      </c>
      <c r="S120" s="228">
        <v>-14.85</v>
      </c>
      <c r="T120" s="229">
        <v>-1.8100000000000002E-2</v>
      </c>
      <c r="U120" s="228">
        <v>806.75</v>
      </c>
      <c r="V120" s="228">
        <v>821.9</v>
      </c>
      <c r="W120" s="228">
        <v>-15.15</v>
      </c>
      <c r="X120" s="229">
        <v>-1.84E-2</v>
      </c>
      <c r="Y120" s="228">
        <v>-0.85</v>
      </c>
      <c r="Z120" s="228">
        <v>2.35</v>
      </c>
      <c r="AA120" s="228">
        <v>-3.2</v>
      </c>
      <c r="AB120" s="229">
        <v>-1E-3</v>
      </c>
      <c r="AC120" s="228">
        <v>-0.85</v>
      </c>
      <c r="AD120" s="228">
        <v>2.35</v>
      </c>
      <c r="AE120" s="228">
        <v>-3.2</v>
      </c>
      <c r="AF120" s="229">
        <v>-1E-3</v>
      </c>
      <c r="AG120" s="228">
        <v>-6</v>
      </c>
      <c r="AH120" s="228">
        <v>0</v>
      </c>
      <c r="AI120" s="228">
        <v>-6</v>
      </c>
      <c r="AJ120" s="229">
        <v>-7.4000000000000003E-3</v>
      </c>
      <c r="AK120" s="228">
        <v>-4.9000000000000004</v>
      </c>
      <c r="AL120" s="228">
        <v>1.4</v>
      </c>
      <c r="AM120" s="228">
        <v>-6.3</v>
      </c>
      <c r="AN120" s="229">
        <v>-6.0000000000000001E-3</v>
      </c>
      <c r="AO120" s="228">
        <v>815.95</v>
      </c>
      <c r="AP120" s="228">
        <v>811.91</v>
      </c>
      <c r="AQ120" s="228">
        <v>0</v>
      </c>
      <c r="AR120" s="230">
        <v>7281400</v>
      </c>
      <c r="AS120" s="230">
        <v>1670200</v>
      </c>
      <c r="AT120" s="230">
        <v>5611200</v>
      </c>
      <c r="AU120" s="229">
        <v>3.3595999999999999</v>
      </c>
      <c r="AV120" s="230">
        <v>3613400</v>
      </c>
      <c r="AW120" s="230">
        <v>961800</v>
      </c>
      <c r="AX120" s="230">
        <v>2651600</v>
      </c>
      <c r="AY120" s="229">
        <v>2.7568999999999999</v>
      </c>
      <c r="AZ120" s="230">
        <v>3591000</v>
      </c>
      <c r="BA120" s="230">
        <v>685300</v>
      </c>
      <c r="BB120" s="230">
        <v>2905700</v>
      </c>
      <c r="BC120" s="229">
        <v>4.24</v>
      </c>
      <c r="BD120" s="230">
        <v>77000</v>
      </c>
      <c r="BE120" s="230">
        <v>23100</v>
      </c>
      <c r="BF120" s="230">
        <v>53900</v>
      </c>
      <c r="BG120" s="229">
        <v>2.3332999999999999</v>
      </c>
      <c r="BH120" s="230">
        <v>4415600</v>
      </c>
      <c r="BI120" s="230">
        <v>3413900</v>
      </c>
      <c r="BJ120" s="230">
        <v>1001700</v>
      </c>
      <c r="BK120" s="229">
        <v>0.29339999999999999</v>
      </c>
      <c r="BL120" s="230">
        <v>2401000</v>
      </c>
      <c r="BM120" s="230">
        <v>1049300</v>
      </c>
      <c r="BN120" s="230">
        <v>1351700</v>
      </c>
      <c r="BO120" s="229">
        <v>1.2882</v>
      </c>
      <c r="BP120" s="230">
        <v>14098000</v>
      </c>
      <c r="BQ120" s="230">
        <v>6133400</v>
      </c>
      <c r="BR120" s="230">
        <v>7964600</v>
      </c>
      <c r="BS120" s="229">
        <v>1.2986</v>
      </c>
      <c r="BT120" s="230">
        <v>931945</v>
      </c>
      <c r="BU120" s="230">
        <v>1222096</v>
      </c>
      <c r="BV120" s="230">
        <v>-290151</v>
      </c>
      <c r="BW120" s="229">
        <v>-0.2374</v>
      </c>
      <c r="BX120" s="230">
        <v>10148600</v>
      </c>
      <c r="BY120" s="230">
        <v>11754400</v>
      </c>
      <c r="BZ120" s="230">
        <v>-1605800</v>
      </c>
      <c r="CA120" s="229">
        <v>-0.1366</v>
      </c>
      <c r="CB120" s="230">
        <v>5519500</v>
      </c>
      <c r="CC120" s="230">
        <v>8352400</v>
      </c>
      <c r="CD120" s="230">
        <v>-2832900</v>
      </c>
      <c r="CE120" s="229">
        <v>-0.3392</v>
      </c>
      <c r="CF120" s="230">
        <v>4299400</v>
      </c>
      <c r="CG120" s="230">
        <v>3112900</v>
      </c>
      <c r="CH120" s="230">
        <v>1186500</v>
      </c>
      <c r="CI120" s="229">
        <v>0.38119999999999998</v>
      </c>
      <c r="CJ120" s="230">
        <v>329700</v>
      </c>
      <c r="CK120" s="230">
        <v>289100</v>
      </c>
      <c r="CL120" s="230">
        <v>40600</v>
      </c>
      <c r="CM120" s="229">
        <v>0.1404</v>
      </c>
      <c r="CN120" s="230">
        <v>6815900</v>
      </c>
      <c r="CO120" s="230">
        <v>7196700</v>
      </c>
      <c r="CP120" s="230">
        <v>-380800</v>
      </c>
      <c r="CQ120" s="229">
        <v>-5.2900000000000003E-2</v>
      </c>
      <c r="CR120" s="230">
        <v>4783100</v>
      </c>
      <c r="CS120" s="230">
        <v>4643800</v>
      </c>
      <c r="CT120" s="230">
        <v>139300</v>
      </c>
      <c r="CU120" s="229">
        <v>0.03</v>
      </c>
      <c r="CV120" s="230">
        <v>21747600</v>
      </c>
      <c r="CW120" s="230">
        <v>23594900</v>
      </c>
      <c r="CX120" s="230">
        <v>-1847300</v>
      </c>
      <c r="CY120" s="229">
        <v>-7.8299999999999995E-2</v>
      </c>
      <c r="CZ120" s="228">
        <v>31.57</v>
      </c>
      <c r="DA120" s="228">
        <v>30.77</v>
      </c>
      <c r="DB120" s="228">
        <v>0.8</v>
      </c>
      <c r="DC120" s="228">
        <v>0.8</v>
      </c>
      <c r="DD120" s="228">
        <v>33.130000000000003</v>
      </c>
      <c r="DE120" s="228">
        <v>33.15</v>
      </c>
      <c r="DF120" s="228">
        <v>-1.56</v>
      </c>
      <c r="DG120" s="228">
        <v>-0.02</v>
      </c>
      <c r="DH120" s="228">
        <v>32.130000000000003</v>
      </c>
      <c r="DI120" s="228">
        <v>31.16</v>
      </c>
      <c r="DJ120" s="228">
        <v>0.97</v>
      </c>
      <c r="DK120" s="228">
        <v>0.97</v>
      </c>
      <c r="DL120" s="228">
        <v>30.39</v>
      </c>
      <c r="DM120" s="228">
        <v>29.49</v>
      </c>
      <c r="DN120" s="228">
        <v>0.9</v>
      </c>
      <c r="DO120" s="228">
        <v>0.9</v>
      </c>
      <c r="DP120" s="228">
        <v>0.7</v>
      </c>
      <c r="DQ120" s="228">
        <v>0.65</v>
      </c>
      <c r="DR120" s="228">
        <v>0.05</v>
      </c>
      <c r="DS120" s="229">
        <v>7.6899999999999996E-2</v>
      </c>
      <c r="DT120" s="228">
        <v>900</v>
      </c>
      <c r="DU120" s="228">
        <v>750</v>
      </c>
      <c r="DV120" s="228">
        <v>0.54</v>
      </c>
      <c r="DW120" s="228">
        <v>0.31</v>
      </c>
      <c r="DX120" s="228">
        <v>0.23</v>
      </c>
      <c r="DY120" s="229">
        <v>0.7419</v>
      </c>
      <c r="DZ120" s="229">
        <v>0.45610000000000001</v>
      </c>
      <c r="EA120" s="230">
        <v>3402000</v>
      </c>
      <c r="EB120" s="229">
        <v>-6.4000000000000003E-3</v>
      </c>
      <c r="EC120" s="229">
        <v>0.45610000000000001</v>
      </c>
      <c r="ED120" s="228">
        <v>-4.04</v>
      </c>
      <c r="EE120" s="229">
        <v>-5.0000000000000001E-3</v>
      </c>
      <c r="EF120" s="230">
        <v>470854</v>
      </c>
      <c r="EG120" s="230">
        <v>623995</v>
      </c>
      <c r="EH120" s="229">
        <v>-0.24540000000000001</v>
      </c>
      <c r="EI120" s="229">
        <v>0.50519999999999998</v>
      </c>
      <c r="EJ120" s="231">
        <v>38098.75</v>
      </c>
      <c r="EK120" s="231">
        <v>19321.09</v>
      </c>
      <c r="EL120" s="231">
        <v>59264.32</v>
      </c>
      <c r="EM120" s="231">
        <v>3071</v>
      </c>
      <c r="EN120" s="231">
        <v>116684.16</v>
      </c>
      <c r="EO120" s="231">
        <v>51945.4</v>
      </c>
      <c r="EP120" s="231">
        <v>64738.76</v>
      </c>
      <c r="EQ120" s="229">
        <v>1.2463</v>
      </c>
      <c r="ER120" s="231">
        <v>57599</v>
      </c>
      <c r="ES120" s="231">
        <v>37320</v>
      </c>
      <c r="ET120" s="231">
        <v>82050</v>
      </c>
      <c r="EU120" s="231">
        <v>33206238</v>
      </c>
      <c r="EV120" s="231">
        <v>176969</v>
      </c>
      <c r="EW120" s="231">
        <v>194184</v>
      </c>
      <c r="EX120" s="231">
        <v>-17215</v>
      </c>
      <c r="EY120" s="229">
        <v>-8.8700000000000001E-2</v>
      </c>
      <c r="EZ120" s="229">
        <v>0.65490000000000004</v>
      </c>
      <c r="FA120" s="227" t="s">
        <v>567</v>
      </c>
      <c r="FB120" s="161">
        <f t="shared" si="1"/>
        <v>4629100</v>
      </c>
    </row>
    <row r="121" spans="1:158" ht="17.25" thickBot="1" x14ac:dyDescent="0.3">
      <c r="A121" s="226">
        <v>46135</v>
      </c>
      <c r="B121" s="227" t="s">
        <v>206</v>
      </c>
      <c r="C121" s="227" t="s">
        <v>587</v>
      </c>
      <c r="D121" s="228">
        <v>450</v>
      </c>
      <c r="E121" s="228">
        <v>857.7</v>
      </c>
      <c r="F121" s="228">
        <v>883.6</v>
      </c>
      <c r="G121" s="228">
        <v>-25.9</v>
      </c>
      <c r="H121" s="229">
        <v>-2.93E-2</v>
      </c>
      <c r="I121" s="228">
        <v>856.5</v>
      </c>
      <c r="J121" s="228">
        <v>884.8</v>
      </c>
      <c r="K121" s="228">
        <v>-28.3</v>
      </c>
      <c r="L121" s="229">
        <v>-3.2000000000000001E-2</v>
      </c>
      <c r="M121" s="228">
        <v>857.7</v>
      </c>
      <c r="N121" s="228">
        <v>883.6</v>
      </c>
      <c r="O121" s="228">
        <v>-25.9</v>
      </c>
      <c r="P121" s="229">
        <v>-2.93E-2</v>
      </c>
      <c r="Q121" s="228">
        <v>862.45</v>
      </c>
      <c r="R121" s="228">
        <v>889.05</v>
      </c>
      <c r="S121" s="228">
        <v>-26.6</v>
      </c>
      <c r="T121" s="229">
        <v>-2.9899999999999999E-2</v>
      </c>
      <c r="U121" s="228">
        <v>866.95</v>
      </c>
      <c r="V121" s="228">
        <v>893.5</v>
      </c>
      <c r="W121" s="228">
        <v>-26.55</v>
      </c>
      <c r="X121" s="229">
        <v>-2.9700000000000001E-2</v>
      </c>
      <c r="Y121" s="228">
        <v>1.2</v>
      </c>
      <c r="Z121" s="228">
        <v>-1.2</v>
      </c>
      <c r="AA121" s="228">
        <v>2.4</v>
      </c>
      <c r="AB121" s="229">
        <v>1.4E-3</v>
      </c>
      <c r="AC121" s="228">
        <v>1.2</v>
      </c>
      <c r="AD121" s="228">
        <v>-1.2</v>
      </c>
      <c r="AE121" s="228">
        <v>2.4</v>
      </c>
      <c r="AF121" s="229">
        <v>1.4E-3</v>
      </c>
      <c r="AG121" s="228">
        <v>5.95</v>
      </c>
      <c r="AH121" s="228">
        <v>4.25</v>
      </c>
      <c r="AI121" s="228">
        <v>1.7</v>
      </c>
      <c r="AJ121" s="229">
        <v>6.8999999999999999E-3</v>
      </c>
      <c r="AK121" s="228">
        <v>10.45</v>
      </c>
      <c r="AL121" s="228">
        <v>8.6999999999999993</v>
      </c>
      <c r="AM121" s="228">
        <v>1.75</v>
      </c>
      <c r="AN121" s="229">
        <v>1.2200000000000001E-2</v>
      </c>
      <c r="AO121" s="228">
        <v>864.95</v>
      </c>
      <c r="AP121" s="228">
        <v>869.69</v>
      </c>
      <c r="AQ121" s="228">
        <v>0</v>
      </c>
      <c r="AR121" s="230">
        <v>8690850</v>
      </c>
      <c r="AS121" s="230">
        <v>3225150</v>
      </c>
      <c r="AT121" s="230">
        <v>5465700</v>
      </c>
      <c r="AU121" s="229">
        <v>1.6947000000000001</v>
      </c>
      <c r="AV121" s="230">
        <v>4501800</v>
      </c>
      <c r="AW121" s="230">
        <v>2578050</v>
      </c>
      <c r="AX121" s="230">
        <v>1923750</v>
      </c>
      <c r="AY121" s="229">
        <v>0.74619999999999997</v>
      </c>
      <c r="AZ121" s="230">
        <v>4138650</v>
      </c>
      <c r="BA121" s="230">
        <v>598500</v>
      </c>
      <c r="BB121" s="230">
        <v>3540150</v>
      </c>
      <c r="BC121" s="229">
        <v>5.915</v>
      </c>
      <c r="BD121" s="230">
        <v>50400</v>
      </c>
      <c r="BE121" s="230">
        <v>48600</v>
      </c>
      <c r="BF121" s="230">
        <v>1800</v>
      </c>
      <c r="BG121" s="229">
        <v>3.6999999999999998E-2</v>
      </c>
      <c r="BH121" s="230">
        <v>5483250</v>
      </c>
      <c r="BI121" s="230">
        <v>6889500</v>
      </c>
      <c r="BJ121" s="230">
        <v>-1406250</v>
      </c>
      <c r="BK121" s="229">
        <v>-0.2041</v>
      </c>
      <c r="BL121" s="230">
        <v>4533750</v>
      </c>
      <c r="BM121" s="230">
        <v>4023900</v>
      </c>
      <c r="BN121" s="230">
        <v>509850</v>
      </c>
      <c r="BO121" s="229">
        <v>0.12670000000000001</v>
      </c>
      <c r="BP121" s="230">
        <v>18707850</v>
      </c>
      <c r="BQ121" s="230">
        <v>14138550</v>
      </c>
      <c r="BR121" s="230">
        <v>4569300</v>
      </c>
      <c r="BS121" s="229">
        <v>0.32319999999999999</v>
      </c>
      <c r="BT121" s="230">
        <v>1739431</v>
      </c>
      <c r="BU121" s="230">
        <v>3242868</v>
      </c>
      <c r="BV121" s="230">
        <v>-1503437</v>
      </c>
      <c r="BW121" s="229">
        <v>-0.46360000000000001</v>
      </c>
      <c r="BX121" s="230">
        <v>18161100</v>
      </c>
      <c r="BY121" s="230">
        <v>18168750</v>
      </c>
      <c r="BZ121" s="230">
        <v>-7650</v>
      </c>
      <c r="CA121" s="229">
        <v>-4.0000000000000002E-4</v>
      </c>
      <c r="CB121" s="230">
        <v>12246750</v>
      </c>
      <c r="CC121" s="230">
        <v>15723450</v>
      </c>
      <c r="CD121" s="230">
        <v>-3476700</v>
      </c>
      <c r="CE121" s="229">
        <v>-0.22109999999999999</v>
      </c>
      <c r="CF121" s="230">
        <v>5175450</v>
      </c>
      <c r="CG121" s="230">
        <v>1737900</v>
      </c>
      <c r="CH121" s="230">
        <v>3437550</v>
      </c>
      <c r="CI121" s="229">
        <v>1.978</v>
      </c>
      <c r="CJ121" s="230">
        <v>738900</v>
      </c>
      <c r="CK121" s="230">
        <v>707400</v>
      </c>
      <c r="CL121" s="230">
        <v>31500</v>
      </c>
      <c r="CM121" s="229">
        <v>4.4499999999999998E-2</v>
      </c>
      <c r="CN121" s="230">
        <v>6072300</v>
      </c>
      <c r="CO121" s="230">
        <v>5987250</v>
      </c>
      <c r="CP121" s="230">
        <v>85050</v>
      </c>
      <c r="CQ121" s="229">
        <v>1.4200000000000001E-2</v>
      </c>
      <c r="CR121" s="230">
        <v>5229000</v>
      </c>
      <c r="CS121" s="230">
        <v>5003100</v>
      </c>
      <c r="CT121" s="230">
        <v>225900</v>
      </c>
      <c r="CU121" s="229">
        <v>4.5199999999999997E-2</v>
      </c>
      <c r="CV121" s="230">
        <v>29462400</v>
      </c>
      <c r="CW121" s="230">
        <v>29159100</v>
      </c>
      <c r="CX121" s="230">
        <v>303300</v>
      </c>
      <c r="CY121" s="229">
        <v>1.04E-2</v>
      </c>
      <c r="CZ121" s="228">
        <v>44.42</v>
      </c>
      <c r="DA121" s="228">
        <v>44.64</v>
      </c>
      <c r="DB121" s="228">
        <v>-0.22</v>
      </c>
      <c r="DC121" s="228">
        <v>-0.22</v>
      </c>
      <c r="DD121" s="228">
        <v>47.69</v>
      </c>
      <c r="DE121" s="228">
        <v>47.61</v>
      </c>
      <c r="DF121" s="228">
        <v>-3.27</v>
      </c>
      <c r="DG121" s="228">
        <v>0.08</v>
      </c>
      <c r="DH121" s="228">
        <v>44.14</v>
      </c>
      <c r="DI121" s="228">
        <v>43.33</v>
      </c>
      <c r="DJ121" s="228">
        <v>0.81</v>
      </c>
      <c r="DK121" s="228">
        <v>0.81</v>
      </c>
      <c r="DL121" s="228">
        <v>45.11</v>
      </c>
      <c r="DM121" s="228">
        <v>46.87</v>
      </c>
      <c r="DN121" s="228">
        <v>-1.76</v>
      </c>
      <c r="DO121" s="228">
        <v>-1.76</v>
      </c>
      <c r="DP121" s="228">
        <v>0.86</v>
      </c>
      <c r="DQ121" s="228">
        <v>0.84</v>
      </c>
      <c r="DR121" s="228">
        <v>0.02</v>
      </c>
      <c r="DS121" s="229">
        <v>2.3800000000000002E-2</v>
      </c>
      <c r="DT121" s="228">
        <v>920</v>
      </c>
      <c r="DU121" s="228">
        <v>830</v>
      </c>
      <c r="DV121" s="228">
        <v>0.83</v>
      </c>
      <c r="DW121" s="228">
        <v>0.57999999999999996</v>
      </c>
      <c r="DX121" s="228">
        <v>0.25</v>
      </c>
      <c r="DY121" s="229">
        <v>0.43099999999999999</v>
      </c>
      <c r="DZ121" s="229">
        <v>0.32569999999999999</v>
      </c>
      <c r="EA121" s="230">
        <v>2445300</v>
      </c>
      <c r="EB121" s="229">
        <v>5.4999999999999997E-3</v>
      </c>
      <c r="EC121" s="229">
        <v>0.32569999999999999</v>
      </c>
      <c r="ED121" s="228">
        <v>4.74</v>
      </c>
      <c r="EE121" s="229">
        <v>5.4999999999999997E-3</v>
      </c>
      <c r="EF121" s="230">
        <v>822821</v>
      </c>
      <c r="EG121" s="230">
        <v>1901314</v>
      </c>
      <c r="EH121" s="229">
        <v>-0.56720000000000004</v>
      </c>
      <c r="EI121" s="229">
        <v>0.47299999999999998</v>
      </c>
      <c r="EJ121" s="231">
        <v>49747.72</v>
      </c>
      <c r="EK121" s="231">
        <v>38547.1</v>
      </c>
      <c r="EL121" s="231">
        <v>75373.56</v>
      </c>
      <c r="EM121" s="231">
        <v>7202</v>
      </c>
      <c r="EN121" s="231">
        <v>163668.38</v>
      </c>
      <c r="EO121" s="231">
        <v>126084.97</v>
      </c>
      <c r="EP121" s="231">
        <v>37583.410000000003</v>
      </c>
      <c r="EQ121" s="229">
        <v>0.29809999999999998</v>
      </c>
      <c r="ER121" s="231">
        <v>51185</v>
      </c>
      <c r="ES121" s="231">
        <v>40897</v>
      </c>
      <c r="ET121" s="231">
        <v>156082</v>
      </c>
      <c r="EU121" s="231">
        <v>42165698</v>
      </c>
      <c r="EV121" s="231">
        <v>248163</v>
      </c>
      <c r="EW121" s="231">
        <v>250360</v>
      </c>
      <c r="EX121" s="231">
        <v>-2197</v>
      </c>
      <c r="EY121" s="229">
        <v>-8.8000000000000005E-3</v>
      </c>
      <c r="EZ121" s="229">
        <v>0.69869999999999999</v>
      </c>
      <c r="FA121" s="227" t="s">
        <v>567</v>
      </c>
      <c r="FB121" s="161">
        <f t="shared" si="1"/>
        <v>5914350</v>
      </c>
    </row>
    <row r="122" spans="1:158" ht="17.25" thickBot="1" x14ac:dyDescent="0.3">
      <c r="A122" s="226">
        <v>46135</v>
      </c>
      <c r="B122" s="227" t="s">
        <v>184</v>
      </c>
      <c r="C122" s="227" t="s">
        <v>249</v>
      </c>
      <c r="D122" s="228">
        <v>175</v>
      </c>
      <c r="E122" s="231">
        <v>4057.6</v>
      </c>
      <c r="F122" s="231">
        <v>4025.4</v>
      </c>
      <c r="G122" s="228">
        <v>32.200000000000003</v>
      </c>
      <c r="H122" s="229">
        <v>8.0000000000000002E-3</v>
      </c>
      <c r="I122" s="231">
        <v>4054.1</v>
      </c>
      <c r="J122" s="231">
        <v>4021.1</v>
      </c>
      <c r="K122" s="228">
        <v>33</v>
      </c>
      <c r="L122" s="229">
        <v>8.2000000000000007E-3</v>
      </c>
      <c r="M122" s="231">
        <v>4057.6</v>
      </c>
      <c r="N122" s="231">
        <v>4025.4</v>
      </c>
      <c r="O122" s="228">
        <v>32.200000000000003</v>
      </c>
      <c r="P122" s="229">
        <v>8.0000000000000002E-3</v>
      </c>
      <c r="Q122" s="231">
        <v>4078.9</v>
      </c>
      <c r="R122" s="231">
        <v>4046.6</v>
      </c>
      <c r="S122" s="228">
        <v>32.299999999999997</v>
      </c>
      <c r="T122" s="229">
        <v>8.0000000000000002E-3</v>
      </c>
      <c r="U122" s="231">
        <v>4078.8</v>
      </c>
      <c r="V122" s="231">
        <v>4046.8</v>
      </c>
      <c r="W122" s="228">
        <v>32</v>
      </c>
      <c r="X122" s="229">
        <v>7.9000000000000008E-3</v>
      </c>
      <c r="Y122" s="228">
        <v>3.5</v>
      </c>
      <c r="Z122" s="228">
        <v>4.3</v>
      </c>
      <c r="AA122" s="228">
        <v>-0.8</v>
      </c>
      <c r="AB122" s="229">
        <v>8.9999999999999998E-4</v>
      </c>
      <c r="AC122" s="228">
        <v>3.5</v>
      </c>
      <c r="AD122" s="228">
        <v>4.3</v>
      </c>
      <c r="AE122" s="228">
        <v>-0.8</v>
      </c>
      <c r="AF122" s="229">
        <v>8.9999999999999998E-4</v>
      </c>
      <c r="AG122" s="228">
        <v>24.8</v>
      </c>
      <c r="AH122" s="228">
        <v>25.5</v>
      </c>
      <c r="AI122" s="228">
        <v>-0.7</v>
      </c>
      <c r="AJ122" s="229">
        <v>6.1000000000000004E-3</v>
      </c>
      <c r="AK122" s="228">
        <v>24.7</v>
      </c>
      <c r="AL122" s="228">
        <v>25.7</v>
      </c>
      <c r="AM122" s="228">
        <v>-1</v>
      </c>
      <c r="AN122" s="229">
        <v>6.1000000000000004E-3</v>
      </c>
      <c r="AO122" s="231">
        <v>4043.15</v>
      </c>
      <c r="AP122" s="231">
        <v>4065.65</v>
      </c>
      <c r="AQ122" s="228">
        <v>0</v>
      </c>
      <c r="AR122" s="230">
        <v>5769225</v>
      </c>
      <c r="AS122" s="230">
        <v>3127250</v>
      </c>
      <c r="AT122" s="230">
        <v>2641975</v>
      </c>
      <c r="AU122" s="229">
        <v>0.8448</v>
      </c>
      <c r="AV122" s="230">
        <v>2963800</v>
      </c>
      <c r="AW122" s="230">
        <v>1844325</v>
      </c>
      <c r="AX122" s="230">
        <v>1119475</v>
      </c>
      <c r="AY122" s="229">
        <v>0.60699999999999998</v>
      </c>
      <c r="AZ122" s="230">
        <v>2721600</v>
      </c>
      <c r="BA122" s="230">
        <v>1177925</v>
      </c>
      <c r="BB122" s="230">
        <v>1543675</v>
      </c>
      <c r="BC122" s="229">
        <v>1.3105</v>
      </c>
      <c r="BD122" s="230">
        <v>83825</v>
      </c>
      <c r="BE122" s="230">
        <v>105000</v>
      </c>
      <c r="BF122" s="230">
        <v>-21175</v>
      </c>
      <c r="BG122" s="229">
        <v>-0.20169999999999999</v>
      </c>
      <c r="BH122" s="230">
        <v>7746375</v>
      </c>
      <c r="BI122" s="230">
        <v>9379650</v>
      </c>
      <c r="BJ122" s="230">
        <v>-1633275</v>
      </c>
      <c r="BK122" s="229">
        <v>-0.1741</v>
      </c>
      <c r="BL122" s="230">
        <v>4899125</v>
      </c>
      <c r="BM122" s="230">
        <v>5103000</v>
      </c>
      <c r="BN122" s="230">
        <v>-203875</v>
      </c>
      <c r="BO122" s="229">
        <v>-0.04</v>
      </c>
      <c r="BP122" s="230">
        <v>18414725</v>
      </c>
      <c r="BQ122" s="230">
        <v>17609900</v>
      </c>
      <c r="BR122" s="230">
        <v>804825</v>
      </c>
      <c r="BS122" s="229">
        <v>4.5699999999999998E-2</v>
      </c>
      <c r="BT122" s="230">
        <v>2508228</v>
      </c>
      <c r="BU122" s="230">
        <v>2407880</v>
      </c>
      <c r="BV122" s="230">
        <v>100348</v>
      </c>
      <c r="BW122" s="229">
        <v>4.1700000000000001E-2</v>
      </c>
      <c r="BX122" s="230">
        <v>15521100</v>
      </c>
      <c r="BY122" s="230">
        <v>15210650</v>
      </c>
      <c r="BZ122" s="230">
        <v>310450</v>
      </c>
      <c r="CA122" s="229">
        <v>2.0400000000000001E-2</v>
      </c>
      <c r="CB122" s="230">
        <v>8546475</v>
      </c>
      <c r="CC122" s="230">
        <v>10490200</v>
      </c>
      <c r="CD122" s="230">
        <v>-1943725</v>
      </c>
      <c r="CE122" s="229">
        <v>-0.18529999999999999</v>
      </c>
      <c r="CF122" s="230">
        <v>6629700</v>
      </c>
      <c r="CG122" s="230">
        <v>4422075</v>
      </c>
      <c r="CH122" s="230">
        <v>2207625</v>
      </c>
      <c r="CI122" s="229">
        <v>0.49919999999999998</v>
      </c>
      <c r="CJ122" s="230">
        <v>344925</v>
      </c>
      <c r="CK122" s="230">
        <v>298375</v>
      </c>
      <c r="CL122" s="230">
        <v>46550</v>
      </c>
      <c r="CM122" s="229">
        <v>0.156</v>
      </c>
      <c r="CN122" s="230">
        <v>10001600</v>
      </c>
      <c r="CO122" s="230">
        <v>10353875</v>
      </c>
      <c r="CP122" s="230">
        <v>-352275</v>
      </c>
      <c r="CQ122" s="229">
        <v>-3.4000000000000002E-2</v>
      </c>
      <c r="CR122" s="230">
        <v>8061725</v>
      </c>
      <c r="CS122" s="230">
        <v>7947450</v>
      </c>
      <c r="CT122" s="230">
        <v>114275</v>
      </c>
      <c r="CU122" s="229">
        <v>1.44E-2</v>
      </c>
      <c r="CV122" s="230">
        <v>33584425</v>
      </c>
      <c r="CW122" s="230">
        <v>33511975</v>
      </c>
      <c r="CX122" s="230">
        <v>72450</v>
      </c>
      <c r="CY122" s="229">
        <v>2.2000000000000001E-3</v>
      </c>
      <c r="CZ122" s="228">
        <v>32.380000000000003</v>
      </c>
      <c r="DA122" s="228">
        <v>30.08</v>
      </c>
      <c r="DB122" s="228">
        <v>2.2999999999999998</v>
      </c>
      <c r="DC122" s="228">
        <v>2.2999999999999998</v>
      </c>
      <c r="DD122" s="228">
        <v>33.79</v>
      </c>
      <c r="DE122" s="228">
        <v>33.85</v>
      </c>
      <c r="DF122" s="228">
        <v>-1.41</v>
      </c>
      <c r="DG122" s="228">
        <v>-0.06</v>
      </c>
      <c r="DH122" s="228">
        <v>31.6</v>
      </c>
      <c r="DI122" s="228">
        <v>29.19</v>
      </c>
      <c r="DJ122" s="228">
        <v>2.41</v>
      </c>
      <c r="DK122" s="228">
        <v>2.41</v>
      </c>
      <c r="DL122" s="228">
        <v>33.159999999999997</v>
      </c>
      <c r="DM122" s="228">
        <v>31.72</v>
      </c>
      <c r="DN122" s="228">
        <v>1.44</v>
      </c>
      <c r="DO122" s="228">
        <v>1.44</v>
      </c>
      <c r="DP122" s="228">
        <v>0.81</v>
      </c>
      <c r="DQ122" s="228">
        <v>0.77</v>
      </c>
      <c r="DR122" s="228">
        <v>0.04</v>
      </c>
      <c r="DS122" s="229">
        <v>5.1900000000000002E-2</v>
      </c>
      <c r="DT122" s="231">
        <v>4100</v>
      </c>
      <c r="DU122" s="231">
        <v>4000</v>
      </c>
      <c r="DV122" s="228">
        <v>0.63</v>
      </c>
      <c r="DW122" s="228">
        <v>0.54</v>
      </c>
      <c r="DX122" s="228">
        <v>0.09</v>
      </c>
      <c r="DY122" s="229">
        <v>0.16669999999999999</v>
      </c>
      <c r="DZ122" s="229">
        <v>0.44940000000000002</v>
      </c>
      <c r="EA122" s="230">
        <v>4720450</v>
      </c>
      <c r="EB122" s="229">
        <v>5.1999999999999998E-3</v>
      </c>
      <c r="EC122" s="229">
        <v>0.44940000000000002</v>
      </c>
      <c r="ED122" s="228">
        <v>22.5</v>
      </c>
      <c r="EE122" s="229">
        <v>5.5999999999999999E-3</v>
      </c>
      <c r="EF122" s="230">
        <v>1361292</v>
      </c>
      <c r="EG122" s="230">
        <v>1508881</v>
      </c>
      <c r="EH122" s="229">
        <v>-9.7799999999999998E-2</v>
      </c>
      <c r="EI122" s="229">
        <v>0.54269999999999996</v>
      </c>
      <c r="EJ122" s="231">
        <v>323570.36</v>
      </c>
      <c r="EK122" s="231">
        <v>193842.29</v>
      </c>
      <c r="EL122" s="231">
        <v>233888.31</v>
      </c>
      <c r="EM122" s="231">
        <v>14684</v>
      </c>
      <c r="EN122" s="231">
        <v>751300.96</v>
      </c>
      <c r="EO122" s="231">
        <v>722480.7</v>
      </c>
      <c r="EP122" s="231">
        <v>28820.26</v>
      </c>
      <c r="EQ122" s="229">
        <v>3.9899999999999998E-2</v>
      </c>
      <c r="ER122" s="231">
        <v>403711</v>
      </c>
      <c r="ES122" s="231">
        <v>307113</v>
      </c>
      <c r="ET122" s="231">
        <v>631269</v>
      </c>
      <c r="EU122" s="231">
        <v>136099497</v>
      </c>
      <c r="EV122" s="231">
        <v>1342093</v>
      </c>
      <c r="EW122" s="231">
        <v>1333837</v>
      </c>
      <c r="EX122" s="231">
        <v>8256</v>
      </c>
      <c r="EY122" s="229">
        <v>6.1999999999999998E-3</v>
      </c>
      <c r="EZ122" s="229">
        <v>0.24679999999999999</v>
      </c>
      <c r="FA122" s="227" t="s">
        <v>555</v>
      </c>
      <c r="FB122" s="161">
        <f t="shared" si="1"/>
        <v>6974625</v>
      </c>
    </row>
    <row r="123" spans="1:158" ht="17.25" thickBot="1" x14ac:dyDescent="0.3">
      <c r="A123" s="226">
        <v>46135</v>
      </c>
      <c r="B123" s="227" t="s">
        <v>175</v>
      </c>
      <c r="C123" s="227" t="s">
        <v>564</v>
      </c>
      <c r="D123" s="228">
        <v>2250</v>
      </c>
      <c r="E123" s="228">
        <v>292.14</v>
      </c>
      <c r="F123" s="228">
        <v>294.16000000000003</v>
      </c>
      <c r="G123" s="228">
        <v>-2.02</v>
      </c>
      <c r="H123" s="229">
        <v>-6.8999999999999999E-3</v>
      </c>
      <c r="I123" s="228">
        <v>292.12</v>
      </c>
      <c r="J123" s="228">
        <v>294.04000000000002</v>
      </c>
      <c r="K123" s="228">
        <v>-1.92</v>
      </c>
      <c r="L123" s="229">
        <v>-6.4999999999999997E-3</v>
      </c>
      <c r="M123" s="228">
        <v>292.14</v>
      </c>
      <c r="N123" s="228">
        <v>294.16000000000003</v>
      </c>
      <c r="O123" s="228">
        <v>-2.02</v>
      </c>
      <c r="P123" s="229">
        <v>-6.8999999999999999E-3</v>
      </c>
      <c r="Q123" s="228">
        <v>289.35000000000002</v>
      </c>
      <c r="R123" s="228">
        <v>291.93</v>
      </c>
      <c r="S123" s="228">
        <v>-2.58</v>
      </c>
      <c r="T123" s="229">
        <v>-8.8000000000000005E-3</v>
      </c>
      <c r="U123" s="228">
        <v>288.41000000000003</v>
      </c>
      <c r="V123" s="228">
        <v>291.27</v>
      </c>
      <c r="W123" s="228">
        <v>-2.86</v>
      </c>
      <c r="X123" s="229">
        <v>-9.7999999999999997E-3</v>
      </c>
      <c r="Y123" s="228">
        <v>0.02</v>
      </c>
      <c r="Z123" s="228">
        <v>0.12</v>
      </c>
      <c r="AA123" s="228">
        <v>-0.1</v>
      </c>
      <c r="AB123" s="229">
        <v>1E-4</v>
      </c>
      <c r="AC123" s="228">
        <v>0.02</v>
      </c>
      <c r="AD123" s="228">
        <v>0.12</v>
      </c>
      <c r="AE123" s="228">
        <v>-0.1</v>
      </c>
      <c r="AF123" s="229">
        <v>1E-4</v>
      </c>
      <c r="AG123" s="228">
        <v>-2.77</v>
      </c>
      <c r="AH123" s="228">
        <v>-2.11</v>
      </c>
      <c r="AI123" s="228">
        <v>-0.66</v>
      </c>
      <c r="AJ123" s="229">
        <v>-9.4999999999999998E-3</v>
      </c>
      <c r="AK123" s="228">
        <v>-3.71</v>
      </c>
      <c r="AL123" s="228">
        <v>-2.77</v>
      </c>
      <c r="AM123" s="228">
        <v>-0.94</v>
      </c>
      <c r="AN123" s="229">
        <v>-1.2699999999999999E-2</v>
      </c>
      <c r="AO123" s="228">
        <v>291.49</v>
      </c>
      <c r="AP123" s="228">
        <v>288.86</v>
      </c>
      <c r="AQ123" s="228">
        <v>0</v>
      </c>
      <c r="AR123" s="230">
        <v>36715500</v>
      </c>
      <c r="AS123" s="230">
        <v>8392500</v>
      </c>
      <c r="AT123" s="230">
        <v>28323000</v>
      </c>
      <c r="AU123" s="229">
        <v>3.3748</v>
      </c>
      <c r="AV123" s="230">
        <v>19048500</v>
      </c>
      <c r="AW123" s="230">
        <v>5742000</v>
      </c>
      <c r="AX123" s="230">
        <v>13306500</v>
      </c>
      <c r="AY123" s="229">
        <v>2.3174000000000001</v>
      </c>
      <c r="AZ123" s="230">
        <v>17588250</v>
      </c>
      <c r="BA123" s="230">
        <v>2571750</v>
      </c>
      <c r="BB123" s="230">
        <v>15016500</v>
      </c>
      <c r="BC123" s="229">
        <v>5.8390000000000004</v>
      </c>
      <c r="BD123" s="230">
        <v>78750</v>
      </c>
      <c r="BE123" s="230">
        <v>78750</v>
      </c>
      <c r="BF123" s="228">
        <v>0</v>
      </c>
      <c r="BG123" s="229">
        <v>0</v>
      </c>
      <c r="BH123" s="230">
        <v>15304500</v>
      </c>
      <c r="BI123" s="230">
        <v>13050000</v>
      </c>
      <c r="BJ123" s="230">
        <v>2254500</v>
      </c>
      <c r="BK123" s="229">
        <v>0.17280000000000001</v>
      </c>
      <c r="BL123" s="230">
        <v>10993500</v>
      </c>
      <c r="BM123" s="230">
        <v>7879500</v>
      </c>
      <c r="BN123" s="230">
        <v>3114000</v>
      </c>
      <c r="BO123" s="229">
        <v>0.3952</v>
      </c>
      <c r="BP123" s="230">
        <v>63013500</v>
      </c>
      <c r="BQ123" s="230">
        <v>29322000</v>
      </c>
      <c r="BR123" s="230">
        <v>33691500</v>
      </c>
      <c r="BS123" s="229">
        <v>1.149</v>
      </c>
      <c r="BT123" s="230">
        <v>3603385</v>
      </c>
      <c r="BU123" s="230">
        <v>3626154</v>
      </c>
      <c r="BV123" s="230">
        <v>-22769</v>
      </c>
      <c r="BW123" s="229">
        <v>-6.3E-3</v>
      </c>
      <c r="BX123" s="230">
        <v>47506500</v>
      </c>
      <c r="BY123" s="230">
        <v>49529250</v>
      </c>
      <c r="BZ123" s="230">
        <v>-2022750</v>
      </c>
      <c r="CA123" s="229">
        <v>-4.0800000000000003E-2</v>
      </c>
      <c r="CB123" s="230">
        <v>29445750</v>
      </c>
      <c r="CC123" s="230">
        <v>41852250</v>
      </c>
      <c r="CD123" s="230">
        <v>-12406500</v>
      </c>
      <c r="CE123" s="229">
        <v>-0.2964</v>
      </c>
      <c r="CF123" s="230">
        <v>17685000</v>
      </c>
      <c r="CG123" s="230">
        <v>7350750</v>
      </c>
      <c r="CH123" s="230">
        <v>10334250</v>
      </c>
      <c r="CI123" s="229">
        <v>1.4058999999999999</v>
      </c>
      <c r="CJ123" s="230">
        <v>375750</v>
      </c>
      <c r="CK123" s="230">
        <v>326250</v>
      </c>
      <c r="CL123" s="230">
        <v>49500</v>
      </c>
      <c r="CM123" s="229">
        <v>0.1517</v>
      </c>
      <c r="CN123" s="230">
        <v>20940750</v>
      </c>
      <c r="CO123" s="230">
        <v>20232000</v>
      </c>
      <c r="CP123" s="230">
        <v>708750</v>
      </c>
      <c r="CQ123" s="229">
        <v>3.5000000000000003E-2</v>
      </c>
      <c r="CR123" s="230">
        <v>18186750</v>
      </c>
      <c r="CS123" s="230">
        <v>17694000</v>
      </c>
      <c r="CT123" s="230">
        <v>492750</v>
      </c>
      <c r="CU123" s="229">
        <v>2.7799999999999998E-2</v>
      </c>
      <c r="CV123" s="230">
        <v>86634000</v>
      </c>
      <c r="CW123" s="230">
        <v>87455250</v>
      </c>
      <c r="CX123" s="230">
        <v>-821250</v>
      </c>
      <c r="CY123" s="229">
        <v>-9.4000000000000004E-3</v>
      </c>
      <c r="CZ123" s="228">
        <v>42.13</v>
      </c>
      <c r="DA123" s="228">
        <v>43.46</v>
      </c>
      <c r="DB123" s="228">
        <v>-1.33</v>
      </c>
      <c r="DC123" s="228">
        <v>-1.33</v>
      </c>
      <c r="DD123" s="228">
        <v>41.34</v>
      </c>
      <c r="DE123" s="228">
        <v>41.44</v>
      </c>
      <c r="DF123" s="228">
        <v>0.79</v>
      </c>
      <c r="DG123" s="228">
        <v>-0.1</v>
      </c>
      <c r="DH123" s="228">
        <v>41.88</v>
      </c>
      <c r="DI123" s="228">
        <v>41.27</v>
      </c>
      <c r="DJ123" s="228">
        <v>0.61</v>
      </c>
      <c r="DK123" s="228">
        <v>0.61</v>
      </c>
      <c r="DL123" s="228">
        <v>42.69</v>
      </c>
      <c r="DM123" s="228">
        <v>47.09</v>
      </c>
      <c r="DN123" s="228">
        <v>-4.4000000000000004</v>
      </c>
      <c r="DO123" s="228">
        <v>-4.4000000000000004</v>
      </c>
      <c r="DP123" s="228">
        <v>0.87</v>
      </c>
      <c r="DQ123" s="228">
        <v>0.87</v>
      </c>
      <c r="DR123" s="228">
        <v>0</v>
      </c>
      <c r="DS123" s="229">
        <v>0</v>
      </c>
      <c r="DT123" s="228">
        <v>300</v>
      </c>
      <c r="DU123" s="228">
        <v>300</v>
      </c>
      <c r="DV123" s="228">
        <v>0.72</v>
      </c>
      <c r="DW123" s="228">
        <v>0.6</v>
      </c>
      <c r="DX123" s="228">
        <v>0.12</v>
      </c>
      <c r="DY123" s="229">
        <v>0.2</v>
      </c>
      <c r="DZ123" s="229">
        <v>0.38019999999999998</v>
      </c>
      <c r="EA123" s="230">
        <v>7677000</v>
      </c>
      <c r="EB123" s="229">
        <v>-9.5999999999999992E-3</v>
      </c>
      <c r="EC123" s="229">
        <v>0.38019999999999998</v>
      </c>
      <c r="ED123" s="228">
        <v>-2.63</v>
      </c>
      <c r="EE123" s="229">
        <v>-8.9999999999999993E-3</v>
      </c>
      <c r="EF123" s="230">
        <v>1282625</v>
      </c>
      <c r="EG123" s="230">
        <v>1832667</v>
      </c>
      <c r="EH123" s="229">
        <v>-0.30009999999999998</v>
      </c>
      <c r="EI123" s="229">
        <v>0.35599999999999998</v>
      </c>
      <c r="EJ123" s="231">
        <v>46511.29</v>
      </c>
      <c r="EK123" s="231">
        <v>30768.28</v>
      </c>
      <c r="EL123" s="231">
        <v>106558.2</v>
      </c>
      <c r="EM123" s="231">
        <v>4489</v>
      </c>
      <c r="EN123" s="231">
        <v>183837.77</v>
      </c>
      <c r="EO123" s="231">
        <v>86551.63</v>
      </c>
      <c r="EP123" s="231">
        <v>97286.14</v>
      </c>
      <c r="EQ123" s="229">
        <v>1.1240000000000001</v>
      </c>
      <c r="ER123" s="231">
        <v>59943</v>
      </c>
      <c r="ES123" s="231">
        <v>49542</v>
      </c>
      <c r="ET123" s="231">
        <v>138278</v>
      </c>
      <c r="EU123" s="231">
        <v>127514625</v>
      </c>
      <c r="EV123" s="231">
        <v>247763</v>
      </c>
      <c r="EW123" s="231">
        <v>251306</v>
      </c>
      <c r="EX123" s="231">
        <v>-3543</v>
      </c>
      <c r="EY123" s="229">
        <v>-1.41E-2</v>
      </c>
      <c r="EZ123" s="229">
        <v>0.6794</v>
      </c>
      <c r="FA123" s="227" t="s">
        <v>567</v>
      </c>
      <c r="FB123" s="161">
        <f t="shared" si="1"/>
        <v>18060750</v>
      </c>
    </row>
    <row r="124" spans="1:158" ht="17.25" thickBot="1" x14ac:dyDescent="0.3">
      <c r="A124" s="226">
        <v>46135</v>
      </c>
      <c r="B124" s="227" t="s">
        <v>221</v>
      </c>
      <c r="C124" s="227" t="s">
        <v>692</v>
      </c>
      <c r="D124" s="228">
        <v>150</v>
      </c>
      <c r="E124" s="231">
        <v>4531.6000000000004</v>
      </c>
      <c r="F124" s="231">
        <v>4616.8</v>
      </c>
      <c r="G124" s="228">
        <v>-85.2</v>
      </c>
      <c r="H124" s="229">
        <v>-1.8499999999999999E-2</v>
      </c>
      <c r="I124" s="231">
        <v>4531.5</v>
      </c>
      <c r="J124" s="231">
        <v>4604.3</v>
      </c>
      <c r="K124" s="228">
        <v>-72.8</v>
      </c>
      <c r="L124" s="229">
        <v>-1.5800000000000002E-2</v>
      </c>
      <c r="M124" s="231">
        <v>4531.6000000000004</v>
      </c>
      <c r="N124" s="231">
        <v>4616.8</v>
      </c>
      <c r="O124" s="228">
        <v>-85.2</v>
      </c>
      <c r="P124" s="229">
        <v>-1.8499999999999999E-2</v>
      </c>
      <c r="Q124" s="231">
        <v>4402.5</v>
      </c>
      <c r="R124" s="231">
        <v>4476.8999999999996</v>
      </c>
      <c r="S124" s="228">
        <v>-74.400000000000006</v>
      </c>
      <c r="T124" s="229">
        <v>-1.66E-2</v>
      </c>
      <c r="U124" s="231">
        <v>4336.2</v>
      </c>
      <c r="V124" s="231">
        <v>4431.2</v>
      </c>
      <c r="W124" s="228">
        <v>-95</v>
      </c>
      <c r="X124" s="229">
        <v>-2.1399999999999999E-2</v>
      </c>
      <c r="Y124" s="228">
        <v>0.1</v>
      </c>
      <c r="Z124" s="228">
        <v>12.5</v>
      </c>
      <c r="AA124" s="228">
        <v>-12.4</v>
      </c>
      <c r="AB124" s="229">
        <v>0</v>
      </c>
      <c r="AC124" s="228">
        <v>0.1</v>
      </c>
      <c r="AD124" s="228">
        <v>12.5</v>
      </c>
      <c r="AE124" s="228">
        <v>-12.4</v>
      </c>
      <c r="AF124" s="229">
        <v>0</v>
      </c>
      <c r="AG124" s="228">
        <v>-129</v>
      </c>
      <c r="AH124" s="228">
        <v>-127.4</v>
      </c>
      <c r="AI124" s="228">
        <v>-1.6</v>
      </c>
      <c r="AJ124" s="229">
        <v>-2.8500000000000001E-2</v>
      </c>
      <c r="AK124" s="228">
        <v>-195.3</v>
      </c>
      <c r="AL124" s="228">
        <v>-173.1</v>
      </c>
      <c r="AM124" s="228">
        <v>-22.2</v>
      </c>
      <c r="AN124" s="229">
        <v>-4.3099999999999999E-2</v>
      </c>
      <c r="AO124" s="231">
        <v>4568.78</v>
      </c>
      <c r="AP124" s="231">
        <v>4423.7</v>
      </c>
      <c r="AQ124" s="228">
        <v>0</v>
      </c>
      <c r="AR124" s="230">
        <v>2982750</v>
      </c>
      <c r="AS124" s="230">
        <v>1273050</v>
      </c>
      <c r="AT124" s="230">
        <v>1709700</v>
      </c>
      <c r="AU124" s="229">
        <v>1.343</v>
      </c>
      <c r="AV124" s="230">
        <v>1613400</v>
      </c>
      <c r="AW124" s="230">
        <v>845100</v>
      </c>
      <c r="AX124" s="230">
        <v>768300</v>
      </c>
      <c r="AY124" s="229">
        <v>0.90910000000000002</v>
      </c>
      <c r="AZ124" s="230">
        <v>1360200</v>
      </c>
      <c r="BA124" s="230">
        <v>418350</v>
      </c>
      <c r="BB124" s="230">
        <v>941850</v>
      </c>
      <c r="BC124" s="229">
        <v>2.2513000000000001</v>
      </c>
      <c r="BD124" s="230">
        <v>9150</v>
      </c>
      <c r="BE124" s="230">
        <v>9600</v>
      </c>
      <c r="BF124" s="228">
        <v>-450</v>
      </c>
      <c r="BG124" s="229">
        <v>-4.6899999999999997E-2</v>
      </c>
      <c r="BH124" s="230">
        <v>2780250</v>
      </c>
      <c r="BI124" s="230">
        <v>1966350</v>
      </c>
      <c r="BJ124" s="230">
        <v>813900</v>
      </c>
      <c r="BK124" s="229">
        <v>0.41389999999999999</v>
      </c>
      <c r="BL124" s="230">
        <v>2633100</v>
      </c>
      <c r="BM124" s="230">
        <v>1781100</v>
      </c>
      <c r="BN124" s="230">
        <v>852000</v>
      </c>
      <c r="BO124" s="229">
        <v>0.47839999999999999</v>
      </c>
      <c r="BP124" s="230">
        <v>8396100</v>
      </c>
      <c r="BQ124" s="230">
        <v>5020500</v>
      </c>
      <c r="BR124" s="230">
        <v>3375600</v>
      </c>
      <c r="BS124" s="229">
        <v>0.6724</v>
      </c>
      <c r="BT124" s="230">
        <v>277104</v>
      </c>
      <c r="BU124" s="230">
        <v>509542</v>
      </c>
      <c r="BV124" s="230">
        <v>-232438</v>
      </c>
      <c r="BW124" s="229">
        <v>-0.45619999999999999</v>
      </c>
      <c r="BX124" s="230">
        <v>4497150</v>
      </c>
      <c r="BY124" s="230">
        <v>4938600</v>
      </c>
      <c r="BZ124" s="230">
        <v>-441450</v>
      </c>
      <c r="CA124" s="229">
        <v>-8.9399999999999993E-2</v>
      </c>
      <c r="CB124" s="230">
        <v>2362500</v>
      </c>
      <c r="CC124" s="230">
        <v>3442350</v>
      </c>
      <c r="CD124" s="230">
        <v>-1079850</v>
      </c>
      <c r="CE124" s="229">
        <v>-0.31369999999999998</v>
      </c>
      <c r="CF124" s="230">
        <v>2097600</v>
      </c>
      <c r="CG124" s="230">
        <v>1465500</v>
      </c>
      <c r="CH124" s="230">
        <v>632100</v>
      </c>
      <c r="CI124" s="229">
        <v>0.43130000000000002</v>
      </c>
      <c r="CJ124" s="230">
        <v>37050</v>
      </c>
      <c r="CK124" s="230">
        <v>30750</v>
      </c>
      <c r="CL124" s="230">
        <v>6300</v>
      </c>
      <c r="CM124" s="229">
        <v>0.2049</v>
      </c>
      <c r="CN124" s="230">
        <v>1361700</v>
      </c>
      <c r="CO124" s="230">
        <v>1169700</v>
      </c>
      <c r="CP124" s="230">
        <v>192000</v>
      </c>
      <c r="CQ124" s="229">
        <v>0.1641</v>
      </c>
      <c r="CR124" s="230">
        <v>1338450</v>
      </c>
      <c r="CS124" s="230">
        <v>1110900</v>
      </c>
      <c r="CT124" s="230">
        <v>227550</v>
      </c>
      <c r="CU124" s="229">
        <v>0.20480000000000001</v>
      </c>
      <c r="CV124" s="230">
        <v>7197300</v>
      </c>
      <c r="CW124" s="230">
        <v>7219200</v>
      </c>
      <c r="CX124" s="230">
        <v>-21900</v>
      </c>
      <c r="CY124" s="229">
        <v>-3.0000000000000001E-3</v>
      </c>
      <c r="CZ124" s="228">
        <v>39.549999999999997</v>
      </c>
      <c r="DA124" s="228">
        <v>46.25</v>
      </c>
      <c r="DB124" s="228">
        <v>-6.7</v>
      </c>
      <c r="DC124" s="228">
        <v>-6.7</v>
      </c>
      <c r="DD124" s="228">
        <v>35.909999999999997</v>
      </c>
      <c r="DE124" s="228">
        <v>35.93</v>
      </c>
      <c r="DF124" s="228">
        <v>3.64</v>
      </c>
      <c r="DG124" s="228">
        <v>-0.02</v>
      </c>
      <c r="DH124" s="228">
        <v>39.35</v>
      </c>
      <c r="DI124" s="228">
        <v>43.94</v>
      </c>
      <c r="DJ124" s="228">
        <v>-4.59</v>
      </c>
      <c r="DK124" s="228">
        <v>-4.59</v>
      </c>
      <c r="DL124" s="228">
        <v>40.03</v>
      </c>
      <c r="DM124" s="228">
        <v>48.8</v>
      </c>
      <c r="DN124" s="228">
        <v>-8.77</v>
      </c>
      <c r="DO124" s="228">
        <v>-8.77</v>
      </c>
      <c r="DP124" s="228">
        <v>0.98</v>
      </c>
      <c r="DQ124" s="228">
        <v>0.95</v>
      </c>
      <c r="DR124" s="228">
        <v>0.03</v>
      </c>
      <c r="DS124" s="229">
        <v>3.1600000000000003E-2</v>
      </c>
      <c r="DT124" s="231">
        <v>5000</v>
      </c>
      <c r="DU124" s="231">
        <v>4300</v>
      </c>
      <c r="DV124" s="228">
        <v>0.95</v>
      </c>
      <c r="DW124" s="228">
        <v>0.91</v>
      </c>
      <c r="DX124" s="228">
        <v>0.04</v>
      </c>
      <c r="DY124" s="229">
        <v>4.3999999999999997E-2</v>
      </c>
      <c r="DZ124" s="229">
        <v>0.47470000000000001</v>
      </c>
      <c r="EA124" s="230">
        <v>1496250</v>
      </c>
      <c r="EB124" s="229">
        <v>-2.8500000000000001E-2</v>
      </c>
      <c r="EC124" s="229">
        <v>0.47470000000000001</v>
      </c>
      <c r="ED124" s="228">
        <v>-145.08000000000001</v>
      </c>
      <c r="EE124" s="229">
        <v>-3.1800000000000002E-2</v>
      </c>
      <c r="EF124" s="230">
        <v>101043</v>
      </c>
      <c r="EG124" s="230">
        <v>244353</v>
      </c>
      <c r="EH124" s="229">
        <v>-0.58650000000000002</v>
      </c>
      <c r="EI124" s="229">
        <v>0.36459999999999998</v>
      </c>
      <c r="EJ124" s="231">
        <v>134712.43</v>
      </c>
      <c r="EK124" s="231">
        <v>116502.76</v>
      </c>
      <c r="EL124" s="231">
        <v>134284.25</v>
      </c>
      <c r="EM124" s="231">
        <v>6162</v>
      </c>
      <c r="EN124" s="231">
        <v>385499.44</v>
      </c>
      <c r="EO124" s="231">
        <v>233622.85</v>
      </c>
      <c r="EP124" s="231">
        <v>151876.59</v>
      </c>
      <c r="EQ124" s="229">
        <v>0.65010000000000001</v>
      </c>
      <c r="ER124" s="231">
        <v>63289</v>
      </c>
      <c r="ES124" s="231">
        <v>57599</v>
      </c>
      <c r="ET124" s="231">
        <v>201012</v>
      </c>
      <c r="EU124" s="231">
        <v>12564965</v>
      </c>
      <c r="EV124" s="231">
        <v>321901</v>
      </c>
      <c r="EW124" s="231">
        <v>327975</v>
      </c>
      <c r="EX124" s="231">
        <v>-6074</v>
      </c>
      <c r="EY124" s="229">
        <v>-1.8499999999999999E-2</v>
      </c>
      <c r="EZ124" s="229">
        <v>0.57279999999999998</v>
      </c>
      <c r="FA124" s="227" t="s">
        <v>567</v>
      </c>
      <c r="FB124" s="161">
        <f t="shared" si="1"/>
        <v>2134650</v>
      </c>
    </row>
    <row r="125" spans="1:158" ht="17.25" thickBot="1" x14ac:dyDescent="0.3">
      <c r="A125" s="226">
        <v>46135</v>
      </c>
      <c r="B125" s="227" t="s">
        <v>170</v>
      </c>
      <c r="C125" s="227" t="s">
        <v>250</v>
      </c>
      <c r="D125" s="228">
        <v>425</v>
      </c>
      <c r="E125" s="231">
        <v>2345.1</v>
      </c>
      <c r="F125" s="231">
        <v>2312.8000000000002</v>
      </c>
      <c r="G125" s="228">
        <v>32.299999999999997</v>
      </c>
      <c r="H125" s="229">
        <v>1.4E-2</v>
      </c>
      <c r="I125" s="231">
        <v>2341.4</v>
      </c>
      <c r="J125" s="231">
        <v>2307.9</v>
      </c>
      <c r="K125" s="228">
        <v>33.5</v>
      </c>
      <c r="L125" s="229">
        <v>1.4500000000000001E-2</v>
      </c>
      <c r="M125" s="231">
        <v>2345.1</v>
      </c>
      <c r="N125" s="231">
        <v>2312.8000000000002</v>
      </c>
      <c r="O125" s="228">
        <v>32.299999999999997</v>
      </c>
      <c r="P125" s="229">
        <v>1.4E-2</v>
      </c>
      <c r="Q125" s="231">
        <v>2356.6999999999998</v>
      </c>
      <c r="R125" s="231">
        <v>2323.1999999999998</v>
      </c>
      <c r="S125" s="228">
        <v>33.5</v>
      </c>
      <c r="T125" s="229">
        <v>1.44E-2</v>
      </c>
      <c r="U125" s="231">
        <v>2371.9</v>
      </c>
      <c r="V125" s="231">
        <v>2338.9</v>
      </c>
      <c r="W125" s="228">
        <v>33</v>
      </c>
      <c r="X125" s="229">
        <v>1.41E-2</v>
      </c>
      <c r="Y125" s="228">
        <v>3.7</v>
      </c>
      <c r="Z125" s="228">
        <v>4.9000000000000004</v>
      </c>
      <c r="AA125" s="228">
        <v>-1.2</v>
      </c>
      <c r="AB125" s="229">
        <v>1.6000000000000001E-3</v>
      </c>
      <c r="AC125" s="228">
        <v>3.7</v>
      </c>
      <c r="AD125" s="228">
        <v>4.9000000000000004</v>
      </c>
      <c r="AE125" s="228">
        <v>-1.2</v>
      </c>
      <c r="AF125" s="229">
        <v>1.6000000000000001E-3</v>
      </c>
      <c r="AG125" s="228">
        <v>15.3</v>
      </c>
      <c r="AH125" s="228">
        <v>15.3</v>
      </c>
      <c r="AI125" s="228">
        <v>0</v>
      </c>
      <c r="AJ125" s="229">
        <v>6.4999999999999997E-3</v>
      </c>
      <c r="AK125" s="228">
        <v>30.5</v>
      </c>
      <c r="AL125" s="228">
        <v>31</v>
      </c>
      <c r="AM125" s="228">
        <v>-0.5</v>
      </c>
      <c r="AN125" s="229">
        <v>1.2999999999999999E-2</v>
      </c>
      <c r="AO125" s="231">
        <v>2352.77</v>
      </c>
      <c r="AP125" s="231">
        <v>2364.89</v>
      </c>
      <c r="AQ125" s="228">
        <v>0</v>
      </c>
      <c r="AR125" s="230">
        <v>5269150</v>
      </c>
      <c r="AS125" s="230">
        <v>783700</v>
      </c>
      <c r="AT125" s="230">
        <v>4485450</v>
      </c>
      <c r="AU125" s="229">
        <v>5.7233999999999998</v>
      </c>
      <c r="AV125" s="230">
        <v>2673250</v>
      </c>
      <c r="AW125" s="230">
        <v>484075</v>
      </c>
      <c r="AX125" s="230">
        <v>2189175</v>
      </c>
      <c r="AY125" s="229">
        <v>4.5224000000000002</v>
      </c>
      <c r="AZ125" s="230">
        <v>2565300</v>
      </c>
      <c r="BA125" s="230">
        <v>283050</v>
      </c>
      <c r="BB125" s="230">
        <v>2282250</v>
      </c>
      <c r="BC125" s="229">
        <v>8.0631000000000004</v>
      </c>
      <c r="BD125" s="230">
        <v>30600</v>
      </c>
      <c r="BE125" s="230">
        <v>16575</v>
      </c>
      <c r="BF125" s="230">
        <v>14025</v>
      </c>
      <c r="BG125" s="229">
        <v>0.84619999999999995</v>
      </c>
      <c r="BH125" s="230">
        <v>16791750</v>
      </c>
      <c r="BI125" s="230">
        <v>3001775</v>
      </c>
      <c r="BJ125" s="230">
        <v>13789975</v>
      </c>
      <c r="BK125" s="229">
        <v>4.5938999999999997</v>
      </c>
      <c r="BL125" s="230">
        <v>5307400</v>
      </c>
      <c r="BM125" s="230">
        <v>1710200</v>
      </c>
      <c r="BN125" s="230">
        <v>3597200</v>
      </c>
      <c r="BO125" s="229">
        <v>2.1034000000000002</v>
      </c>
      <c r="BP125" s="230">
        <v>27368300</v>
      </c>
      <c r="BQ125" s="230">
        <v>5495675</v>
      </c>
      <c r="BR125" s="230">
        <v>21872625</v>
      </c>
      <c r="BS125" s="229">
        <v>3.98</v>
      </c>
      <c r="BT125" s="230">
        <v>1159694</v>
      </c>
      <c r="BU125" s="230">
        <v>1017710</v>
      </c>
      <c r="BV125" s="230">
        <v>141984</v>
      </c>
      <c r="BW125" s="229">
        <v>0.13950000000000001</v>
      </c>
      <c r="BX125" s="230">
        <v>7333800</v>
      </c>
      <c r="BY125" s="230">
        <v>6863325</v>
      </c>
      <c r="BZ125" s="230">
        <v>470475</v>
      </c>
      <c r="CA125" s="229">
        <v>6.8500000000000005E-2</v>
      </c>
      <c r="CB125" s="230">
        <v>5136550</v>
      </c>
      <c r="CC125" s="230">
        <v>6328675</v>
      </c>
      <c r="CD125" s="230">
        <v>-1192125</v>
      </c>
      <c r="CE125" s="229">
        <v>-0.18840000000000001</v>
      </c>
      <c r="CF125" s="230">
        <v>2172600</v>
      </c>
      <c r="CG125" s="230">
        <v>508725</v>
      </c>
      <c r="CH125" s="230">
        <v>1663875</v>
      </c>
      <c r="CI125" s="229">
        <v>3.2707000000000002</v>
      </c>
      <c r="CJ125" s="230">
        <v>24650</v>
      </c>
      <c r="CK125" s="230">
        <v>25925</v>
      </c>
      <c r="CL125" s="230">
        <v>-1275</v>
      </c>
      <c r="CM125" s="229">
        <v>-4.9200000000000001E-2</v>
      </c>
      <c r="CN125" s="230">
        <v>2772275</v>
      </c>
      <c r="CO125" s="230">
        <v>2342600</v>
      </c>
      <c r="CP125" s="230">
        <v>429675</v>
      </c>
      <c r="CQ125" s="229">
        <v>0.18340000000000001</v>
      </c>
      <c r="CR125" s="230">
        <v>1925250</v>
      </c>
      <c r="CS125" s="230">
        <v>1753125</v>
      </c>
      <c r="CT125" s="230">
        <v>172125</v>
      </c>
      <c r="CU125" s="229">
        <v>9.8199999999999996E-2</v>
      </c>
      <c r="CV125" s="230">
        <v>12031325</v>
      </c>
      <c r="CW125" s="230">
        <v>10959050</v>
      </c>
      <c r="CX125" s="230">
        <v>1072275</v>
      </c>
      <c r="CY125" s="229">
        <v>9.7799999999999998E-2</v>
      </c>
      <c r="CZ125" s="228">
        <v>31.71</v>
      </c>
      <c r="DA125" s="228">
        <v>23.25</v>
      </c>
      <c r="DB125" s="228">
        <v>8.4600000000000009</v>
      </c>
      <c r="DC125" s="228">
        <v>8.4600000000000009</v>
      </c>
      <c r="DD125" s="228">
        <v>27.71</v>
      </c>
      <c r="DE125" s="228">
        <v>27.72</v>
      </c>
      <c r="DF125" s="228">
        <v>4</v>
      </c>
      <c r="DG125" s="228">
        <v>-0.01</v>
      </c>
      <c r="DH125" s="228">
        <v>31.8</v>
      </c>
      <c r="DI125" s="228">
        <v>23.07</v>
      </c>
      <c r="DJ125" s="228">
        <v>8.73</v>
      </c>
      <c r="DK125" s="228">
        <v>8.73</v>
      </c>
      <c r="DL125" s="228">
        <v>31.42</v>
      </c>
      <c r="DM125" s="228">
        <v>23.57</v>
      </c>
      <c r="DN125" s="228">
        <v>7.85</v>
      </c>
      <c r="DO125" s="228">
        <v>7.85</v>
      </c>
      <c r="DP125" s="228">
        <v>0.69</v>
      </c>
      <c r="DQ125" s="228">
        <v>0.75</v>
      </c>
      <c r="DR125" s="228">
        <v>-0.06</v>
      </c>
      <c r="DS125" s="229">
        <v>-0.08</v>
      </c>
      <c r="DT125" s="231">
        <v>2400</v>
      </c>
      <c r="DU125" s="231">
        <v>2300</v>
      </c>
      <c r="DV125" s="228">
        <v>0.32</v>
      </c>
      <c r="DW125" s="228">
        <v>0.56999999999999995</v>
      </c>
      <c r="DX125" s="228">
        <v>-0.25</v>
      </c>
      <c r="DY125" s="229">
        <v>-0.43859999999999999</v>
      </c>
      <c r="DZ125" s="229">
        <v>0.29959999999999998</v>
      </c>
      <c r="EA125" s="230">
        <v>534650</v>
      </c>
      <c r="EB125" s="229">
        <v>4.8999999999999998E-3</v>
      </c>
      <c r="EC125" s="229">
        <v>0.29959999999999998</v>
      </c>
      <c r="ED125" s="228">
        <v>12.12</v>
      </c>
      <c r="EE125" s="229">
        <v>5.1999999999999998E-3</v>
      </c>
      <c r="EF125" s="230">
        <v>524027</v>
      </c>
      <c r="EG125" s="230">
        <v>631213</v>
      </c>
      <c r="EH125" s="229">
        <v>-0.16980000000000001</v>
      </c>
      <c r="EI125" s="229">
        <v>0.45190000000000002</v>
      </c>
      <c r="EJ125" s="231">
        <v>406167.62</v>
      </c>
      <c r="EK125" s="231">
        <v>123131.23</v>
      </c>
      <c r="EL125" s="231">
        <v>124287.82</v>
      </c>
      <c r="EM125" s="231">
        <v>2127</v>
      </c>
      <c r="EN125" s="231">
        <v>653586.67000000004</v>
      </c>
      <c r="EO125" s="231">
        <v>128739.22</v>
      </c>
      <c r="EP125" s="231">
        <v>524847.44999999995</v>
      </c>
      <c r="EQ125" s="229">
        <v>4.0768000000000004</v>
      </c>
      <c r="ER125" s="231">
        <v>66570</v>
      </c>
      <c r="ES125" s="231">
        <v>43201</v>
      </c>
      <c r="ET125" s="231">
        <v>172244</v>
      </c>
      <c r="EU125" s="231">
        <v>32222448</v>
      </c>
      <c r="EV125" s="231">
        <v>282015</v>
      </c>
      <c r="EW125" s="231">
        <v>253663</v>
      </c>
      <c r="EX125" s="231">
        <v>28352</v>
      </c>
      <c r="EY125" s="229">
        <v>0.1118</v>
      </c>
      <c r="EZ125" s="229">
        <v>0.37340000000000001</v>
      </c>
      <c r="FA125" s="227" t="s">
        <v>555</v>
      </c>
      <c r="FB125" s="161">
        <f t="shared" si="1"/>
        <v>2197250</v>
      </c>
    </row>
    <row r="126" spans="1:158" ht="17.25" thickBot="1" x14ac:dyDescent="0.3">
      <c r="A126" s="226">
        <v>46135</v>
      </c>
      <c r="B126" s="227" t="s">
        <v>162</v>
      </c>
      <c r="C126" s="227" t="s">
        <v>251</v>
      </c>
      <c r="D126" s="228">
        <v>200</v>
      </c>
      <c r="E126" s="231">
        <v>3048.5</v>
      </c>
      <c r="F126" s="231">
        <v>3151.7</v>
      </c>
      <c r="G126" s="228">
        <v>-103.2</v>
      </c>
      <c r="H126" s="229">
        <v>-3.27E-2</v>
      </c>
      <c r="I126" s="231">
        <v>3047.7</v>
      </c>
      <c r="J126" s="231">
        <v>3149.7</v>
      </c>
      <c r="K126" s="228">
        <v>-102</v>
      </c>
      <c r="L126" s="229">
        <v>-3.2399999999999998E-2</v>
      </c>
      <c r="M126" s="231">
        <v>3048.5</v>
      </c>
      <c r="N126" s="231">
        <v>3151.7</v>
      </c>
      <c r="O126" s="228">
        <v>-103.2</v>
      </c>
      <c r="P126" s="229">
        <v>-3.27E-2</v>
      </c>
      <c r="Q126" s="231">
        <v>3065.9</v>
      </c>
      <c r="R126" s="231">
        <v>3169.8</v>
      </c>
      <c r="S126" s="228">
        <v>-103.9</v>
      </c>
      <c r="T126" s="229">
        <v>-3.2800000000000003E-2</v>
      </c>
      <c r="U126" s="231">
        <v>3085.9</v>
      </c>
      <c r="V126" s="231">
        <v>3190.5</v>
      </c>
      <c r="W126" s="228">
        <v>-104.6</v>
      </c>
      <c r="X126" s="229">
        <v>-3.2800000000000003E-2</v>
      </c>
      <c r="Y126" s="228">
        <v>0.8</v>
      </c>
      <c r="Z126" s="228">
        <v>2</v>
      </c>
      <c r="AA126" s="228">
        <v>-1.2</v>
      </c>
      <c r="AB126" s="229">
        <v>2.9999999999999997E-4</v>
      </c>
      <c r="AC126" s="228">
        <v>0.8</v>
      </c>
      <c r="AD126" s="228">
        <v>2</v>
      </c>
      <c r="AE126" s="228">
        <v>-1.2</v>
      </c>
      <c r="AF126" s="229">
        <v>2.9999999999999997E-4</v>
      </c>
      <c r="AG126" s="228">
        <v>18.2</v>
      </c>
      <c r="AH126" s="228">
        <v>20.100000000000001</v>
      </c>
      <c r="AI126" s="228">
        <v>-1.9</v>
      </c>
      <c r="AJ126" s="229">
        <v>6.0000000000000001E-3</v>
      </c>
      <c r="AK126" s="228">
        <v>38.200000000000003</v>
      </c>
      <c r="AL126" s="228">
        <v>40.799999999999997</v>
      </c>
      <c r="AM126" s="228">
        <v>-2.6</v>
      </c>
      <c r="AN126" s="229">
        <v>1.2500000000000001E-2</v>
      </c>
      <c r="AO126" s="231">
        <v>3064.99</v>
      </c>
      <c r="AP126" s="231">
        <v>3081.01</v>
      </c>
      <c r="AQ126" s="228">
        <v>0</v>
      </c>
      <c r="AR126" s="230">
        <v>10866400</v>
      </c>
      <c r="AS126" s="230">
        <v>4100600</v>
      </c>
      <c r="AT126" s="230">
        <v>6765800</v>
      </c>
      <c r="AU126" s="229">
        <v>1.65</v>
      </c>
      <c r="AV126" s="230">
        <v>5483800</v>
      </c>
      <c r="AW126" s="230">
        <v>2387000</v>
      </c>
      <c r="AX126" s="230">
        <v>3096800</v>
      </c>
      <c r="AY126" s="229">
        <v>1.2974000000000001</v>
      </c>
      <c r="AZ126" s="230">
        <v>4981600</v>
      </c>
      <c r="BA126" s="230">
        <v>866400</v>
      </c>
      <c r="BB126" s="230">
        <v>4115200</v>
      </c>
      <c r="BC126" s="229">
        <v>4.7497999999999996</v>
      </c>
      <c r="BD126" s="230">
        <v>401000</v>
      </c>
      <c r="BE126" s="230">
        <v>847200</v>
      </c>
      <c r="BF126" s="230">
        <v>-446200</v>
      </c>
      <c r="BG126" s="229">
        <v>-0.52669999999999995</v>
      </c>
      <c r="BH126" s="230">
        <v>10923000</v>
      </c>
      <c r="BI126" s="230">
        <v>7799600</v>
      </c>
      <c r="BJ126" s="230">
        <v>3123400</v>
      </c>
      <c r="BK126" s="229">
        <v>0.40050000000000002</v>
      </c>
      <c r="BL126" s="230">
        <v>6359400</v>
      </c>
      <c r="BM126" s="230">
        <v>4260800</v>
      </c>
      <c r="BN126" s="230">
        <v>2098600</v>
      </c>
      <c r="BO126" s="229">
        <v>0.49249999999999999</v>
      </c>
      <c r="BP126" s="230">
        <v>28148800</v>
      </c>
      <c r="BQ126" s="230">
        <v>16161000</v>
      </c>
      <c r="BR126" s="230">
        <v>11987800</v>
      </c>
      <c r="BS126" s="229">
        <v>0.74180000000000001</v>
      </c>
      <c r="BT126" s="230">
        <v>4815855</v>
      </c>
      <c r="BU126" s="230">
        <v>3149702</v>
      </c>
      <c r="BV126" s="230">
        <v>1666153</v>
      </c>
      <c r="BW126" s="229">
        <v>0.52900000000000003</v>
      </c>
      <c r="BX126" s="230">
        <v>20450800</v>
      </c>
      <c r="BY126" s="230">
        <v>20020200</v>
      </c>
      <c r="BZ126" s="230">
        <v>430600</v>
      </c>
      <c r="CA126" s="229">
        <v>2.1499999999999998E-2</v>
      </c>
      <c r="CB126" s="230">
        <v>9791800</v>
      </c>
      <c r="CC126" s="230">
        <v>14048000</v>
      </c>
      <c r="CD126" s="230">
        <v>-4256200</v>
      </c>
      <c r="CE126" s="229">
        <v>-0.30299999999999999</v>
      </c>
      <c r="CF126" s="230">
        <v>8420200</v>
      </c>
      <c r="CG126" s="230">
        <v>4079800</v>
      </c>
      <c r="CH126" s="230">
        <v>4340400</v>
      </c>
      <c r="CI126" s="229">
        <v>1.0639000000000001</v>
      </c>
      <c r="CJ126" s="230">
        <v>2238800</v>
      </c>
      <c r="CK126" s="230">
        <v>1892400</v>
      </c>
      <c r="CL126" s="230">
        <v>346400</v>
      </c>
      <c r="CM126" s="229">
        <v>0.183</v>
      </c>
      <c r="CN126" s="230">
        <v>5781600</v>
      </c>
      <c r="CO126" s="230">
        <v>5424000</v>
      </c>
      <c r="CP126" s="230">
        <v>357600</v>
      </c>
      <c r="CQ126" s="229">
        <v>6.59E-2</v>
      </c>
      <c r="CR126" s="230">
        <v>3721400</v>
      </c>
      <c r="CS126" s="230">
        <v>3656800</v>
      </c>
      <c r="CT126" s="230">
        <v>64600</v>
      </c>
      <c r="CU126" s="229">
        <v>1.77E-2</v>
      </c>
      <c r="CV126" s="230">
        <v>29953800</v>
      </c>
      <c r="CW126" s="230">
        <v>29101000</v>
      </c>
      <c r="CX126" s="230">
        <v>852800</v>
      </c>
      <c r="CY126" s="229">
        <v>2.93E-2</v>
      </c>
      <c r="CZ126" s="228">
        <v>35.99</v>
      </c>
      <c r="DA126" s="228">
        <v>34.520000000000003</v>
      </c>
      <c r="DB126" s="228">
        <v>1.47</v>
      </c>
      <c r="DC126" s="228">
        <v>1.47</v>
      </c>
      <c r="DD126" s="228">
        <v>35.83</v>
      </c>
      <c r="DE126" s="228">
        <v>35.64</v>
      </c>
      <c r="DF126" s="228">
        <v>0.16</v>
      </c>
      <c r="DG126" s="228">
        <v>0.19</v>
      </c>
      <c r="DH126" s="228">
        <v>36.29</v>
      </c>
      <c r="DI126" s="228">
        <v>34.94</v>
      </c>
      <c r="DJ126" s="228">
        <v>1.35</v>
      </c>
      <c r="DK126" s="228">
        <v>1.35</v>
      </c>
      <c r="DL126" s="228">
        <v>35.42</v>
      </c>
      <c r="DM126" s="228">
        <v>33.75</v>
      </c>
      <c r="DN126" s="228">
        <v>1.67</v>
      </c>
      <c r="DO126" s="228">
        <v>1.67</v>
      </c>
      <c r="DP126" s="228">
        <v>0.64</v>
      </c>
      <c r="DQ126" s="228">
        <v>0.67</v>
      </c>
      <c r="DR126" s="228">
        <v>-0.03</v>
      </c>
      <c r="DS126" s="229">
        <v>-4.48E-2</v>
      </c>
      <c r="DT126" s="231">
        <v>3300</v>
      </c>
      <c r="DU126" s="231">
        <v>2800</v>
      </c>
      <c r="DV126" s="228">
        <v>0.57999999999999996</v>
      </c>
      <c r="DW126" s="228">
        <v>0.55000000000000004</v>
      </c>
      <c r="DX126" s="228">
        <v>0.03</v>
      </c>
      <c r="DY126" s="229">
        <v>5.45E-2</v>
      </c>
      <c r="DZ126" s="229">
        <v>0.5212</v>
      </c>
      <c r="EA126" s="230">
        <v>5972200</v>
      </c>
      <c r="EB126" s="229">
        <v>5.7000000000000002E-3</v>
      </c>
      <c r="EC126" s="229">
        <v>0.5212</v>
      </c>
      <c r="ED126" s="228">
        <v>16.02</v>
      </c>
      <c r="EE126" s="229">
        <v>5.1999999999999998E-3</v>
      </c>
      <c r="EF126" s="230">
        <v>2946282</v>
      </c>
      <c r="EG126" s="230">
        <v>2120167</v>
      </c>
      <c r="EH126" s="229">
        <v>0.3896</v>
      </c>
      <c r="EI126" s="229">
        <v>0.61180000000000001</v>
      </c>
      <c r="EJ126" s="231">
        <v>352225.06</v>
      </c>
      <c r="EK126" s="231">
        <v>196482.13</v>
      </c>
      <c r="EL126" s="231">
        <v>333995.36</v>
      </c>
      <c r="EM126" s="231">
        <v>13102</v>
      </c>
      <c r="EN126" s="231">
        <v>882702.55</v>
      </c>
      <c r="EO126" s="231">
        <v>526549.68000000005</v>
      </c>
      <c r="EP126" s="231">
        <v>356152.87</v>
      </c>
      <c r="EQ126" s="229">
        <v>0.6764</v>
      </c>
      <c r="ER126" s="231">
        <v>188922</v>
      </c>
      <c r="ES126" s="231">
        <v>115118</v>
      </c>
      <c r="ET126" s="231">
        <v>625745</v>
      </c>
      <c r="EU126" s="231">
        <v>120808308</v>
      </c>
      <c r="EV126" s="231">
        <v>929786</v>
      </c>
      <c r="EW126" s="231">
        <v>923836</v>
      </c>
      <c r="EX126" s="231">
        <v>5950</v>
      </c>
      <c r="EY126" s="229">
        <v>6.4000000000000003E-3</v>
      </c>
      <c r="EZ126" s="229">
        <v>0.24790000000000001</v>
      </c>
      <c r="FA126" s="227" t="s">
        <v>566</v>
      </c>
      <c r="FB126" s="161">
        <f t="shared" si="1"/>
        <v>10659000</v>
      </c>
    </row>
    <row r="127" spans="1:158" ht="17.25" thickBot="1" x14ac:dyDescent="0.3">
      <c r="A127" s="226">
        <v>46135</v>
      </c>
      <c r="B127" s="227" t="s">
        <v>175</v>
      </c>
      <c r="C127" s="227" t="s">
        <v>253</v>
      </c>
      <c r="D127" s="228">
        <v>3000</v>
      </c>
      <c r="E127" s="228">
        <v>292.39999999999998</v>
      </c>
      <c r="F127" s="228">
        <v>294.8</v>
      </c>
      <c r="G127" s="228">
        <v>-2.4</v>
      </c>
      <c r="H127" s="229">
        <v>-8.0999999999999996E-3</v>
      </c>
      <c r="I127" s="228">
        <v>292.85000000000002</v>
      </c>
      <c r="J127" s="228">
        <v>295.05</v>
      </c>
      <c r="K127" s="228">
        <v>-2.2000000000000002</v>
      </c>
      <c r="L127" s="229">
        <v>-7.4999999999999997E-3</v>
      </c>
      <c r="M127" s="228">
        <v>292.39999999999998</v>
      </c>
      <c r="N127" s="228">
        <v>294.8</v>
      </c>
      <c r="O127" s="228">
        <v>-2.4</v>
      </c>
      <c r="P127" s="229">
        <v>-8.0999999999999996E-3</v>
      </c>
      <c r="Q127" s="228">
        <v>293.89999999999998</v>
      </c>
      <c r="R127" s="228">
        <v>296.45</v>
      </c>
      <c r="S127" s="228">
        <v>-2.5499999999999998</v>
      </c>
      <c r="T127" s="229">
        <v>-8.6E-3</v>
      </c>
      <c r="U127" s="228">
        <v>295.5</v>
      </c>
      <c r="V127" s="228">
        <v>297.60000000000002</v>
      </c>
      <c r="W127" s="228">
        <v>-2.1</v>
      </c>
      <c r="X127" s="229">
        <v>-7.1000000000000004E-3</v>
      </c>
      <c r="Y127" s="228">
        <v>-0.45</v>
      </c>
      <c r="Z127" s="228">
        <v>-0.25</v>
      </c>
      <c r="AA127" s="228">
        <v>-0.2</v>
      </c>
      <c r="AB127" s="229">
        <v>-1.5E-3</v>
      </c>
      <c r="AC127" s="228">
        <v>-0.45</v>
      </c>
      <c r="AD127" s="228">
        <v>-0.25</v>
      </c>
      <c r="AE127" s="228">
        <v>-0.2</v>
      </c>
      <c r="AF127" s="229">
        <v>-1.5E-3</v>
      </c>
      <c r="AG127" s="228">
        <v>1.05</v>
      </c>
      <c r="AH127" s="228">
        <v>1.4</v>
      </c>
      <c r="AI127" s="228">
        <v>-0.35</v>
      </c>
      <c r="AJ127" s="229">
        <v>3.5999999999999999E-3</v>
      </c>
      <c r="AK127" s="228">
        <v>2.65</v>
      </c>
      <c r="AL127" s="228">
        <v>2.5499999999999998</v>
      </c>
      <c r="AM127" s="228">
        <v>0.1</v>
      </c>
      <c r="AN127" s="229">
        <v>8.9999999999999993E-3</v>
      </c>
      <c r="AO127" s="228">
        <v>293.69</v>
      </c>
      <c r="AP127" s="228">
        <v>295.13</v>
      </c>
      <c r="AQ127" s="228">
        <v>0</v>
      </c>
      <c r="AR127" s="230">
        <v>23136000</v>
      </c>
      <c r="AS127" s="230">
        <v>42081000</v>
      </c>
      <c r="AT127" s="230">
        <v>-18945000</v>
      </c>
      <c r="AU127" s="229">
        <v>-0.45019999999999999</v>
      </c>
      <c r="AV127" s="230">
        <v>12306000</v>
      </c>
      <c r="AW127" s="230">
        <v>26649000</v>
      </c>
      <c r="AX127" s="230">
        <v>-14343000</v>
      </c>
      <c r="AY127" s="229">
        <v>-0.53820000000000001</v>
      </c>
      <c r="AZ127" s="230">
        <v>10779000</v>
      </c>
      <c r="BA127" s="230">
        <v>15309000</v>
      </c>
      <c r="BB127" s="230">
        <v>-4530000</v>
      </c>
      <c r="BC127" s="229">
        <v>-0.2959</v>
      </c>
      <c r="BD127" s="230">
        <v>51000</v>
      </c>
      <c r="BE127" s="230">
        <v>123000</v>
      </c>
      <c r="BF127" s="230">
        <v>-72000</v>
      </c>
      <c r="BG127" s="229">
        <v>-0.58540000000000003</v>
      </c>
      <c r="BH127" s="230">
        <v>15642000</v>
      </c>
      <c r="BI127" s="230">
        <v>92646000</v>
      </c>
      <c r="BJ127" s="230">
        <v>-77004000</v>
      </c>
      <c r="BK127" s="229">
        <v>-0.83120000000000005</v>
      </c>
      <c r="BL127" s="230">
        <v>8076000</v>
      </c>
      <c r="BM127" s="230">
        <v>52053000</v>
      </c>
      <c r="BN127" s="230">
        <v>-43977000</v>
      </c>
      <c r="BO127" s="229">
        <v>-0.84489999999999998</v>
      </c>
      <c r="BP127" s="230">
        <v>46854000</v>
      </c>
      <c r="BQ127" s="230">
        <v>186780000</v>
      </c>
      <c r="BR127" s="230">
        <v>-139926000</v>
      </c>
      <c r="BS127" s="229">
        <v>-0.74909999999999999</v>
      </c>
      <c r="BT127" s="230">
        <v>3247252</v>
      </c>
      <c r="BU127" s="230">
        <v>11348893</v>
      </c>
      <c r="BV127" s="230">
        <v>-8101641</v>
      </c>
      <c r="BW127" s="229">
        <v>-0.71389999999999998</v>
      </c>
      <c r="BX127" s="230">
        <v>57231000</v>
      </c>
      <c r="BY127" s="230">
        <v>58467000</v>
      </c>
      <c r="BZ127" s="230">
        <v>-1236000</v>
      </c>
      <c r="CA127" s="229">
        <v>-2.1100000000000001E-2</v>
      </c>
      <c r="CB127" s="230">
        <v>32409000</v>
      </c>
      <c r="CC127" s="230">
        <v>40821000</v>
      </c>
      <c r="CD127" s="230">
        <v>-8412000</v>
      </c>
      <c r="CE127" s="229">
        <v>-0.20610000000000001</v>
      </c>
      <c r="CF127" s="230">
        <v>24666000</v>
      </c>
      <c r="CG127" s="230">
        <v>17511000</v>
      </c>
      <c r="CH127" s="230">
        <v>7155000</v>
      </c>
      <c r="CI127" s="229">
        <v>0.40860000000000002</v>
      </c>
      <c r="CJ127" s="230">
        <v>156000</v>
      </c>
      <c r="CK127" s="230">
        <v>135000</v>
      </c>
      <c r="CL127" s="230">
        <v>21000</v>
      </c>
      <c r="CM127" s="229">
        <v>0.15559999999999999</v>
      </c>
      <c r="CN127" s="230">
        <v>17715000</v>
      </c>
      <c r="CO127" s="230">
        <v>18096000</v>
      </c>
      <c r="CP127" s="230">
        <v>-381000</v>
      </c>
      <c r="CQ127" s="229">
        <v>-2.1100000000000001E-2</v>
      </c>
      <c r="CR127" s="230">
        <v>15441000</v>
      </c>
      <c r="CS127" s="230">
        <v>16083000</v>
      </c>
      <c r="CT127" s="230">
        <v>-642000</v>
      </c>
      <c r="CU127" s="229">
        <v>-3.9899999999999998E-2</v>
      </c>
      <c r="CV127" s="230">
        <v>90387000</v>
      </c>
      <c r="CW127" s="230">
        <v>92646000</v>
      </c>
      <c r="CX127" s="230">
        <v>-2259000</v>
      </c>
      <c r="CY127" s="229">
        <v>-2.4400000000000002E-2</v>
      </c>
      <c r="CZ127" s="228">
        <v>42.09</v>
      </c>
      <c r="DA127" s="228">
        <v>38.39</v>
      </c>
      <c r="DB127" s="228">
        <v>3.7</v>
      </c>
      <c r="DC127" s="228">
        <v>3.7</v>
      </c>
      <c r="DD127" s="228">
        <v>43.09</v>
      </c>
      <c r="DE127" s="228">
        <v>43.18</v>
      </c>
      <c r="DF127" s="228">
        <v>-1</v>
      </c>
      <c r="DG127" s="228">
        <v>-0.09</v>
      </c>
      <c r="DH127" s="228">
        <v>42.11</v>
      </c>
      <c r="DI127" s="228">
        <v>36.869999999999997</v>
      </c>
      <c r="DJ127" s="228">
        <v>5.24</v>
      </c>
      <c r="DK127" s="228">
        <v>5.24</v>
      </c>
      <c r="DL127" s="228">
        <v>42.06</v>
      </c>
      <c r="DM127" s="228">
        <v>41.09</v>
      </c>
      <c r="DN127" s="228">
        <v>0.97</v>
      </c>
      <c r="DO127" s="228">
        <v>0.97</v>
      </c>
      <c r="DP127" s="228">
        <v>0.87</v>
      </c>
      <c r="DQ127" s="228">
        <v>0.89</v>
      </c>
      <c r="DR127" s="228">
        <v>-0.02</v>
      </c>
      <c r="DS127" s="229">
        <v>-2.2499999999999999E-2</v>
      </c>
      <c r="DT127" s="228">
        <v>300</v>
      </c>
      <c r="DU127" s="228">
        <v>250</v>
      </c>
      <c r="DV127" s="228">
        <v>0.52</v>
      </c>
      <c r="DW127" s="228">
        <v>0.56000000000000005</v>
      </c>
      <c r="DX127" s="228">
        <v>-0.04</v>
      </c>
      <c r="DY127" s="229">
        <v>-7.1400000000000005E-2</v>
      </c>
      <c r="DZ127" s="229">
        <v>0.43369999999999997</v>
      </c>
      <c r="EA127" s="230">
        <v>17646000</v>
      </c>
      <c r="EB127" s="229">
        <v>5.1000000000000004E-3</v>
      </c>
      <c r="EC127" s="229">
        <v>0.43369999999999997</v>
      </c>
      <c r="ED127" s="228">
        <v>1.44</v>
      </c>
      <c r="EE127" s="229">
        <v>4.8999999999999998E-3</v>
      </c>
      <c r="EF127" s="230">
        <v>1494870</v>
      </c>
      <c r="EG127" s="230">
        <v>3229014</v>
      </c>
      <c r="EH127" s="229">
        <v>-0.53710000000000002</v>
      </c>
      <c r="EI127" s="229">
        <v>0.46029999999999999</v>
      </c>
      <c r="EJ127" s="231">
        <v>47921.36</v>
      </c>
      <c r="EK127" s="231">
        <v>22922.37</v>
      </c>
      <c r="EL127" s="231">
        <v>68104.12</v>
      </c>
      <c r="EM127" s="231">
        <v>5455</v>
      </c>
      <c r="EN127" s="231">
        <v>138947.85</v>
      </c>
      <c r="EO127" s="231">
        <v>551641.07999999996</v>
      </c>
      <c r="EP127" s="231">
        <v>-412693.23</v>
      </c>
      <c r="EQ127" s="229">
        <v>-0.74809999999999999</v>
      </c>
      <c r="ER127" s="231">
        <v>51511</v>
      </c>
      <c r="ES127" s="231">
        <v>41370</v>
      </c>
      <c r="ET127" s="231">
        <v>167718</v>
      </c>
      <c r="EU127" s="231">
        <v>82205057</v>
      </c>
      <c r="EV127" s="231">
        <v>260599</v>
      </c>
      <c r="EW127" s="231">
        <v>268281</v>
      </c>
      <c r="EX127" s="231">
        <v>-7682</v>
      </c>
      <c r="EY127" s="229">
        <v>-2.86E-2</v>
      </c>
      <c r="EZ127" s="229">
        <v>1.0994999999999999</v>
      </c>
      <c r="FA127" s="227" t="s">
        <v>567</v>
      </c>
      <c r="FB127" s="161">
        <f t="shared" si="1"/>
        <v>24822000</v>
      </c>
    </row>
    <row r="128" spans="1:158" ht="17.25" thickBot="1" x14ac:dyDescent="0.3">
      <c r="A128" s="226">
        <v>46135</v>
      </c>
      <c r="B128" s="227" t="s">
        <v>170</v>
      </c>
      <c r="C128" s="227" t="s">
        <v>670</v>
      </c>
      <c r="D128" s="228">
        <v>225</v>
      </c>
      <c r="E128" s="231">
        <v>2291.8000000000002</v>
      </c>
      <c r="F128" s="231">
        <v>2228.6999999999998</v>
      </c>
      <c r="G128" s="228">
        <v>63.1</v>
      </c>
      <c r="H128" s="229">
        <v>2.8299999999999999E-2</v>
      </c>
      <c r="I128" s="231">
        <v>2292.9</v>
      </c>
      <c r="J128" s="231">
        <v>2235</v>
      </c>
      <c r="K128" s="228">
        <v>57.9</v>
      </c>
      <c r="L128" s="229">
        <v>2.5899999999999999E-2</v>
      </c>
      <c r="M128" s="231">
        <v>2291.8000000000002</v>
      </c>
      <c r="N128" s="231">
        <v>2228.6999999999998</v>
      </c>
      <c r="O128" s="228">
        <v>63.1</v>
      </c>
      <c r="P128" s="229">
        <v>2.8299999999999999E-2</v>
      </c>
      <c r="Q128" s="231">
        <v>2280.5</v>
      </c>
      <c r="R128" s="231">
        <v>2228.5</v>
      </c>
      <c r="S128" s="228">
        <v>52</v>
      </c>
      <c r="T128" s="229">
        <v>2.3300000000000001E-2</v>
      </c>
      <c r="U128" s="231">
        <v>2280.9</v>
      </c>
      <c r="V128" s="231">
        <v>2235</v>
      </c>
      <c r="W128" s="228">
        <v>45.9</v>
      </c>
      <c r="X128" s="229">
        <v>2.0500000000000001E-2</v>
      </c>
      <c r="Y128" s="228">
        <v>-1.1000000000000001</v>
      </c>
      <c r="Z128" s="228">
        <v>-6.3</v>
      </c>
      <c r="AA128" s="228">
        <v>5.2</v>
      </c>
      <c r="AB128" s="229">
        <v>-5.0000000000000001E-4</v>
      </c>
      <c r="AC128" s="228">
        <v>-1.1000000000000001</v>
      </c>
      <c r="AD128" s="228">
        <v>-6.3</v>
      </c>
      <c r="AE128" s="228">
        <v>5.2</v>
      </c>
      <c r="AF128" s="229">
        <v>-5.0000000000000001E-4</v>
      </c>
      <c r="AG128" s="228">
        <v>-12.4</v>
      </c>
      <c r="AH128" s="228">
        <v>-6.5</v>
      </c>
      <c r="AI128" s="228">
        <v>-5.9</v>
      </c>
      <c r="AJ128" s="229">
        <v>-5.4000000000000003E-3</v>
      </c>
      <c r="AK128" s="228">
        <v>-12</v>
      </c>
      <c r="AL128" s="228">
        <v>0</v>
      </c>
      <c r="AM128" s="228">
        <v>-12</v>
      </c>
      <c r="AN128" s="229">
        <v>-5.1999999999999998E-3</v>
      </c>
      <c r="AO128" s="231">
        <v>2282.5500000000002</v>
      </c>
      <c r="AP128" s="231">
        <v>2270.04</v>
      </c>
      <c r="AQ128" s="228">
        <v>0</v>
      </c>
      <c r="AR128" s="230">
        <v>3980700</v>
      </c>
      <c r="AS128" s="230">
        <v>747000</v>
      </c>
      <c r="AT128" s="230">
        <v>3233700</v>
      </c>
      <c r="AU128" s="229">
        <v>4.3289</v>
      </c>
      <c r="AV128" s="230">
        <v>1974825</v>
      </c>
      <c r="AW128" s="230">
        <v>471600</v>
      </c>
      <c r="AX128" s="230">
        <v>1503225</v>
      </c>
      <c r="AY128" s="229">
        <v>3.1875</v>
      </c>
      <c r="AZ128" s="230">
        <v>1989900</v>
      </c>
      <c r="BA128" s="230">
        <v>273600</v>
      </c>
      <c r="BB128" s="230">
        <v>1716300</v>
      </c>
      <c r="BC128" s="229">
        <v>6.2729999999999997</v>
      </c>
      <c r="BD128" s="230">
        <v>15975</v>
      </c>
      <c r="BE128" s="230">
        <v>1800</v>
      </c>
      <c r="BF128" s="230">
        <v>14175</v>
      </c>
      <c r="BG128" s="229">
        <v>7.875</v>
      </c>
      <c r="BH128" s="230">
        <v>5702175</v>
      </c>
      <c r="BI128" s="230">
        <v>1862775</v>
      </c>
      <c r="BJ128" s="230">
        <v>3839400</v>
      </c>
      <c r="BK128" s="229">
        <v>2.0611000000000002</v>
      </c>
      <c r="BL128" s="230">
        <v>2218725</v>
      </c>
      <c r="BM128" s="230">
        <v>805050</v>
      </c>
      <c r="BN128" s="230">
        <v>1413675</v>
      </c>
      <c r="BO128" s="229">
        <v>1.756</v>
      </c>
      <c r="BP128" s="230">
        <v>11901600</v>
      </c>
      <c r="BQ128" s="230">
        <v>3414825</v>
      </c>
      <c r="BR128" s="230">
        <v>8486775</v>
      </c>
      <c r="BS128" s="229">
        <v>2.4853000000000001</v>
      </c>
      <c r="BT128" s="230">
        <v>1106817</v>
      </c>
      <c r="BU128" s="230">
        <v>429532</v>
      </c>
      <c r="BV128" s="230">
        <v>677285</v>
      </c>
      <c r="BW128" s="229">
        <v>1.5768</v>
      </c>
      <c r="BX128" s="230">
        <v>3280725</v>
      </c>
      <c r="BY128" s="230">
        <v>3258900</v>
      </c>
      <c r="BZ128" s="230">
        <v>21825</v>
      </c>
      <c r="CA128" s="229">
        <v>6.7000000000000002E-3</v>
      </c>
      <c r="CB128" s="230">
        <v>1594350</v>
      </c>
      <c r="CC128" s="230">
        <v>2835450</v>
      </c>
      <c r="CD128" s="230">
        <v>-1241100</v>
      </c>
      <c r="CE128" s="229">
        <v>-0.43769999999999998</v>
      </c>
      <c r="CF128" s="230">
        <v>1669050</v>
      </c>
      <c r="CG128" s="230">
        <v>415575</v>
      </c>
      <c r="CH128" s="230">
        <v>1253475</v>
      </c>
      <c r="CI128" s="229">
        <v>3.0162</v>
      </c>
      <c r="CJ128" s="230">
        <v>17325</v>
      </c>
      <c r="CK128" s="230">
        <v>7875</v>
      </c>
      <c r="CL128" s="230">
        <v>9450</v>
      </c>
      <c r="CM128" s="229">
        <v>1.2</v>
      </c>
      <c r="CN128" s="230">
        <v>857925</v>
      </c>
      <c r="CO128" s="230">
        <v>742500</v>
      </c>
      <c r="CP128" s="230">
        <v>115425</v>
      </c>
      <c r="CQ128" s="229">
        <v>0.1555</v>
      </c>
      <c r="CR128" s="230">
        <v>849150</v>
      </c>
      <c r="CS128" s="230">
        <v>587700</v>
      </c>
      <c r="CT128" s="230">
        <v>261450</v>
      </c>
      <c r="CU128" s="229">
        <v>0.44490000000000002</v>
      </c>
      <c r="CV128" s="230">
        <v>4987800</v>
      </c>
      <c r="CW128" s="230">
        <v>4589100</v>
      </c>
      <c r="CX128" s="230">
        <v>398700</v>
      </c>
      <c r="CY128" s="229">
        <v>8.6900000000000005E-2</v>
      </c>
      <c r="CZ128" s="228">
        <v>34.85</v>
      </c>
      <c r="DA128" s="228">
        <v>26.39</v>
      </c>
      <c r="DB128" s="228">
        <v>8.4600000000000009</v>
      </c>
      <c r="DC128" s="228">
        <v>8.4600000000000009</v>
      </c>
      <c r="DD128" s="228">
        <v>33.9</v>
      </c>
      <c r="DE128" s="228">
        <v>33.81</v>
      </c>
      <c r="DF128" s="228">
        <v>0.95</v>
      </c>
      <c r="DG128" s="228">
        <v>0.09</v>
      </c>
      <c r="DH128" s="228">
        <v>34.880000000000003</v>
      </c>
      <c r="DI128" s="228">
        <v>23.95</v>
      </c>
      <c r="DJ128" s="228">
        <v>10.93</v>
      </c>
      <c r="DK128" s="228">
        <v>10.93</v>
      </c>
      <c r="DL128" s="228">
        <v>34.64</v>
      </c>
      <c r="DM128" s="228">
        <v>32.03</v>
      </c>
      <c r="DN128" s="228">
        <v>2.61</v>
      </c>
      <c r="DO128" s="228">
        <v>2.61</v>
      </c>
      <c r="DP128" s="228">
        <v>0.99</v>
      </c>
      <c r="DQ128" s="228">
        <v>0.79</v>
      </c>
      <c r="DR128" s="228">
        <v>0.2</v>
      </c>
      <c r="DS128" s="229">
        <v>0.25319999999999998</v>
      </c>
      <c r="DT128" s="231">
        <v>2360</v>
      </c>
      <c r="DU128" s="231">
        <v>2220</v>
      </c>
      <c r="DV128" s="228">
        <v>0.39</v>
      </c>
      <c r="DW128" s="228">
        <v>0.43</v>
      </c>
      <c r="DX128" s="228">
        <v>-0.04</v>
      </c>
      <c r="DY128" s="229">
        <v>-9.2999999999999999E-2</v>
      </c>
      <c r="DZ128" s="229">
        <v>0.51400000000000001</v>
      </c>
      <c r="EA128" s="230">
        <v>423450</v>
      </c>
      <c r="EB128" s="229">
        <v>-4.8999999999999998E-3</v>
      </c>
      <c r="EC128" s="229">
        <v>0.51400000000000001</v>
      </c>
      <c r="ED128" s="228">
        <v>-12.51</v>
      </c>
      <c r="EE128" s="229">
        <v>-5.4999999999999997E-3</v>
      </c>
      <c r="EF128" s="230">
        <v>479444</v>
      </c>
      <c r="EG128" s="230">
        <v>220489</v>
      </c>
      <c r="EH128" s="229">
        <v>1.1745000000000001</v>
      </c>
      <c r="EI128" s="229">
        <v>0.43319999999999997</v>
      </c>
      <c r="EJ128" s="231">
        <v>133885.65</v>
      </c>
      <c r="EK128" s="231">
        <v>47477.59</v>
      </c>
      <c r="EL128" s="231">
        <v>90608.7</v>
      </c>
      <c r="EM128" s="231">
        <v>2428</v>
      </c>
      <c r="EN128" s="231">
        <v>271971.94</v>
      </c>
      <c r="EO128" s="231">
        <v>76063.460000000006</v>
      </c>
      <c r="EP128" s="231">
        <v>195908.48000000001</v>
      </c>
      <c r="EQ128" s="229">
        <v>2.5756000000000001</v>
      </c>
      <c r="ER128" s="231">
        <v>19459</v>
      </c>
      <c r="ES128" s="231">
        <v>17921</v>
      </c>
      <c r="ET128" s="231">
        <v>74997</v>
      </c>
      <c r="EU128" s="231">
        <v>16926669</v>
      </c>
      <c r="EV128" s="231">
        <v>112377</v>
      </c>
      <c r="EW128" s="231">
        <v>101326</v>
      </c>
      <c r="EX128" s="231">
        <v>11051</v>
      </c>
      <c r="EY128" s="229">
        <v>0.1091</v>
      </c>
      <c r="EZ128" s="229">
        <v>0.29470000000000002</v>
      </c>
      <c r="FA128" s="227" t="s">
        <v>555</v>
      </c>
      <c r="FB128" s="161">
        <f t="shared" si="1"/>
        <v>1686375</v>
      </c>
    </row>
    <row r="129" spans="1:158" ht="17.25" thickBot="1" x14ac:dyDescent="0.3">
      <c r="A129" s="226">
        <v>46135</v>
      </c>
      <c r="B129" s="227" t="s">
        <v>168</v>
      </c>
      <c r="C129" s="227" t="s">
        <v>254</v>
      </c>
      <c r="D129" s="228">
        <v>1200</v>
      </c>
      <c r="E129" s="228">
        <v>777.75</v>
      </c>
      <c r="F129" s="228">
        <v>773.8</v>
      </c>
      <c r="G129" s="228">
        <v>3.95</v>
      </c>
      <c r="H129" s="229">
        <v>5.1000000000000004E-3</v>
      </c>
      <c r="I129" s="228">
        <v>778.9</v>
      </c>
      <c r="J129" s="228">
        <v>772.5</v>
      </c>
      <c r="K129" s="228">
        <v>6.4</v>
      </c>
      <c r="L129" s="229">
        <v>8.3000000000000001E-3</v>
      </c>
      <c r="M129" s="228">
        <v>777.75</v>
      </c>
      <c r="N129" s="228">
        <v>773.8</v>
      </c>
      <c r="O129" s="228">
        <v>3.95</v>
      </c>
      <c r="P129" s="229">
        <v>5.1000000000000004E-3</v>
      </c>
      <c r="Q129" s="228">
        <v>782.15</v>
      </c>
      <c r="R129" s="228">
        <v>777.8</v>
      </c>
      <c r="S129" s="228">
        <v>4.3499999999999996</v>
      </c>
      <c r="T129" s="229">
        <v>5.5999999999999999E-3</v>
      </c>
      <c r="U129" s="228">
        <v>785.65</v>
      </c>
      <c r="V129" s="228">
        <v>780.65</v>
      </c>
      <c r="W129" s="228">
        <v>5</v>
      </c>
      <c r="X129" s="229">
        <v>6.4000000000000003E-3</v>
      </c>
      <c r="Y129" s="228">
        <v>-1.1499999999999999</v>
      </c>
      <c r="Z129" s="228">
        <v>1.3</v>
      </c>
      <c r="AA129" s="228">
        <v>-2.4500000000000002</v>
      </c>
      <c r="AB129" s="229">
        <v>-1.5E-3</v>
      </c>
      <c r="AC129" s="228">
        <v>-1.1499999999999999</v>
      </c>
      <c r="AD129" s="228">
        <v>1.3</v>
      </c>
      <c r="AE129" s="228">
        <v>-2.4500000000000002</v>
      </c>
      <c r="AF129" s="229">
        <v>-1.5E-3</v>
      </c>
      <c r="AG129" s="228">
        <v>3.25</v>
      </c>
      <c r="AH129" s="228">
        <v>5.3</v>
      </c>
      <c r="AI129" s="228">
        <v>-2.0499999999999998</v>
      </c>
      <c r="AJ129" s="229">
        <v>4.1999999999999997E-3</v>
      </c>
      <c r="AK129" s="228">
        <v>6.75</v>
      </c>
      <c r="AL129" s="228">
        <v>8.15</v>
      </c>
      <c r="AM129" s="228">
        <v>-1.4</v>
      </c>
      <c r="AN129" s="229">
        <v>8.6999999999999994E-3</v>
      </c>
      <c r="AO129" s="228">
        <v>772.6</v>
      </c>
      <c r="AP129" s="228">
        <v>776.79</v>
      </c>
      <c r="AQ129" s="228">
        <v>0</v>
      </c>
      <c r="AR129" s="230">
        <v>16882800</v>
      </c>
      <c r="AS129" s="230">
        <v>4082400</v>
      </c>
      <c r="AT129" s="230">
        <v>12800400</v>
      </c>
      <c r="AU129" s="229">
        <v>3.1355</v>
      </c>
      <c r="AV129" s="230">
        <v>9354000</v>
      </c>
      <c r="AW129" s="230">
        <v>3214800</v>
      </c>
      <c r="AX129" s="230">
        <v>6139200</v>
      </c>
      <c r="AY129" s="229">
        <v>1.9097</v>
      </c>
      <c r="AZ129" s="230">
        <v>7507200</v>
      </c>
      <c r="BA129" s="230">
        <v>828000</v>
      </c>
      <c r="BB129" s="230">
        <v>6679200</v>
      </c>
      <c r="BC129" s="229">
        <v>8.0667000000000009</v>
      </c>
      <c r="BD129" s="230">
        <v>21600</v>
      </c>
      <c r="BE129" s="230">
        <v>39600</v>
      </c>
      <c r="BF129" s="230">
        <v>-18000</v>
      </c>
      <c r="BG129" s="229">
        <v>-0.45450000000000002</v>
      </c>
      <c r="BH129" s="230">
        <v>8359200</v>
      </c>
      <c r="BI129" s="230">
        <v>14720400</v>
      </c>
      <c r="BJ129" s="230">
        <v>-6361200</v>
      </c>
      <c r="BK129" s="229">
        <v>-0.43209999999999998</v>
      </c>
      <c r="BL129" s="230">
        <v>2512800</v>
      </c>
      <c r="BM129" s="230">
        <v>5635200</v>
      </c>
      <c r="BN129" s="230">
        <v>-3122400</v>
      </c>
      <c r="BO129" s="229">
        <v>-0.55410000000000004</v>
      </c>
      <c r="BP129" s="230">
        <v>27754800</v>
      </c>
      <c r="BQ129" s="230">
        <v>24438000</v>
      </c>
      <c r="BR129" s="230">
        <v>3316800</v>
      </c>
      <c r="BS129" s="229">
        <v>0.13569999999999999</v>
      </c>
      <c r="BT129" s="230">
        <v>2249604</v>
      </c>
      <c r="BU129" s="230">
        <v>1617821</v>
      </c>
      <c r="BV129" s="230">
        <v>631783</v>
      </c>
      <c r="BW129" s="229">
        <v>0.39050000000000001</v>
      </c>
      <c r="BX129" s="230">
        <v>23336400</v>
      </c>
      <c r="BY129" s="230">
        <v>24326400</v>
      </c>
      <c r="BZ129" s="230">
        <v>-990000</v>
      </c>
      <c r="CA129" s="229">
        <v>-4.07E-2</v>
      </c>
      <c r="CB129" s="230">
        <v>14278800</v>
      </c>
      <c r="CC129" s="230">
        <v>22210800</v>
      </c>
      <c r="CD129" s="230">
        <v>-7932000</v>
      </c>
      <c r="CE129" s="229">
        <v>-0.35709999999999997</v>
      </c>
      <c r="CF129" s="230">
        <v>7822800</v>
      </c>
      <c r="CG129" s="230">
        <v>891600</v>
      </c>
      <c r="CH129" s="230">
        <v>6931200</v>
      </c>
      <c r="CI129" s="229">
        <v>7.7739000000000003</v>
      </c>
      <c r="CJ129" s="230">
        <v>1234800</v>
      </c>
      <c r="CK129" s="230">
        <v>1224000</v>
      </c>
      <c r="CL129" s="230">
        <v>10800</v>
      </c>
      <c r="CM129" s="229">
        <v>8.8000000000000005E-3</v>
      </c>
      <c r="CN129" s="230">
        <v>4456800</v>
      </c>
      <c r="CO129" s="230">
        <v>4178400</v>
      </c>
      <c r="CP129" s="230">
        <v>278400</v>
      </c>
      <c r="CQ129" s="229">
        <v>6.6600000000000006E-2</v>
      </c>
      <c r="CR129" s="230">
        <v>4527600</v>
      </c>
      <c r="CS129" s="230">
        <v>4432800</v>
      </c>
      <c r="CT129" s="230">
        <v>94800</v>
      </c>
      <c r="CU129" s="229">
        <v>2.1399999999999999E-2</v>
      </c>
      <c r="CV129" s="230">
        <v>32320800</v>
      </c>
      <c r="CW129" s="230">
        <v>32937600</v>
      </c>
      <c r="CX129" s="230">
        <v>-616800</v>
      </c>
      <c r="CY129" s="229">
        <v>-1.8700000000000001E-2</v>
      </c>
      <c r="CZ129" s="228">
        <v>28.89</v>
      </c>
      <c r="DA129" s="228">
        <v>23.78</v>
      </c>
      <c r="DB129" s="228">
        <v>5.1100000000000003</v>
      </c>
      <c r="DC129" s="228">
        <v>5.1100000000000003</v>
      </c>
      <c r="DD129" s="228">
        <v>24.64</v>
      </c>
      <c r="DE129" s="228">
        <v>24.68</v>
      </c>
      <c r="DF129" s="228">
        <v>4.25</v>
      </c>
      <c r="DG129" s="228">
        <v>-0.04</v>
      </c>
      <c r="DH129" s="228">
        <v>28.88</v>
      </c>
      <c r="DI129" s="228">
        <v>22.21</v>
      </c>
      <c r="DJ129" s="228">
        <v>6.67</v>
      </c>
      <c r="DK129" s="228">
        <v>6.67</v>
      </c>
      <c r="DL129" s="228">
        <v>28.98</v>
      </c>
      <c r="DM129" s="228">
        <v>27.88</v>
      </c>
      <c r="DN129" s="228">
        <v>1.1000000000000001</v>
      </c>
      <c r="DO129" s="228">
        <v>1.1000000000000001</v>
      </c>
      <c r="DP129" s="228">
        <v>1.02</v>
      </c>
      <c r="DQ129" s="228">
        <v>1.06</v>
      </c>
      <c r="DR129" s="228">
        <v>-0.04</v>
      </c>
      <c r="DS129" s="229">
        <v>-3.7699999999999997E-2</v>
      </c>
      <c r="DT129" s="228">
        <v>800</v>
      </c>
      <c r="DU129" s="228">
        <v>700</v>
      </c>
      <c r="DV129" s="228">
        <v>0.3</v>
      </c>
      <c r="DW129" s="228">
        <v>0.38</v>
      </c>
      <c r="DX129" s="228">
        <v>-0.08</v>
      </c>
      <c r="DY129" s="229">
        <v>-0.21049999999999999</v>
      </c>
      <c r="DZ129" s="229">
        <v>0.3881</v>
      </c>
      <c r="EA129" s="230">
        <v>2115600</v>
      </c>
      <c r="EB129" s="229">
        <v>5.7000000000000002E-3</v>
      </c>
      <c r="EC129" s="229">
        <v>0.3881</v>
      </c>
      <c r="ED129" s="228">
        <v>4.1900000000000004</v>
      </c>
      <c r="EE129" s="229">
        <v>5.4000000000000003E-3</v>
      </c>
      <c r="EF129" s="230">
        <v>1335352</v>
      </c>
      <c r="EG129" s="230">
        <v>791294</v>
      </c>
      <c r="EH129" s="229">
        <v>0.68759999999999999</v>
      </c>
      <c r="EI129" s="229">
        <v>0.59360000000000002</v>
      </c>
      <c r="EJ129" s="231">
        <v>66164.13</v>
      </c>
      <c r="EK129" s="231">
        <v>19212.759999999998</v>
      </c>
      <c r="EL129" s="231">
        <v>130753.48</v>
      </c>
      <c r="EM129" s="231">
        <v>2622</v>
      </c>
      <c r="EN129" s="231">
        <v>216130.37</v>
      </c>
      <c r="EO129" s="231">
        <v>188813.14</v>
      </c>
      <c r="EP129" s="231">
        <v>27317.23</v>
      </c>
      <c r="EQ129" s="229">
        <v>0.1447</v>
      </c>
      <c r="ER129" s="231">
        <v>35171</v>
      </c>
      <c r="ES129" s="231">
        <v>33002</v>
      </c>
      <c r="ET129" s="231">
        <v>181941</v>
      </c>
      <c r="EU129" s="231">
        <v>77572761</v>
      </c>
      <c r="EV129" s="231">
        <v>250114</v>
      </c>
      <c r="EW129" s="231">
        <v>253431</v>
      </c>
      <c r="EX129" s="231">
        <v>-3317</v>
      </c>
      <c r="EY129" s="229">
        <v>-1.3100000000000001E-2</v>
      </c>
      <c r="EZ129" s="229">
        <v>0.41670000000000001</v>
      </c>
      <c r="FA129" s="227" t="s">
        <v>693</v>
      </c>
      <c r="FB129" s="161">
        <f t="shared" si="1"/>
        <v>9057600</v>
      </c>
    </row>
    <row r="130" spans="1:158" ht="17.25" thickBot="1" x14ac:dyDescent="0.3">
      <c r="A130" s="226">
        <v>46135</v>
      </c>
      <c r="B130" s="227" t="s">
        <v>162</v>
      </c>
      <c r="C130" s="227" t="s">
        <v>255</v>
      </c>
      <c r="D130" s="228">
        <v>50</v>
      </c>
      <c r="E130" s="231">
        <v>13139</v>
      </c>
      <c r="F130" s="231">
        <v>13322</v>
      </c>
      <c r="G130" s="228">
        <v>-183</v>
      </c>
      <c r="H130" s="229">
        <v>-1.37E-2</v>
      </c>
      <c r="I130" s="231">
        <v>13160</v>
      </c>
      <c r="J130" s="231">
        <v>13337</v>
      </c>
      <c r="K130" s="228">
        <v>-177</v>
      </c>
      <c r="L130" s="229">
        <v>-1.3299999999999999E-2</v>
      </c>
      <c r="M130" s="231">
        <v>13139</v>
      </c>
      <c r="N130" s="231">
        <v>13322</v>
      </c>
      <c r="O130" s="228">
        <v>-183</v>
      </c>
      <c r="P130" s="229">
        <v>-1.37E-2</v>
      </c>
      <c r="Q130" s="231">
        <v>13212</v>
      </c>
      <c r="R130" s="231">
        <v>13392</v>
      </c>
      <c r="S130" s="228">
        <v>-180</v>
      </c>
      <c r="T130" s="229">
        <v>-1.34E-2</v>
      </c>
      <c r="U130" s="231">
        <v>13291</v>
      </c>
      <c r="V130" s="231">
        <v>13489</v>
      </c>
      <c r="W130" s="228">
        <v>-198</v>
      </c>
      <c r="X130" s="229">
        <v>-1.47E-2</v>
      </c>
      <c r="Y130" s="228">
        <v>-21</v>
      </c>
      <c r="Z130" s="228">
        <v>-15</v>
      </c>
      <c r="AA130" s="228">
        <v>-6</v>
      </c>
      <c r="AB130" s="229">
        <v>-1.6000000000000001E-3</v>
      </c>
      <c r="AC130" s="228">
        <v>-21</v>
      </c>
      <c r="AD130" s="228">
        <v>-15</v>
      </c>
      <c r="AE130" s="228">
        <v>-6</v>
      </c>
      <c r="AF130" s="229">
        <v>-1.6000000000000001E-3</v>
      </c>
      <c r="AG130" s="228">
        <v>52</v>
      </c>
      <c r="AH130" s="228">
        <v>55</v>
      </c>
      <c r="AI130" s="228">
        <v>-3</v>
      </c>
      <c r="AJ130" s="229">
        <v>4.0000000000000001E-3</v>
      </c>
      <c r="AK130" s="228">
        <v>131</v>
      </c>
      <c r="AL130" s="228">
        <v>152</v>
      </c>
      <c r="AM130" s="228">
        <v>-21</v>
      </c>
      <c r="AN130" s="229">
        <v>0.01</v>
      </c>
      <c r="AO130" s="231">
        <v>13175.2</v>
      </c>
      <c r="AP130" s="231">
        <v>13244.94</v>
      </c>
      <c r="AQ130" s="228">
        <v>0</v>
      </c>
      <c r="AR130" s="230">
        <v>2147200</v>
      </c>
      <c r="AS130" s="230">
        <v>1124700</v>
      </c>
      <c r="AT130" s="230">
        <v>1022500</v>
      </c>
      <c r="AU130" s="229">
        <v>0.90910000000000002</v>
      </c>
      <c r="AV130" s="230">
        <v>1132150</v>
      </c>
      <c r="AW130" s="230">
        <v>584700</v>
      </c>
      <c r="AX130" s="230">
        <v>547450</v>
      </c>
      <c r="AY130" s="229">
        <v>0.93630000000000002</v>
      </c>
      <c r="AZ130" s="230">
        <v>871850</v>
      </c>
      <c r="BA130" s="230">
        <v>353250</v>
      </c>
      <c r="BB130" s="230">
        <v>518600</v>
      </c>
      <c r="BC130" s="229">
        <v>1.4681</v>
      </c>
      <c r="BD130" s="230">
        <v>143200</v>
      </c>
      <c r="BE130" s="230">
        <v>186750</v>
      </c>
      <c r="BF130" s="230">
        <v>-43550</v>
      </c>
      <c r="BG130" s="229">
        <v>-0.23319999999999999</v>
      </c>
      <c r="BH130" s="230">
        <v>3243300</v>
      </c>
      <c r="BI130" s="230">
        <v>2552050</v>
      </c>
      <c r="BJ130" s="230">
        <v>691250</v>
      </c>
      <c r="BK130" s="229">
        <v>0.27089999999999997</v>
      </c>
      <c r="BL130" s="230">
        <v>1426500</v>
      </c>
      <c r="BM130" s="230">
        <v>1472050</v>
      </c>
      <c r="BN130" s="230">
        <v>-45550</v>
      </c>
      <c r="BO130" s="229">
        <v>-3.09E-2</v>
      </c>
      <c r="BP130" s="230">
        <v>6817000</v>
      </c>
      <c r="BQ130" s="230">
        <v>5148800</v>
      </c>
      <c r="BR130" s="230">
        <v>1668200</v>
      </c>
      <c r="BS130" s="229">
        <v>0.32400000000000001</v>
      </c>
      <c r="BT130" s="230">
        <v>561610</v>
      </c>
      <c r="BU130" s="230">
        <v>445706</v>
      </c>
      <c r="BV130" s="230">
        <v>115904</v>
      </c>
      <c r="BW130" s="229">
        <v>0.26</v>
      </c>
      <c r="BX130" s="230">
        <v>3709850</v>
      </c>
      <c r="BY130" s="230">
        <v>3760250</v>
      </c>
      <c r="BZ130" s="230">
        <v>-50400</v>
      </c>
      <c r="CA130" s="229">
        <v>-1.34E-2</v>
      </c>
      <c r="CB130" s="230">
        <v>1856800</v>
      </c>
      <c r="CC130" s="230">
        <v>2706300</v>
      </c>
      <c r="CD130" s="230">
        <v>-849500</v>
      </c>
      <c r="CE130" s="229">
        <v>-0.31390000000000001</v>
      </c>
      <c r="CF130" s="230">
        <v>1404350</v>
      </c>
      <c r="CG130" s="230">
        <v>742200</v>
      </c>
      <c r="CH130" s="230">
        <v>662150</v>
      </c>
      <c r="CI130" s="229">
        <v>0.8921</v>
      </c>
      <c r="CJ130" s="230">
        <v>448700</v>
      </c>
      <c r="CK130" s="230">
        <v>311750</v>
      </c>
      <c r="CL130" s="230">
        <v>136950</v>
      </c>
      <c r="CM130" s="229">
        <v>0.43930000000000002</v>
      </c>
      <c r="CN130" s="230">
        <v>2258550</v>
      </c>
      <c r="CO130" s="230">
        <v>2147800</v>
      </c>
      <c r="CP130" s="230">
        <v>110750</v>
      </c>
      <c r="CQ130" s="229">
        <v>5.16E-2</v>
      </c>
      <c r="CR130" s="230">
        <v>1135700</v>
      </c>
      <c r="CS130" s="230">
        <v>1150950</v>
      </c>
      <c r="CT130" s="230">
        <v>-15250</v>
      </c>
      <c r="CU130" s="229">
        <v>-1.32E-2</v>
      </c>
      <c r="CV130" s="230">
        <v>7104100</v>
      </c>
      <c r="CW130" s="230">
        <v>7059000</v>
      </c>
      <c r="CX130" s="230">
        <v>45100</v>
      </c>
      <c r="CY130" s="229">
        <v>6.4000000000000003E-3</v>
      </c>
      <c r="CZ130" s="228">
        <v>31.08</v>
      </c>
      <c r="DA130" s="228">
        <v>32.119999999999997</v>
      </c>
      <c r="DB130" s="228">
        <v>-1.04</v>
      </c>
      <c r="DC130" s="228">
        <v>-1.04</v>
      </c>
      <c r="DD130" s="228">
        <v>28.78</v>
      </c>
      <c r="DE130" s="228">
        <v>28.8</v>
      </c>
      <c r="DF130" s="228">
        <v>2.2999999999999998</v>
      </c>
      <c r="DG130" s="228">
        <v>-0.02</v>
      </c>
      <c r="DH130" s="228">
        <v>30.95</v>
      </c>
      <c r="DI130" s="228">
        <v>31.8</v>
      </c>
      <c r="DJ130" s="228">
        <v>-0.85</v>
      </c>
      <c r="DK130" s="228">
        <v>-0.85</v>
      </c>
      <c r="DL130" s="228">
        <v>31.36</v>
      </c>
      <c r="DM130" s="228">
        <v>32.68</v>
      </c>
      <c r="DN130" s="228">
        <v>-1.32</v>
      </c>
      <c r="DO130" s="228">
        <v>-1.32</v>
      </c>
      <c r="DP130" s="228">
        <v>0.5</v>
      </c>
      <c r="DQ130" s="228">
        <v>0.54</v>
      </c>
      <c r="DR130" s="228">
        <v>-0.04</v>
      </c>
      <c r="DS130" s="229">
        <v>-7.4099999999999999E-2</v>
      </c>
      <c r="DT130" s="231">
        <v>14000</v>
      </c>
      <c r="DU130" s="231">
        <v>13000</v>
      </c>
      <c r="DV130" s="228">
        <v>0.44</v>
      </c>
      <c r="DW130" s="228">
        <v>0.57999999999999996</v>
      </c>
      <c r="DX130" s="228">
        <v>-0.14000000000000001</v>
      </c>
      <c r="DY130" s="229">
        <v>-0.2414</v>
      </c>
      <c r="DZ130" s="229">
        <v>0.4995</v>
      </c>
      <c r="EA130" s="230">
        <v>1053950</v>
      </c>
      <c r="EB130" s="229">
        <v>5.5999999999999999E-3</v>
      </c>
      <c r="EC130" s="229">
        <v>0.4995</v>
      </c>
      <c r="ED130" s="228">
        <v>69.739999999999995</v>
      </c>
      <c r="EE130" s="229">
        <v>5.3E-3</v>
      </c>
      <c r="EF130" s="230">
        <v>325661</v>
      </c>
      <c r="EG130" s="230">
        <v>260734</v>
      </c>
      <c r="EH130" s="229">
        <v>0.249</v>
      </c>
      <c r="EI130" s="229">
        <v>0.57989999999999997</v>
      </c>
      <c r="EJ130" s="231">
        <v>447431.4</v>
      </c>
      <c r="EK130" s="231">
        <v>186385.88</v>
      </c>
      <c r="EL130" s="231">
        <v>283737.33</v>
      </c>
      <c r="EM130" s="231">
        <v>11378</v>
      </c>
      <c r="EN130" s="231">
        <v>917554.61</v>
      </c>
      <c r="EO130" s="231">
        <v>699547.64</v>
      </c>
      <c r="EP130" s="231">
        <v>218006.97</v>
      </c>
      <c r="EQ130" s="229">
        <v>0.31159999999999999</v>
      </c>
      <c r="ER130" s="231">
        <v>311835</v>
      </c>
      <c r="ES130" s="231">
        <v>145338</v>
      </c>
      <c r="ET130" s="231">
        <v>489144</v>
      </c>
      <c r="EU130" s="231">
        <v>19673414</v>
      </c>
      <c r="EV130" s="231">
        <v>946317</v>
      </c>
      <c r="EW130" s="231">
        <v>946374</v>
      </c>
      <c r="EX130" s="228">
        <v>-57</v>
      </c>
      <c r="EY130" s="229">
        <v>-1E-4</v>
      </c>
      <c r="EZ130" s="229">
        <v>0.36109999999999998</v>
      </c>
      <c r="FA130" s="227" t="s">
        <v>567</v>
      </c>
      <c r="FB130" s="161">
        <f t="shared" si="1"/>
        <v>1853050</v>
      </c>
    </row>
    <row r="131" spans="1:158" ht="17.25" thickBot="1" x14ac:dyDescent="0.3">
      <c r="A131" s="226">
        <v>46135</v>
      </c>
      <c r="B131" s="227" t="s">
        <v>170</v>
      </c>
      <c r="C131" s="227" t="s">
        <v>602</v>
      </c>
      <c r="D131" s="228">
        <v>525</v>
      </c>
      <c r="E131" s="231">
        <v>1008.4</v>
      </c>
      <c r="F131" s="231">
        <v>1002.8</v>
      </c>
      <c r="G131" s="228">
        <v>5.6</v>
      </c>
      <c r="H131" s="229">
        <v>5.5999999999999999E-3</v>
      </c>
      <c r="I131" s="231">
        <v>1006.75</v>
      </c>
      <c r="J131" s="231">
        <v>1005.35</v>
      </c>
      <c r="K131" s="228">
        <v>1.4</v>
      </c>
      <c r="L131" s="229">
        <v>1.4E-3</v>
      </c>
      <c r="M131" s="231">
        <v>1008.4</v>
      </c>
      <c r="N131" s="231">
        <v>1002.8</v>
      </c>
      <c r="O131" s="228">
        <v>5.6</v>
      </c>
      <c r="P131" s="229">
        <v>5.5999999999999999E-3</v>
      </c>
      <c r="Q131" s="231">
        <v>1013.25</v>
      </c>
      <c r="R131" s="231">
        <v>1009.05</v>
      </c>
      <c r="S131" s="228">
        <v>4.2</v>
      </c>
      <c r="T131" s="229">
        <v>4.1999999999999997E-3</v>
      </c>
      <c r="U131" s="231">
        <v>1019.85</v>
      </c>
      <c r="V131" s="231">
        <v>1015.9</v>
      </c>
      <c r="W131" s="228">
        <v>3.95</v>
      </c>
      <c r="X131" s="229">
        <v>3.8999999999999998E-3</v>
      </c>
      <c r="Y131" s="228">
        <v>1.65</v>
      </c>
      <c r="Z131" s="228">
        <v>-2.5499999999999998</v>
      </c>
      <c r="AA131" s="228">
        <v>4.2</v>
      </c>
      <c r="AB131" s="229">
        <v>1.6000000000000001E-3</v>
      </c>
      <c r="AC131" s="228">
        <v>1.65</v>
      </c>
      <c r="AD131" s="228">
        <v>-2.5499999999999998</v>
      </c>
      <c r="AE131" s="228">
        <v>4.2</v>
      </c>
      <c r="AF131" s="229">
        <v>1.6000000000000001E-3</v>
      </c>
      <c r="AG131" s="228">
        <v>6.5</v>
      </c>
      <c r="AH131" s="228">
        <v>3.7</v>
      </c>
      <c r="AI131" s="228">
        <v>2.8</v>
      </c>
      <c r="AJ131" s="229">
        <v>6.4999999999999997E-3</v>
      </c>
      <c r="AK131" s="228">
        <v>13.1</v>
      </c>
      <c r="AL131" s="228">
        <v>10.55</v>
      </c>
      <c r="AM131" s="228">
        <v>2.5499999999999998</v>
      </c>
      <c r="AN131" s="229">
        <v>1.2999999999999999E-2</v>
      </c>
      <c r="AO131" s="231">
        <v>1003.86</v>
      </c>
      <c r="AP131" s="231">
        <v>1008.75</v>
      </c>
      <c r="AQ131" s="228">
        <v>0</v>
      </c>
      <c r="AR131" s="230">
        <v>10263750</v>
      </c>
      <c r="AS131" s="230">
        <v>2922150</v>
      </c>
      <c r="AT131" s="230">
        <v>7341600</v>
      </c>
      <c r="AU131" s="229">
        <v>2.5124</v>
      </c>
      <c r="AV131" s="230">
        <v>5574975</v>
      </c>
      <c r="AW131" s="230">
        <v>1964025</v>
      </c>
      <c r="AX131" s="230">
        <v>3610950</v>
      </c>
      <c r="AY131" s="229">
        <v>1.8385</v>
      </c>
      <c r="AZ131" s="230">
        <v>4250925</v>
      </c>
      <c r="BA131" s="230">
        <v>831075</v>
      </c>
      <c r="BB131" s="230">
        <v>3419850</v>
      </c>
      <c r="BC131" s="229">
        <v>4.1150000000000002</v>
      </c>
      <c r="BD131" s="230">
        <v>437850</v>
      </c>
      <c r="BE131" s="230">
        <v>127050</v>
      </c>
      <c r="BF131" s="230">
        <v>310800</v>
      </c>
      <c r="BG131" s="229">
        <v>2.4462999999999999</v>
      </c>
      <c r="BH131" s="230">
        <v>6249600</v>
      </c>
      <c r="BI131" s="230">
        <v>5370750</v>
      </c>
      <c r="BJ131" s="230">
        <v>878850</v>
      </c>
      <c r="BK131" s="229">
        <v>0.1636</v>
      </c>
      <c r="BL131" s="230">
        <v>3812025</v>
      </c>
      <c r="BM131" s="230">
        <v>4998525</v>
      </c>
      <c r="BN131" s="230">
        <v>-1186500</v>
      </c>
      <c r="BO131" s="229">
        <v>-0.2374</v>
      </c>
      <c r="BP131" s="230">
        <v>20325375</v>
      </c>
      <c r="BQ131" s="230">
        <v>13291425</v>
      </c>
      <c r="BR131" s="230">
        <v>7033950</v>
      </c>
      <c r="BS131" s="229">
        <v>0.5292</v>
      </c>
      <c r="BT131" s="230">
        <v>1415132</v>
      </c>
      <c r="BU131" s="230">
        <v>1460875</v>
      </c>
      <c r="BV131" s="230">
        <v>-45743</v>
      </c>
      <c r="BW131" s="229">
        <v>-3.1300000000000001E-2</v>
      </c>
      <c r="BX131" s="230">
        <v>13833750</v>
      </c>
      <c r="BY131" s="230">
        <v>13919325</v>
      </c>
      <c r="BZ131" s="230">
        <v>-85575</v>
      </c>
      <c r="CA131" s="229">
        <v>-6.1000000000000004E-3</v>
      </c>
      <c r="CB131" s="230">
        <v>7754775</v>
      </c>
      <c r="CC131" s="230">
        <v>11966325</v>
      </c>
      <c r="CD131" s="230">
        <v>-4211550</v>
      </c>
      <c r="CE131" s="229">
        <v>-0.35199999999999998</v>
      </c>
      <c r="CF131" s="230">
        <v>5225850</v>
      </c>
      <c r="CG131" s="230">
        <v>1518825</v>
      </c>
      <c r="CH131" s="230">
        <v>3707025</v>
      </c>
      <c r="CI131" s="229">
        <v>2.4407000000000001</v>
      </c>
      <c r="CJ131" s="230">
        <v>853125</v>
      </c>
      <c r="CK131" s="230">
        <v>434175</v>
      </c>
      <c r="CL131" s="230">
        <v>418950</v>
      </c>
      <c r="CM131" s="229">
        <v>0.96489999999999998</v>
      </c>
      <c r="CN131" s="230">
        <v>4057725</v>
      </c>
      <c r="CO131" s="230">
        <v>4049325</v>
      </c>
      <c r="CP131" s="230">
        <v>8400</v>
      </c>
      <c r="CQ131" s="229">
        <v>2.0999999999999999E-3</v>
      </c>
      <c r="CR131" s="230">
        <v>2526300</v>
      </c>
      <c r="CS131" s="230">
        <v>2522625</v>
      </c>
      <c r="CT131" s="230">
        <v>3675</v>
      </c>
      <c r="CU131" s="229">
        <v>1.5E-3</v>
      </c>
      <c r="CV131" s="230">
        <v>20417775</v>
      </c>
      <c r="CW131" s="230">
        <v>20491275</v>
      </c>
      <c r="CX131" s="230">
        <v>-73500</v>
      </c>
      <c r="CY131" s="229">
        <v>-3.5999999999999999E-3</v>
      </c>
      <c r="CZ131" s="228">
        <v>29.98</v>
      </c>
      <c r="DA131" s="228">
        <v>26.85</v>
      </c>
      <c r="DB131" s="228">
        <v>3.13</v>
      </c>
      <c r="DC131" s="228">
        <v>3.13</v>
      </c>
      <c r="DD131" s="228">
        <v>36.020000000000003</v>
      </c>
      <c r="DE131" s="228">
        <v>36.11</v>
      </c>
      <c r="DF131" s="228">
        <v>-6.04</v>
      </c>
      <c r="DG131" s="228">
        <v>-0.09</v>
      </c>
      <c r="DH131" s="228">
        <v>29.96</v>
      </c>
      <c r="DI131" s="228">
        <v>26.82</v>
      </c>
      <c r="DJ131" s="228">
        <v>3.14</v>
      </c>
      <c r="DK131" s="228">
        <v>3.14</v>
      </c>
      <c r="DL131" s="228">
        <v>30.11</v>
      </c>
      <c r="DM131" s="228">
        <v>26.89</v>
      </c>
      <c r="DN131" s="228">
        <v>3.22</v>
      </c>
      <c r="DO131" s="228">
        <v>3.22</v>
      </c>
      <c r="DP131" s="228">
        <v>0.62</v>
      </c>
      <c r="DQ131" s="228">
        <v>0.62</v>
      </c>
      <c r="DR131" s="228">
        <v>0</v>
      </c>
      <c r="DS131" s="229">
        <v>0</v>
      </c>
      <c r="DT131" s="231">
        <v>1020</v>
      </c>
      <c r="DU131" s="231">
        <v>1000</v>
      </c>
      <c r="DV131" s="228">
        <v>0.61</v>
      </c>
      <c r="DW131" s="228">
        <v>0.93</v>
      </c>
      <c r="DX131" s="228">
        <v>-0.32</v>
      </c>
      <c r="DY131" s="229">
        <v>-0.34410000000000002</v>
      </c>
      <c r="DZ131" s="229">
        <v>0.43940000000000001</v>
      </c>
      <c r="EA131" s="230">
        <v>1953000</v>
      </c>
      <c r="EB131" s="229">
        <v>4.7999999999999996E-3</v>
      </c>
      <c r="EC131" s="229">
        <v>0.43940000000000001</v>
      </c>
      <c r="ED131" s="228">
        <v>4.8899999999999997</v>
      </c>
      <c r="EE131" s="229">
        <v>4.8999999999999998E-3</v>
      </c>
      <c r="EF131" s="230">
        <v>611557</v>
      </c>
      <c r="EG131" s="230">
        <v>639270</v>
      </c>
      <c r="EH131" s="229">
        <v>-4.3400000000000001E-2</v>
      </c>
      <c r="EI131" s="229">
        <v>0.43219999999999997</v>
      </c>
      <c r="EJ131" s="231">
        <v>64568.49</v>
      </c>
      <c r="EK131" s="231">
        <v>38251.550000000003</v>
      </c>
      <c r="EL131" s="231">
        <v>103289.86</v>
      </c>
      <c r="EM131" s="231">
        <v>4520</v>
      </c>
      <c r="EN131" s="231">
        <v>206109.9</v>
      </c>
      <c r="EO131" s="231">
        <v>135684.41</v>
      </c>
      <c r="EP131" s="231">
        <v>70425.490000000005</v>
      </c>
      <c r="EQ131" s="229">
        <v>0.51900000000000002</v>
      </c>
      <c r="ER131" s="231">
        <v>41544</v>
      </c>
      <c r="ES131" s="231">
        <v>24663</v>
      </c>
      <c r="ET131" s="231">
        <v>139851</v>
      </c>
      <c r="EU131" s="231">
        <v>111298748</v>
      </c>
      <c r="EV131" s="231">
        <v>206057</v>
      </c>
      <c r="EW131" s="231">
        <v>205744</v>
      </c>
      <c r="EX131" s="228">
        <v>313</v>
      </c>
      <c r="EY131" s="229">
        <v>1.5E-3</v>
      </c>
      <c r="EZ131" s="229">
        <v>0.1835</v>
      </c>
      <c r="FA131" s="227" t="s">
        <v>693</v>
      </c>
      <c r="FB131" s="161">
        <f t="shared" ref="FB131:FB138" si="2">BX131-CB131</f>
        <v>6078975</v>
      </c>
    </row>
    <row r="132" spans="1:158" ht="17.25" thickBot="1" x14ac:dyDescent="0.3">
      <c r="A132" s="226">
        <v>46135</v>
      </c>
      <c r="B132" s="227" t="s">
        <v>215</v>
      </c>
      <c r="C132" s="227" t="s">
        <v>671</v>
      </c>
      <c r="D132" s="228">
        <v>200</v>
      </c>
      <c r="E132" s="231">
        <v>2693.4</v>
      </c>
      <c r="F132" s="231">
        <v>2706.8</v>
      </c>
      <c r="G132" s="228">
        <v>-13.4</v>
      </c>
      <c r="H132" s="229">
        <v>-5.0000000000000001E-3</v>
      </c>
      <c r="I132" s="231">
        <v>2693.8</v>
      </c>
      <c r="J132" s="231">
        <v>2703.9</v>
      </c>
      <c r="K132" s="228">
        <v>-10.1</v>
      </c>
      <c r="L132" s="229">
        <v>-3.7000000000000002E-3</v>
      </c>
      <c r="M132" s="231">
        <v>2693.4</v>
      </c>
      <c r="N132" s="231">
        <v>2706.8</v>
      </c>
      <c r="O132" s="228">
        <v>-13.4</v>
      </c>
      <c r="P132" s="229">
        <v>-5.0000000000000001E-3</v>
      </c>
      <c r="Q132" s="231">
        <v>2703.8</v>
      </c>
      <c r="R132" s="231">
        <v>2720.5</v>
      </c>
      <c r="S132" s="228">
        <v>-16.7</v>
      </c>
      <c r="T132" s="229">
        <v>-6.1000000000000004E-3</v>
      </c>
      <c r="U132" s="231">
        <v>2713.2</v>
      </c>
      <c r="V132" s="231">
        <v>2734.6</v>
      </c>
      <c r="W132" s="228">
        <v>-21.4</v>
      </c>
      <c r="X132" s="229">
        <v>-7.7999999999999996E-3</v>
      </c>
      <c r="Y132" s="228">
        <v>-0.4</v>
      </c>
      <c r="Z132" s="228">
        <v>2.9</v>
      </c>
      <c r="AA132" s="228">
        <v>-3.3</v>
      </c>
      <c r="AB132" s="229">
        <v>-1E-4</v>
      </c>
      <c r="AC132" s="228">
        <v>-0.4</v>
      </c>
      <c r="AD132" s="228">
        <v>2.9</v>
      </c>
      <c r="AE132" s="228">
        <v>-3.3</v>
      </c>
      <c r="AF132" s="229">
        <v>-1E-4</v>
      </c>
      <c r="AG132" s="228">
        <v>10</v>
      </c>
      <c r="AH132" s="228">
        <v>16.600000000000001</v>
      </c>
      <c r="AI132" s="228">
        <v>-6.6</v>
      </c>
      <c r="AJ132" s="229">
        <v>3.7000000000000002E-3</v>
      </c>
      <c r="AK132" s="228">
        <v>19.399999999999999</v>
      </c>
      <c r="AL132" s="228">
        <v>30.7</v>
      </c>
      <c r="AM132" s="228">
        <v>-11.3</v>
      </c>
      <c r="AN132" s="229">
        <v>7.1999999999999998E-3</v>
      </c>
      <c r="AO132" s="231">
        <v>2696.9</v>
      </c>
      <c r="AP132" s="231">
        <v>2706.47</v>
      </c>
      <c r="AQ132" s="228">
        <v>0</v>
      </c>
      <c r="AR132" s="230">
        <v>3232200</v>
      </c>
      <c r="AS132" s="230">
        <v>1401800</v>
      </c>
      <c r="AT132" s="230">
        <v>1830400</v>
      </c>
      <c r="AU132" s="229">
        <v>1.3057000000000001</v>
      </c>
      <c r="AV132" s="230">
        <v>1755800</v>
      </c>
      <c r="AW132" s="230">
        <v>959200</v>
      </c>
      <c r="AX132" s="230">
        <v>796600</v>
      </c>
      <c r="AY132" s="229">
        <v>0.83050000000000002</v>
      </c>
      <c r="AZ132" s="230">
        <v>1456600</v>
      </c>
      <c r="BA132" s="230">
        <v>418600</v>
      </c>
      <c r="BB132" s="230">
        <v>1038000</v>
      </c>
      <c r="BC132" s="229">
        <v>2.4796999999999998</v>
      </c>
      <c r="BD132" s="230">
        <v>19800</v>
      </c>
      <c r="BE132" s="230">
        <v>24000</v>
      </c>
      <c r="BF132" s="230">
        <v>-4200</v>
      </c>
      <c r="BG132" s="229">
        <v>-0.17499999999999999</v>
      </c>
      <c r="BH132" s="230">
        <v>7965400</v>
      </c>
      <c r="BI132" s="230">
        <v>7529000</v>
      </c>
      <c r="BJ132" s="230">
        <v>436400</v>
      </c>
      <c r="BK132" s="229">
        <v>5.8000000000000003E-2</v>
      </c>
      <c r="BL132" s="230">
        <v>3359400</v>
      </c>
      <c r="BM132" s="230">
        <v>3269600</v>
      </c>
      <c r="BN132" s="230">
        <v>89800</v>
      </c>
      <c r="BO132" s="229">
        <v>2.75E-2</v>
      </c>
      <c r="BP132" s="230">
        <v>14557000</v>
      </c>
      <c r="BQ132" s="230">
        <v>12200400</v>
      </c>
      <c r="BR132" s="230">
        <v>2356600</v>
      </c>
      <c r="BS132" s="229">
        <v>0.19320000000000001</v>
      </c>
      <c r="BT132" s="230">
        <v>2378587</v>
      </c>
      <c r="BU132" s="230">
        <v>2028778</v>
      </c>
      <c r="BV132" s="230">
        <v>349809</v>
      </c>
      <c r="BW132" s="229">
        <v>0.1724</v>
      </c>
      <c r="BX132" s="230">
        <v>4907400</v>
      </c>
      <c r="BY132" s="230">
        <v>5039600</v>
      </c>
      <c r="BZ132" s="230">
        <v>-132200</v>
      </c>
      <c r="CA132" s="229">
        <v>-2.6200000000000001E-2</v>
      </c>
      <c r="CB132" s="230">
        <v>3403200</v>
      </c>
      <c r="CC132" s="230">
        <v>4278200</v>
      </c>
      <c r="CD132" s="230">
        <v>-875000</v>
      </c>
      <c r="CE132" s="229">
        <v>-0.20449999999999999</v>
      </c>
      <c r="CF132" s="230">
        <v>1443200</v>
      </c>
      <c r="CG132" s="230">
        <v>705000</v>
      </c>
      <c r="CH132" s="230">
        <v>738200</v>
      </c>
      <c r="CI132" s="229">
        <v>1.0470999999999999</v>
      </c>
      <c r="CJ132" s="230">
        <v>61000</v>
      </c>
      <c r="CK132" s="230">
        <v>56400</v>
      </c>
      <c r="CL132" s="230">
        <v>4600</v>
      </c>
      <c r="CM132" s="229">
        <v>8.1600000000000006E-2</v>
      </c>
      <c r="CN132" s="230">
        <v>3822600</v>
      </c>
      <c r="CO132" s="230">
        <v>3873200</v>
      </c>
      <c r="CP132" s="230">
        <v>-50600</v>
      </c>
      <c r="CQ132" s="229">
        <v>-1.3100000000000001E-2</v>
      </c>
      <c r="CR132" s="230">
        <v>3241400</v>
      </c>
      <c r="CS132" s="230">
        <v>3161600</v>
      </c>
      <c r="CT132" s="230">
        <v>79800</v>
      </c>
      <c r="CU132" s="229">
        <v>2.52E-2</v>
      </c>
      <c r="CV132" s="230">
        <v>11971400</v>
      </c>
      <c r="CW132" s="230">
        <v>12074400</v>
      </c>
      <c r="CX132" s="230">
        <v>-103000</v>
      </c>
      <c r="CY132" s="229">
        <v>-8.5000000000000006E-3</v>
      </c>
      <c r="CZ132" s="228">
        <v>44.35</v>
      </c>
      <c r="DA132" s="228">
        <v>41</v>
      </c>
      <c r="DB132" s="228">
        <v>3.35</v>
      </c>
      <c r="DC132" s="228">
        <v>3.35</v>
      </c>
      <c r="DD132" s="228">
        <v>55.7</v>
      </c>
      <c r="DE132" s="228">
        <v>55.84</v>
      </c>
      <c r="DF132" s="228">
        <v>-11.35</v>
      </c>
      <c r="DG132" s="228">
        <v>-0.14000000000000001</v>
      </c>
      <c r="DH132" s="228">
        <v>44.37</v>
      </c>
      <c r="DI132" s="228">
        <v>39.46</v>
      </c>
      <c r="DJ132" s="228">
        <v>4.91</v>
      </c>
      <c r="DK132" s="228">
        <v>4.91</v>
      </c>
      <c r="DL132" s="228">
        <v>44.26</v>
      </c>
      <c r="DM132" s="228">
        <v>44.54</v>
      </c>
      <c r="DN132" s="228">
        <v>-0.28000000000000003</v>
      </c>
      <c r="DO132" s="228">
        <v>-0.28000000000000003</v>
      </c>
      <c r="DP132" s="228">
        <v>0.85</v>
      </c>
      <c r="DQ132" s="228">
        <v>0.82</v>
      </c>
      <c r="DR132" s="228">
        <v>0.03</v>
      </c>
      <c r="DS132" s="229">
        <v>3.6600000000000001E-2</v>
      </c>
      <c r="DT132" s="231">
        <v>2700</v>
      </c>
      <c r="DU132" s="231">
        <v>2200</v>
      </c>
      <c r="DV132" s="228">
        <v>0.42</v>
      </c>
      <c r="DW132" s="228">
        <v>0.43</v>
      </c>
      <c r="DX132" s="228">
        <v>-0.01</v>
      </c>
      <c r="DY132" s="229">
        <v>-2.3300000000000001E-2</v>
      </c>
      <c r="DZ132" s="229">
        <v>0.30649999999999999</v>
      </c>
      <c r="EA132" s="230">
        <v>761400</v>
      </c>
      <c r="EB132" s="229">
        <v>3.8999999999999998E-3</v>
      </c>
      <c r="EC132" s="229">
        <v>0.30649999999999999</v>
      </c>
      <c r="ED132" s="228">
        <v>9.57</v>
      </c>
      <c r="EE132" s="229">
        <v>3.5000000000000001E-3</v>
      </c>
      <c r="EF132" s="230">
        <v>625570</v>
      </c>
      <c r="EG132" s="230">
        <v>553546</v>
      </c>
      <c r="EH132" s="229">
        <v>0.13009999999999999</v>
      </c>
      <c r="EI132" s="229">
        <v>0.26300000000000001</v>
      </c>
      <c r="EJ132" s="231">
        <v>222573.71</v>
      </c>
      <c r="EK132" s="231">
        <v>86954.69</v>
      </c>
      <c r="EL132" s="231">
        <v>87313.56</v>
      </c>
      <c r="EM132" s="231">
        <v>7363</v>
      </c>
      <c r="EN132" s="231">
        <v>396841.96</v>
      </c>
      <c r="EO132" s="231">
        <v>330624.59000000003</v>
      </c>
      <c r="EP132" s="231">
        <v>66217.37</v>
      </c>
      <c r="EQ132" s="229">
        <v>0.20030000000000001</v>
      </c>
      <c r="ER132" s="231">
        <v>99697</v>
      </c>
      <c r="ES132" s="231">
        <v>77886</v>
      </c>
      <c r="ET132" s="231">
        <v>132338</v>
      </c>
      <c r="EU132" s="231">
        <v>11364224</v>
      </c>
      <c r="EV132" s="231">
        <v>309922</v>
      </c>
      <c r="EW132" s="231">
        <v>312380</v>
      </c>
      <c r="EX132" s="231">
        <v>-2458</v>
      </c>
      <c r="EY132" s="229">
        <v>-7.9000000000000008E-3</v>
      </c>
      <c r="EZ132" s="229">
        <v>1.0533999999999999</v>
      </c>
      <c r="FA132" s="227" t="s">
        <v>567</v>
      </c>
      <c r="FB132" s="161">
        <f t="shared" si="2"/>
        <v>1504200</v>
      </c>
    </row>
    <row r="133" spans="1:158" ht="17.25" thickBot="1" x14ac:dyDescent="0.3">
      <c r="A133" s="226">
        <v>46135</v>
      </c>
      <c r="B133" s="227" t="s">
        <v>175</v>
      </c>
      <c r="C133" s="227" t="s">
        <v>517</v>
      </c>
      <c r="D133" s="228">
        <v>625</v>
      </c>
      <c r="E133" s="231">
        <v>2793.9</v>
      </c>
      <c r="F133" s="231">
        <v>2788.8</v>
      </c>
      <c r="G133" s="228">
        <v>5.0999999999999996</v>
      </c>
      <c r="H133" s="229">
        <v>1.8E-3</v>
      </c>
      <c r="I133" s="231">
        <v>2791.4</v>
      </c>
      <c r="J133" s="231">
        <v>2783.2</v>
      </c>
      <c r="K133" s="228">
        <v>8.1999999999999993</v>
      </c>
      <c r="L133" s="229">
        <v>2.8999999999999998E-3</v>
      </c>
      <c r="M133" s="231">
        <v>2793.9</v>
      </c>
      <c r="N133" s="231">
        <v>2788.8</v>
      </c>
      <c r="O133" s="228">
        <v>5.0999999999999996</v>
      </c>
      <c r="P133" s="229">
        <v>1.8E-3</v>
      </c>
      <c r="Q133" s="231">
        <v>2809.5</v>
      </c>
      <c r="R133" s="231">
        <v>2802.8</v>
      </c>
      <c r="S133" s="228">
        <v>6.7</v>
      </c>
      <c r="T133" s="229">
        <v>2.3999999999999998E-3</v>
      </c>
      <c r="U133" s="231">
        <v>2818.3</v>
      </c>
      <c r="V133" s="231">
        <v>2819.3</v>
      </c>
      <c r="W133" s="228">
        <v>-1</v>
      </c>
      <c r="X133" s="229">
        <v>-4.0000000000000002E-4</v>
      </c>
      <c r="Y133" s="228">
        <v>2.5</v>
      </c>
      <c r="Z133" s="228">
        <v>5.6</v>
      </c>
      <c r="AA133" s="228">
        <v>-3.1</v>
      </c>
      <c r="AB133" s="229">
        <v>8.9999999999999998E-4</v>
      </c>
      <c r="AC133" s="228">
        <v>2.5</v>
      </c>
      <c r="AD133" s="228">
        <v>5.6</v>
      </c>
      <c r="AE133" s="228">
        <v>-3.1</v>
      </c>
      <c r="AF133" s="229">
        <v>8.9999999999999998E-4</v>
      </c>
      <c r="AG133" s="228">
        <v>18.100000000000001</v>
      </c>
      <c r="AH133" s="228">
        <v>19.600000000000001</v>
      </c>
      <c r="AI133" s="228">
        <v>-1.5</v>
      </c>
      <c r="AJ133" s="229">
        <v>6.4999999999999997E-3</v>
      </c>
      <c r="AK133" s="228">
        <v>26.9</v>
      </c>
      <c r="AL133" s="228">
        <v>36.1</v>
      </c>
      <c r="AM133" s="228">
        <v>-9.1999999999999993</v>
      </c>
      <c r="AN133" s="229">
        <v>9.5999999999999992E-3</v>
      </c>
      <c r="AO133" s="231">
        <v>2818.18</v>
      </c>
      <c r="AP133" s="231">
        <v>2833.39</v>
      </c>
      <c r="AQ133" s="228">
        <v>0</v>
      </c>
      <c r="AR133" s="230">
        <v>9499375</v>
      </c>
      <c r="AS133" s="230">
        <v>4480000</v>
      </c>
      <c r="AT133" s="230">
        <v>5019375</v>
      </c>
      <c r="AU133" s="229">
        <v>1.1204000000000001</v>
      </c>
      <c r="AV133" s="230">
        <v>4970625</v>
      </c>
      <c r="AW133" s="230">
        <v>3282500</v>
      </c>
      <c r="AX133" s="230">
        <v>1688125</v>
      </c>
      <c r="AY133" s="229">
        <v>0.51429999999999998</v>
      </c>
      <c r="AZ133" s="230">
        <v>4232500</v>
      </c>
      <c r="BA133" s="230">
        <v>1130000</v>
      </c>
      <c r="BB133" s="230">
        <v>3102500</v>
      </c>
      <c r="BC133" s="229">
        <v>2.7456</v>
      </c>
      <c r="BD133" s="230">
        <v>296250</v>
      </c>
      <c r="BE133" s="230">
        <v>67500</v>
      </c>
      <c r="BF133" s="230">
        <v>228750</v>
      </c>
      <c r="BG133" s="229">
        <v>3.3889</v>
      </c>
      <c r="BH133" s="230">
        <v>18701875</v>
      </c>
      <c r="BI133" s="230">
        <v>14675625</v>
      </c>
      <c r="BJ133" s="230">
        <v>4026250</v>
      </c>
      <c r="BK133" s="229">
        <v>0.27429999999999999</v>
      </c>
      <c r="BL133" s="230">
        <v>9423125</v>
      </c>
      <c r="BM133" s="230">
        <v>10564375</v>
      </c>
      <c r="BN133" s="230">
        <v>-1141250</v>
      </c>
      <c r="BO133" s="229">
        <v>-0.108</v>
      </c>
      <c r="BP133" s="230">
        <v>37624375</v>
      </c>
      <c r="BQ133" s="230">
        <v>29720000</v>
      </c>
      <c r="BR133" s="230">
        <v>7904375</v>
      </c>
      <c r="BS133" s="229">
        <v>0.26600000000000001</v>
      </c>
      <c r="BT133" s="230">
        <v>2366367</v>
      </c>
      <c r="BU133" s="230">
        <v>3374645</v>
      </c>
      <c r="BV133" s="230">
        <v>-1008278</v>
      </c>
      <c r="BW133" s="229">
        <v>-0.29880000000000001</v>
      </c>
      <c r="BX133" s="230">
        <v>13693750</v>
      </c>
      <c r="BY133" s="230">
        <v>13622500</v>
      </c>
      <c r="BZ133" s="230">
        <v>71250</v>
      </c>
      <c r="CA133" s="229">
        <v>5.1999999999999998E-3</v>
      </c>
      <c r="CB133" s="230">
        <v>8646250</v>
      </c>
      <c r="CC133" s="230">
        <v>12058125</v>
      </c>
      <c r="CD133" s="230">
        <v>-3411875</v>
      </c>
      <c r="CE133" s="229">
        <v>-0.28299999999999997</v>
      </c>
      <c r="CF133" s="230">
        <v>4762500</v>
      </c>
      <c r="CG133" s="230">
        <v>1375625</v>
      </c>
      <c r="CH133" s="230">
        <v>3386875</v>
      </c>
      <c r="CI133" s="229">
        <v>2.4621</v>
      </c>
      <c r="CJ133" s="230">
        <v>285000</v>
      </c>
      <c r="CK133" s="230">
        <v>188750</v>
      </c>
      <c r="CL133" s="230">
        <v>96250</v>
      </c>
      <c r="CM133" s="229">
        <v>0.50990000000000002</v>
      </c>
      <c r="CN133" s="230">
        <v>9896250</v>
      </c>
      <c r="CO133" s="230">
        <v>10013750</v>
      </c>
      <c r="CP133" s="230">
        <v>-117500</v>
      </c>
      <c r="CQ133" s="229">
        <v>-1.17E-2</v>
      </c>
      <c r="CR133" s="230">
        <v>7451875</v>
      </c>
      <c r="CS133" s="230">
        <v>7867500</v>
      </c>
      <c r="CT133" s="230">
        <v>-415625</v>
      </c>
      <c r="CU133" s="229">
        <v>-5.28E-2</v>
      </c>
      <c r="CV133" s="230">
        <v>31041875</v>
      </c>
      <c r="CW133" s="230">
        <v>31503750</v>
      </c>
      <c r="CX133" s="230">
        <v>-461875</v>
      </c>
      <c r="CY133" s="229">
        <v>-1.47E-2</v>
      </c>
      <c r="CZ133" s="228">
        <v>43.79</v>
      </c>
      <c r="DA133" s="228">
        <v>39.74</v>
      </c>
      <c r="DB133" s="228">
        <v>4.05</v>
      </c>
      <c r="DC133" s="228">
        <v>4.05</v>
      </c>
      <c r="DD133" s="228">
        <v>49.57</v>
      </c>
      <c r="DE133" s="228">
        <v>49.7</v>
      </c>
      <c r="DF133" s="228">
        <v>-5.78</v>
      </c>
      <c r="DG133" s="228">
        <v>-0.13</v>
      </c>
      <c r="DH133" s="228">
        <v>43.64</v>
      </c>
      <c r="DI133" s="228">
        <v>40.17</v>
      </c>
      <c r="DJ133" s="228">
        <v>3.47</v>
      </c>
      <c r="DK133" s="228">
        <v>3.47</v>
      </c>
      <c r="DL133" s="228">
        <v>44.02</v>
      </c>
      <c r="DM133" s="228">
        <v>39.15</v>
      </c>
      <c r="DN133" s="228">
        <v>4.87</v>
      </c>
      <c r="DO133" s="228">
        <v>4.87</v>
      </c>
      <c r="DP133" s="228">
        <v>0.75</v>
      </c>
      <c r="DQ133" s="228">
        <v>0.79</v>
      </c>
      <c r="DR133" s="228">
        <v>-0.04</v>
      </c>
      <c r="DS133" s="229">
        <v>-5.0599999999999999E-2</v>
      </c>
      <c r="DT133" s="231">
        <v>2900</v>
      </c>
      <c r="DU133" s="231">
        <v>2500</v>
      </c>
      <c r="DV133" s="228">
        <v>0.5</v>
      </c>
      <c r="DW133" s="228">
        <v>0.72</v>
      </c>
      <c r="DX133" s="228">
        <v>-0.22</v>
      </c>
      <c r="DY133" s="229">
        <v>-0.30559999999999998</v>
      </c>
      <c r="DZ133" s="229">
        <v>0.36859999999999998</v>
      </c>
      <c r="EA133" s="230">
        <v>1564375</v>
      </c>
      <c r="EB133" s="229">
        <v>5.5999999999999999E-3</v>
      </c>
      <c r="EC133" s="229">
        <v>0.36859999999999998</v>
      </c>
      <c r="ED133" s="228">
        <v>15.21</v>
      </c>
      <c r="EE133" s="229">
        <v>5.4000000000000003E-3</v>
      </c>
      <c r="EF133" s="230">
        <v>978645</v>
      </c>
      <c r="EG133" s="230">
        <v>1781754</v>
      </c>
      <c r="EH133" s="229">
        <v>-0.45069999999999999</v>
      </c>
      <c r="EI133" s="229">
        <v>0.41360000000000002</v>
      </c>
      <c r="EJ133" s="231">
        <v>550016.27</v>
      </c>
      <c r="EK133" s="231">
        <v>258083.38</v>
      </c>
      <c r="EL133" s="231">
        <v>268446.88</v>
      </c>
      <c r="EM133" s="231">
        <v>5516</v>
      </c>
      <c r="EN133" s="231">
        <v>1076546.53</v>
      </c>
      <c r="EO133" s="231">
        <v>845660.38</v>
      </c>
      <c r="EP133" s="231">
        <v>230886.15</v>
      </c>
      <c r="EQ133" s="229">
        <v>0.27300000000000002</v>
      </c>
      <c r="ER133" s="231">
        <v>281308</v>
      </c>
      <c r="ES133" s="231">
        <v>189492</v>
      </c>
      <c r="ET133" s="231">
        <v>383402</v>
      </c>
      <c r="EU133" s="231">
        <v>38177113</v>
      </c>
      <c r="EV133" s="231">
        <v>854202</v>
      </c>
      <c r="EW133" s="231">
        <v>863732</v>
      </c>
      <c r="EX133" s="231">
        <v>-9530</v>
      </c>
      <c r="EY133" s="229">
        <v>-1.0999999999999999E-2</v>
      </c>
      <c r="EZ133" s="229">
        <v>0.81310000000000004</v>
      </c>
      <c r="FA133" s="227" t="s">
        <v>555</v>
      </c>
      <c r="FB133" s="161">
        <f t="shared" si="2"/>
        <v>5047500</v>
      </c>
    </row>
    <row r="134" spans="1:158" ht="17.25" thickBot="1" x14ac:dyDescent="0.3">
      <c r="A134" s="226">
        <v>46135</v>
      </c>
      <c r="B134" s="227" t="s">
        <v>175</v>
      </c>
      <c r="C134" s="227" t="s">
        <v>257</v>
      </c>
      <c r="D134" s="228">
        <v>400</v>
      </c>
      <c r="E134" s="231">
        <v>1595</v>
      </c>
      <c r="F134" s="231">
        <v>1632.8</v>
      </c>
      <c r="G134" s="228">
        <v>-37.799999999999997</v>
      </c>
      <c r="H134" s="229">
        <v>-2.3199999999999998E-2</v>
      </c>
      <c r="I134" s="231">
        <v>1595.4</v>
      </c>
      <c r="J134" s="231">
        <v>1627.4</v>
      </c>
      <c r="K134" s="228">
        <v>-32</v>
      </c>
      <c r="L134" s="229">
        <v>-1.9699999999999999E-2</v>
      </c>
      <c r="M134" s="231">
        <v>1595</v>
      </c>
      <c r="N134" s="231">
        <v>1632.8</v>
      </c>
      <c r="O134" s="228">
        <v>-37.799999999999997</v>
      </c>
      <c r="P134" s="229">
        <v>-2.3199999999999998E-2</v>
      </c>
      <c r="Q134" s="231">
        <v>1604.5</v>
      </c>
      <c r="R134" s="231">
        <v>1640.2</v>
      </c>
      <c r="S134" s="228">
        <v>-35.700000000000003</v>
      </c>
      <c r="T134" s="229">
        <v>-2.18E-2</v>
      </c>
      <c r="U134" s="231">
        <v>1611.7</v>
      </c>
      <c r="V134" s="231">
        <v>1642.7</v>
      </c>
      <c r="W134" s="228">
        <v>-31</v>
      </c>
      <c r="X134" s="229">
        <v>-1.89E-2</v>
      </c>
      <c r="Y134" s="228">
        <v>-0.4</v>
      </c>
      <c r="Z134" s="228">
        <v>5.4</v>
      </c>
      <c r="AA134" s="228">
        <v>-5.8</v>
      </c>
      <c r="AB134" s="229">
        <v>-2.9999999999999997E-4</v>
      </c>
      <c r="AC134" s="228">
        <v>-0.4</v>
      </c>
      <c r="AD134" s="228">
        <v>5.4</v>
      </c>
      <c r="AE134" s="228">
        <v>-5.8</v>
      </c>
      <c r="AF134" s="229">
        <v>-2.9999999999999997E-4</v>
      </c>
      <c r="AG134" s="228">
        <v>9.1</v>
      </c>
      <c r="AH134" s="228">
        <v>12.8</v>
      </c>
      <c r="AI134" s="228">
        <v>-3.7</v>
      </c>
      <c r="AJ134" s="229">
        <v>5.7000000000000002E-3</v>
      </c>
      <c r="AK134" s="228">
        <v>16.3</v>
      </c>
      <c r="AL134" s="228">
        <v>15.3</v>
      </c>
      <c r="AM134" s="228">
        <v>1</v>
      </c>
      <c r="AN134" s="229">
        <v>1.0200000000000001E-2</v>
      </c>
      <c r="AO134" s="231">
        <v>1605.06</v>
      </c>
      <c r="AP134" s="231">
        <v>1613.9</v>
      </c>
      <c r="AQ134" s="228">
        <v>0</v>
      </c>
      <c r="AR134" s="230">
        <v>5075200</v>
      </c>
      <c r="AS134" s="230">
        <v>1232800</v>
      </c>
      <c r="AT134" s="230">
        <v>3842400</v>
      </c>
      <c r="AU134" s="229">
        <v>3.1168</v>
      </c>
      <c r="AV134" s="230">
        <v>2684400</v>
      </c>
      <c r="AW134" s="230">
        <v>864000</v>
      </c>
      <c r="AX134" s="230">
        <v>1820400</v>
      </c>
      <c r="AY134" s="229">
        <v>2.1069</v>
      </c>
      <c r="AZ134" s="230">
        <v>2389600</v>
      </c>
      <c r="BA134" s="230">
        <v>367600</v>
      </c>
      <c r="BB134" s="230">
        <v>2022000</v>
      </c>
      <c r="BC134" s="229">
        <v>5.5004999999999997</v>
      </c>
      <c r="BD134" s="230">
        <v>1200</v>
      </c>
      <c r="BE134" s="230">
        <v>1200</v>
      </c>
      <c r="BF134" s="228">
        <v>0</v>
      </c>
      <c r="BG134" s="229">
        <v>0</v>
      </c>
      <c r="BH134" s="230">
        <v>1240400</v>
      </c>
      <c r="BI134" s="230">
        <v>1139600</v>
      </c>
      <c r="BJ134" s="230">
        <v>100800</v>
      </c>
      <c r="BK134" s="229">
        <v>8.8499999999999995E-2</v>
      </c>
      <c r="BL134" s="230">
        <v>498400</v>
      </c>
      <c r="BM134" s="230">
        <v>529200</v>
      </c>
      <c r="BN134" s="230">
        <v>-30800</v>
      </c>
      <c r="BO134" s="229">
        <v>-5.8200000000000002E-2</v>
      </c>
      <c r="BP134" s="230">
        <v>6814000</v>
      </c>
      <c r="BQ134" s="230">
        <v>2901600</v>
      </c>
      <c r="BR134" s="230">
        <v>3912400</v>
      </c>
      <c r="BS134" s="229">
        <v>1.3484</v>
      </c>
      <c r="BT134" s="230">
        <v>654980</v>
      </c>
      <c r="BU134" s="230">
        <v>810472</v>
      </c>
      <c r="BV134" s="230">
        <v>-155492</v>
      </c>
      <c r="BW134" s="229">
        <v>-0.19189999999999999</v>
      </c>
      <c r="BX134" s="230">
        <v>9121600</v>
      </c>
      <c r="BY134" s="230">
        <v>9213600</v>
      </c>
      <c r="BZ134" s="230">
        <v>-92000</v>
      </c>
      <c r="CA134" s="229">
        <v>-0.01</v>
      </c>
      <c r="CB134" s="230">
        <v>6641200</v>
      </c>
      <c r="CC134" s="230">
        <v>8752000</v>
      </c>
      <c r="CD134" s="230">
        <v>-2110800</v>
      </c>
      <c r="CE134" s="229">
        <v>-0.2412</v>
      </c>
      <c r="CF134" s="230">
        <v>2475600</v>
      </c>
      <c r="CG134" s="230">
        <v>457600</v>
      </c>
      <c r="CH134" s="230">
        <v>2018000</v>
      </c>
      <c r="CI134" s="229">
        <v>4.41</v>
      </c>
      <c r="CJ134" s="230">
        <v>4800</v>
      </c>
      <c r="CK134" s="230">
        <v>4000</v>
      </c>
      <c r="CL134" s="228">
        <v>800</v>
      </c>
      <c r="CM134" s="229">
        <v>0.2</v>
      </c>
      <c r="CN134" s="230">
        <v>944400</v>
      </c>
      <c r="CO134" s="230">
        <v>999200</v>
      </c>
      <c r="CP134" s="230">
        <v>-54800</v>
      </c>
      <c r="CQ134" s="229">
        <v>-5.4800000000000001E-2</v>
      </c>
      <c r="CR134" s="230">
        <v>688800</v>
      </c>
      <c r="CS134" s="230">
        <v>658400</v>
      </c>
      <c r="CT134" s="230">
        <v>30400</v>
      </c>
      <c r="CU134" s="229">
        <v>4.6199999999999998E-2</v>
      </c>
      <c r="CV134" s="230">
        <v>10754800</v>
      </c>
      <c r="CW134" s="230">
        <v>10871200</v>
      </c>
      <c r="CX134" s="230">
        <v>-116400</v>
      </c>
      <c r="CY134" s="229">
        <v>-1.0699999999999999E-2</v>
      </c>
      <c r="CZ134" s="228">
        <v>33.200000000000003</v>
      </c>
      <c r="DA134" s="228">
        <v>32.93</v>
      </c>
      <c r="DB134" s="228">
        <v>0.27</v>
      </c>
      <c r="DC134" s="228">
        <v>0.27</v>
      </c>
      <c r="DD134" s="228">
        <v>31.95</v>
      </c>
      <c r="DE134" s="228">
        <v>31.92</v>
      </c>
      <c r="DF134" s="228">
        <v>1.25</v>
      </c>
      <c r="DG134" s="228">
        <v>0.03</v>
      </c>
      <c r="DH134" s="228">
        <v>32.82</v>
      </c>
      <c r="DI134" s="228">
        <v>32.64</v>
      </c>
      <c r="DJ134" s="228">
        <v>0.18</v>
      </c>
      <c r="DK134" s="228">
        <v>0.18</v>
      </c>
      <c r="DL134" s="228">
        <v>33.630000000000003</v>
      </c>
      <c r="DM134" s="228">
        <v>33.56</v>
      </c>
      <c r="DN134" s="228">
        <v>7.0000000000000007E-2</v>
      </c>
      <c r="DO134" s="228">
        <v>7.0000000000000007E-2</v>
      </c>
      <c r="DP134" s="228">
        <v>0.73</v>
      </c>
      <c r="DQ134" s="228">
        <v>0.66</v>
      </c>
      <c r="DR134" s="228">
        <v>7.0000000000000007E-2</v>
      </c>
      <c r="DS134" s="229">
        <v>0.1061</v>
      </c>
      <c r="DT134" s="231">
        <v>1700</v>
      </c>
      <c r="DU134" s="231">
        <v>1460</v>
      </c>
      <c r="DV134" s="228">
        <v>0.4</v>
      </c>
      <c r="DW134" s="228">
        <v>0.46</v>
      </c>
      <c r="DX134" s="228">
        <v>-0.06</v>
      </c>
      <c r="DY134" s="229">
        <v>-0.13039999999999999</v>
      </c>
      <c r="DZ134" s="229">
        <v>0.27189999999999998</v>
      </c>
      <c r="EA134" s="230">
        <v>461600</v>
      </c>
      <c r="EB134" s="229">
        <v>6.0000000000000001E-3</v>
      </c>
      <c r="EC134" s="229">
        <v>0.27189999999999998</v>
      </c>
      <c r="ED134" s="228">
        <v>8.84</v>
      </c>
      <c r="EE134" s="229">
        <v>5.4999999999999997E-3</v>
      </c>
      <c r="EF134" s="230">
        <v>424914</v>
      </c>
      <c r="EG134" s="230">
        <v>506237</v>
      </c>
      <c r="EH134" s="229">
        <v>-0.16059999999999999</v>
      </c>
      <c r="EI134" s="229">
        <v>0.64870000000000005</v>
      </c>
      <c r="EJ134" s="231">
        <v>21270.62</v>
      </c>
      <c r="EK134" s="231">
        <v>7945.64</v>
      </c>
      <c r="EL134" s="231">
        <v>81671.45</v>
      </c>
      <c r="EM134" s="231">
        <v>2464</v>
      </c>
      <c r="EN134" s="231">
        <v>110887.71</v>
      </c>
      <c r="EO134" s="231">
        <v>48338.52</v>
      </c>
      <c r="EP134" s="231">
        <v>62549.19</v>
      </c>
      <c r="EQ134" s="229">
        <v>1.294</v>
      </c>
      <c r="ER134" s="231">
        <v>16024</v>
      </c>
      <c r="ES134" s="231">
        <v>10648</v>
      </c>
      <c r="ET134" s="231">
        <v>145726</v>
      </c>
      <c r="EU134" s="231">
        <v>35051266</v>
      </c>
      <c r="EV134" s="231">
        <v>172398</v>
      </c>
      <c r="EW134" s="231">
        <v>177728</v>
      </c>
      <c r="EX134" s="231">
        <v>-5330</v>
      </c>
      <c r="EY134" s="229">
        <v>-0.03</v>
      </c>
      <c r="EZ134" s="229">
        <v>0.30680000000000002</v>
      </c>
      <c r="FA134" s="227" t="s">
        <v>567</v>
      </c>
      <c r="FB134" s="161">
        <f t="shared" si="2"/>
        <v>2480400</v>
      </c>
    </row>
    <row r="135" spans="1:158" ht="17.25" thickBot="1" x14ac:dyDescent="0.3">
      <c r="A135" s="226">
        <v>46135</v>
      </c>
      <c r="B135" s="227" t="s">
        <v>181</v>
      </c>
      <c r="C135" s="227" t="s">
        <v>562</v>
      </c>
      <c r="D135" s="228">
        <v>120</v>
      </c>
      <c r="E135" s="231">
        <v>13847.35</v>
      </c>
      <c r="F135" s="231">
        <v>13939.8</v>
      </c>
      <c r="G135" s="228">
        <v>-92.45</v>
      </c>
      <c r="H135" s="229">
        <v>-6.6E-3</v>
      </c>
      <c r="I135" s="231">
        <v>13848.55</v>
      </c>
      <c r="J135" s="231">
        <v>13939.8</v>
      </c>
      <c r="K135" s="228">
        <v>-91.25</v>
      </c>
      <c r="L135" s="229">
        <v>-6.4999999999999997E-3</v>
      </c>
      <c r="M135" s="231">
        <v>13847.35</v>
      </c>
      <c r="N135" s="231">
        <v>13939.8</v>
      </c>
      <c r="O135" s="228">
        <v>-92.45</v>
      </c>
      <c r="P135" s="229">
        <v>-6.6E-3</v>
      </c>
      <c r="Q135" s="231">
        <v>13864.35</v>
      </c>
      <c r="R135" s="231">
        <v>13979.9</v>
      </c>
      <c r="S135" s="228">
        <v>-115.55</v>
      </c>
      <c r="T135" s="229">
        <v>-8.3000000000000001E-3</v>
      </c>
      <c r="U135" s="231">
        <v>13923.65</v>
      </c>
      <c r="V135" s="231">
        <v>14037.4</v>
      </c>
      <c r="W135" s="228">
        <v>-113.75</v>
      </c>
      <c r="X135" s="229">
        <v>-8.0999999999999996E-3</v>
      </c>
      <c r="Y135" s="228">
        <v>-1.2</v>
      </c>
      <c r="Z135" s="228">
        <v>0</v>
      </c>
      <c r="AA135" s="228">
        <v>-1.2</v>
      </c>
      <c r="AB135" s="229">
        <v>-1E-4</v>
      </c>
      <c r="AC135" s="228">
        <v>-1.2</v>
      </c>
      <c r="AD135" s="228">
        <v>0</v>
      </c>
      <c r="AE135" s="228">
        <v>-1.2</v>
      </c>
      <c r="AF135" s="229">
        <v>-1E-4</v>
      </c>
      <c r="AG135" s="228">
        <v>15.8</v>
      </c>
      <c r="AH135" s="228">
        <v>40.1</v>
      </c>
      <c r="AI135" s="228">
        <v>-24.3</v>
      </c>
      <c r="AJ135" s="229">
        <v>1.1000000000000001E-3</v>
      </c>
      <c r="AK135" s="228">
        <v>75.099999999999994</v>
      </c>
      <c r="AL135" s="228">
        <v>97.6</v>
      </c>
      <c r="AM135" s="228">
        <v>-22.5</v>
      </c>
      <c r="AN135" s="229">
        <v>5.4000000000000003E-3</v>
      </c>
      <c r="AO135" s="231">
        <v>13846.26</v>
      </c>
      <c r="AP135" s="231">
        <v>13871.92</v>
      </c>
      <c r="AQ135" s="228">
        <v>0</v>
      </c>
      <c r="AR135" s="230">
        <v>1134000</v>
      </c>
      <c r="AS135" s="230">
        <v>567960</v>
      </c>
      <c r="AT135" s="230">
        <v>566040</v>
      </c>
      <c r="AU135" s="229">
        <v>0.99660000000000004</v>
      </c>
      <c r="AV135" s="230">
        <v>691320</v>
      </c>
      <c r="AW135" s="230">
        <v>393960</v>
      </c>
      <c r="AX135" s="230">
        <v>297360</v>
      </c>
      <c r="AY135" s="229">
        <v>0.75480000000000003</v>
      </c>
      <c r="AZ135" s="230">
        <v>433320</v>
      </c>
      <c r="BA135" s="230">
        <v>167520</v>
      </c>
      <c r="BB135" s="230">
        <v>265800</v>
      </c>
      <c r="BC135" s="229">
        <v>1.5867</v>
      </c>
      <c r="BD135" s="230">
        <v>9360</v>
      </c>
      <c r="BE135" s="230">
        <v>6480</v>
      </c>
      <c r="BF135" s="230">
        <v>2880</v>
      </c>
      <c r="BG135" s="229">
        <v>0.44440000000000002</v>
      </c>
      <c r="BH135" s="230">
        <v>21647160</v>
      </c>
      <c r="BI135" s="230">
        <v>19135080</v>
      </c>
      <c r="BJ135" s="230">
        <v>2512080</v>
      </c>
      <c r="BK135" s="229">
        <v>0.1313</v>
      </c>
      <c r="BL135" s="230">
        <v>22082520</v>
      </c>
      <c r="BM135" s="230">
        <v>21408840</v>
      </c>
      <c r="BN135" s="230">
        <v>673680</v>
      </c>
      <c r="BO135" s="229">
        <v>3.15E-2</v>
      </c>
      <c r="BP135" s="230">
        <v>44863680</v>
      </c>
      <c r="BQ135" s="230">
        <v>41111880</v>
      </c>
      <c r="BR135" s="230">
        <v>3751800</v>
      </c>
      <c r="BS135" s="229">
        <v>9.1300000000000006E-2</v>
      </c>
      <c r="BT135" s="228">
        <v>0</v>
      </c>
      <c r="BU135" s="228">
        <v>0</v>
      </c>
      <c r="BV135" s="228">
        <v>0</v>
      </c>
      <c r="BW135" s="229">
        <v>0</v>
      </c>
      <c r="BX135" s="230">
        <v>2500560</v>
      </c>
      <c r="BY135" s="230">
        <v>2590200</v>
      </c>
      <c r="BZ135" s="230">
        <v>-89640</v>
      </c>
      <c r="CA135" s="229">
        <v>-3.4599999999999999E-2</v>
      </c>
      <c r="CB135" s="230">
        <v>1896360</v>
      </c>
      <c r="CC135" s="230">
        <v>2234280</v>
      </c>
      <c r="CD135" s="230">
        <v>-337920</v>
      </c>
      <c r="CE135" s="229">
        <v>-0.1512</v>
      </c>
      <c r="CF135" s="230">
        <v>587040</v>
      </c>
      <c r="CG135" s="230">
        <v>342960</v>
      </c>
      <c r="CH135" s="230">
        <v>244080</v>
      </c>
      <c r="CI135" s="229">
        <v>0.7117</v>
      </c>
      <c r="CJ135" s="230">
        <v>17160</v>
      </c>
      <c r="CK135" s="230">
        <v>12960</v>
      </c>
      <c r="CL135" s="230">
        <v>4200</v>
      </c>
      <c r="CM135" s="229">
        <v>0.3241</v>
      </c>
      <c r="CN135" s="230">
        <v>8194920</v>
      </c>
      <c r="CO135" s="230">
        <v>7731000</v>
      </c>
      <c r="CP135" s="230">
        <v>463920</v>
      </c>
      <c r="CQ135" s="229">
        <v>0.06</v>
      </c>
      <c r="CR135" s="230">
        <v>9013920</v>
      </c>
      <c r="CS135" s="230">
        <v>8701440</v>
      </c>
      <c r="CT135" s="230">
        <v>312480</v>
      </c>
      <c r="CU135" s="229">
        <v>3.5900000000000001E-2</v>
      </c>
      <c r="CV135" s="230">
        <v>19709400</v>
      </c>
      <c r="CW135" s="230">
        <v>19022640</v>
      </c>
      <c r="CX135" s="230">
        <v>686760</v>
      </c>
      <c r="CY135" s="229">
        <v>3.61E-2</v>
      </c>
      <c r="CZ135" s="228">
        <v>26.5</v>
      </c>
      <c r="DA135" s="228">
        <v>25.25</v>
      </c>
      <c r="DB135" s="228">
        <v>1.25</v>
      </c>
      <c r="DC135" s="228">
        <v>1.25</v>
      </c>
      <c r="DD135" s="228">
        <v>25.09</v>
      </c>
      <c r="DE135" s="228">
        <v>25.14</v>
      </c>
      <c r="DF135" s="228">
        <v>1.41</v>
      </c>
      <c r="DG135" s="228">
        <v>-0.05</v>
      </c>
      <c r="DH135" s="228">
        <v>22.37</v>
      </c>
      <c r="DI135" s="228">
        <v>23.07</v>
      </c>
      <c r="DJ135" s="228">
        <v>-0.7</v>
      </c>
      <c r="DK135" s="228">
        <v>-0.7</v>
      </c>
      <c r="DL135" s="228">
        <v>28.25</v>
      </c>
      <c r="DM135" s="228">
        <v>27.19</v>
      </c>
      <c r="DN135" s="228">
        <v>1.06</v>
      </c>
      <c r="DO135" s="228">
        <v>1.06</v>
      </c>
      <c r="DP135" s="228">
        <v>1.1000000000000001</v>
      </c>
      <c r="DQ135" s="228">
        <v>1.1299999999999999</v>
      </c>
      <c r="DR135" s="228">
        <v>-0.03</v>
      </c>
      <c r="DS135" s="229">
        <v>-2.6499999999999999E-2</v>
      </c>
      <c r="DT135" s="231">
        <v>14500</v>
      </c>
      <c r="DU135" s="231">
        <v>13000</v>
      </c>
      <c r="DV135" s="228">
        <v>1.02</v>
      </c>
      <c r="DW135" s="228">
        <v>1.1200000000000001</v>
      </c>
      <c r="DX135" s="228">
        <v>-0.1</v>
      </c>
      <c r="DY135" s="229">
        <v>-8.9300000000000004E-2</v>
      </c>
      <c r="DZ135" s="229">
        <v>0.24160000000000001</v>
      </c>
      <c r="EA135" s="230">
        <v>355920</v>
      </c>
      <c r="EB135" s="229">
        <v>1.1999999999999999E-3</v>
      </c>
      <c r="EC135" s="229">
        <v>0.24160000000000001</v>
      </c>
      <c r="ED135" s="228">
        <v>25.66</v>
      </c>
      <c r="EE135" s="229">
        <v>1.9E-3</v>
      </c>
      <c r="EF135" s="228">
        <v>0</v>
      </c>
      <c r="EG135" s="228">
        <v>0</v>
      </c>
      <c r="EH135" s="229">
        <v>0</v>
      </c>
      <c r="EI135" s="229">
        <v>0</v>
      </c>
      <c r="EJ135" s="231">
        <v>3090171.21</v>
      </c>
      <c r="EK135" s="231">
        <v>2975414.04</v>
      </c>
      <c r="EL135" s="231">
        <v>157136.22</v>
      </c>
      <c r="EM135" s="228">
        <v>0</v>
      </c>
      <c r="EN135" s="231">
        <v>6222721.4699999997</v>
      </c>
      <c r="EO135" s="231">
        <v>5715008.7199999997</v>
      </c>
      <c r="EP135" s="231">
        <v>507712.75</v>
      </c>
      <c r="EQ135" s="229">
        <v>8.8800000000000004E-2</v>
      </c>
      <c r="ER135" s="231">
        <v>1150368</v>
      </c>
      <c r="ES135" s="231">
        <v>1172685</v>
      </c>
      <c r="ET135" s="231">
        <v>346374</v>
      </c>
      <c r="EU135" s="228">
        <v>0</v>
      </c>
      <c r="EV135" s="231">
        <v>2669427</v>
      </c>
      <c r="EW135" s="231">
        <v>2576454</v>
      </c>
      <c r="EX135" s="231">
        <v>92973</v>
      </c>
      <c r="EY135" s="229">
        <v>3.61E-2</v>
      </c>
      <c r="EZ135" s="229">
        <v>0</v>
      </c>
      <c r="FA135" s="227" t="s">
        <v>567</v>
      </c>
      <c r="FB135" s="161">
        <f t="shared" si="2"/>
        <v>604200</v>
      </c>
    </row>
    <row r="136" spans="1:158" ht="17.25" thickBot="1" x14ac:dyDescent="0.3">
      <c r="A136" s="226">
        <v>46135</v>
      </c>
      <c r="B136" s="227" t="s">
        <v>162</v>
      </c>
      <c r="C136" s="227" t="s">
        <v>558</v>
      </c>
      <c r="D136" s="228">
        <v>6150</v>
      </c>
      <c r="E136" s="228">
        <v>126.96</v>
      </c>
      <c r="F136" s="228">
        <v>131.55000000000001</v>
      </c>
      <c r="G136" s="228">
        <v>-4.59</v>
      </c>
      <c r="H136" s="229">
        <v>-3.49E-2</v>
      </c>
      <c r="I136" s="228">
        <v>127.22</v>
      </c>
      <c r="J136" s="228">
        <v>131.76</v>
      </c>
      <c r="K136" s="228">
        <v>-4.54</v>
      </c>
      <c r="L136" s="229">
        <v>-3.4500000000000003E-2</v>
      </c>
      <c r="M136" s="228">
        <v>126.96</v>
      </c>
      <c r="N136" s="228">
        <v>131.55000000000001</v>
      </c>
      <c r="O136" s="228">
        <v>-4.59</v>
      </c>
      <c r="P136" s="229">
        <v>-3.49E-2</v>
      </c>
      <c r="Q136" s="228">
        <v>127.73</v>
      </c>
      <c r="R136" s="228">
        <v>132.32</v>
      </c>
      <c r="S136" s="228">
        <v>-4.59</v>
      </c>
      <c r="T136" s="229">
        <v>-3.4700000000000002E-2</v>
      </c>
      <c r="U136" s="228">
        <v>128.35</v>
      </c>
      <c r="V136" s="228">
        <v>132.80000000000001</v>
      </c>
      <c r="W136" s="228">
        <v>-4.45</v>
      </c>
      <c r="X136" s="229">
        <v>-3.3500000000000002E-2</v>
      </c>
      <c r="Y136" s="228">
        <v>-0.26</v>
      </c>
      <c r="Z136" s="228">
        <v>-0.21</v>
      </c>
      <c r="AA136" s="228">
        <v>-0.05</v>
      </c>
      <c r="AB136" s="229">
        <v>-2E-3</v>
      </c>
      <c r="AC136" s="228">
        <v>-0.26</v>
      </c>
      <c r="AD136" s="228">
        <v>-0.21</v>
      </c>
      <c r="AE136" s="228">
        <v>-0.05</v>
      </c>
      <c r="AF136" s="229">
        <v>-2E-3</v>
      </c>
      <c r="AG136" s="228">
        <v>0.51</v>
      </c>
      <c r="AH136" s="228">
        <v>0.56000000000000005</v>
      </c>
      <c r="AI136" s="228">
        <v>-0.05</v>
      </c>
      <c r="AJ136" s="229">
        <v>4.0000000000000001E-3</v>
      </c>
      <c r="AK136" s="228">
        <v>1.1299999999999999</v>
      </c>
      <c r="AL136" s="228">
        <v>1.04</v>
      </c>
      <c r="AM136" s="228">
        <v>0.09</v>
      </c>
      <c r="AN136" s="229">
        <v>8.8999999999999999E-3</v>
      </c>
      <c r="AO136" s="228">
        <v>127.67</v>
      </c>
      <c r="AP136" s="228">
        <v>128.46</v>
      </c>
      <c r="AQ136" s="228">
        <v>0</v>
      </c>
      <c r="AR136" s="230">
        <v>98117100</v>
      </c>
      <c r="AS136" s="230">
        <v>48910950</v>
      </c>
      <c r="AT136" s="230">
        <v>49206150</v>
      </c>
      <c r="AU136" s="229">
        <v>1.006</v>
      </c>
      <c r="AV136" s="230">
        <v>53498850</v>
      </c>
      <c r="AW136" s="230">
        <v>35608500</v>
      </c>
      <c r="AX136" s="230">
        <v>17890350</v>
      </c>
      <c r="AY136" s="229">
        <v>0.50239999999999996</v>
      </c>
      <c r="AZ136" s="230">
        <v>44138550</v>
      </c>
      <c r="BA136" s="230">
        <v>12220050</v>
      </c>
      <c r="BB136" s="230">
        <v>31918500</v>
      </c>
      <c r="BC136" s="229">
        <v>2.6120000000000001</v>
      </c>
      <c r="BD136" s="230">
        <v>479700</v>
      </c>
      <c r="BE136" s="230">
        <v>1082400</v>
      </c>
      <c r="BF136" s="230">
        <v>-602700</v>
      </c>
      <c r="BG136" s="229">
        <v>-0.55679999999999996</v>
      </c>
      <c r="BH136" s="230">
        <v>65688150</v>
      </c>
      <c r="BI136" s="230">
        <v>171726450</v>
      </c>
      <c r="BJ136" s="230">
        <v>-106038300</v>
      </c>
      <c r="BK136" s="229">
        <v>-0.61750000000000005</v>
      </c>
      <c r="BL136" s="230">
        <v>44864250</v>
      </c>
      <c r="BM136" s="230">
        <v>71235450</v>
      </c>
      <c r="BN136" s="230">
        <v>-26371200</v>
      </c>
      <c r="BO136" s="229">
        <v>-0.37019999999999997</v>
      </c>
      <c r="BP136" s="230">
        <v>208669500</v>
      </c>
      <c r="BQ136" s="230">
        <v>291872850</v>
      </c>
      <c r="BR136" s="230">
        <v>-83203350</v>
      </c>
      <c r="BS136" s="229">
        <v>-0.28510000000000002</v>
      </c>
      <c r="BT136" s="230">
        <v>24399989</v>
      </c>
      <c r="BU136" s="230">
        <v>46053648</v>
      </c>
      <c r="BV136" s="230">
        <v>-21653659</v>
      </c>
      <c r="BW136" s="229">
        <v>-0.47020000000000001</v>
      </c>
      <c r="BX136" s="230">
        <v>135429150</v>
      </c>
      <c r="BY136" s="230">
        <v>130619850</v>
      </c>
      <c r="BZ136" s="230">
        <v>4809300</v>
      </c>
      <c r="CA136" s="229">
        <v>3.6799999999999999E-2</v>
      </c>
      <c r="CB136" s="230">
        <v>81942600</v>
      </c>
      <c r="CC136" s="230">
        <v>109217850</v>
      </c>
      <c r="CD136" s="230">
        <v>-27275250</v>
      </c>
      <c r="CE136" s="229">
        <v>-0.24970000000000001</v>
      </c>
      <c r="CF136" s="230">
        <v>44784300</v>
      </c>
      <c r="CG136" s="230">
        <v>12687450</v>
      </c>
      <c r="CH136" s="230">
        <v>32096850</v>
      </c>
      <c r="CI136" s="229">
        <v>2.5297999999999998</v>
      </c>
      <c r="CJ136" s="230">
        <v>8702250</v>
      </c>
      <c r="CK136" s="230">
        <v>8714550</v>
      </c>
      <c r="CL136" s="230">
        <v>-12300</v>
      </c>
      <c r="CM136" s="229">
        <v>-1.4E-3</v>
      </c>
      <c r="CN136" s="230">
        <v>49353750</v>
      </c>
      <c r="CO136" s="230">
        <v>50466900</v>
      </c>
      <c r="CP136" s="230">
        <v>-1113150</v>
      </c>
      <c r="CQ136" s="229">
        <v>-2.2100000000000002E-2</v>
      </c>
      <c r="CR136" s="230">
        <v>45141000</v>
      </c>
      <c r="CS136" s="230">
        <v>46875300</v>
      </c>
      <c r="CT136" s="230">
        <v>-1734300</v>
      </c>
      <c r="CU136" s="229">
        <v>-3.6999999999999998E-2</v>
      </c>
      <c r="CV136" s="230">
        <v>229923900</v>
      </c>
      <c r="CW136" s="230">
        <v>227962050</v>
      </c>
      <c r="CX136" s="230">
        <v>1961850</v>
      </c>
      <c r="CY136" s="229">
        <v>8.6E-3</v>
      </c>
      <c r="CZ136" s="228">
        <v>39.72</v>
      </c>
      <c r="DA136" s="228">
        <v>38.47</v>
      </c>
      <c r="DB136" s="228">
        <v>1.25</v>
      </c>
      <c r="DC136" s="228">
        <v>1.25</v>
      </c>
      <c r="DD136" s="228">
        <v>43.75</v>
      </c>
      <c r="DE136" s="228">
        <v>43.6</v>
      </c>
      <c r="DF136" s="228">
        <v>-4.03</v>
      </c>
      <c r="DG136" s="228">
        <v>0.15</v>
      </c>
      <c r="DH136" s="228">
        <v>39.53</v>
      </c>
      <c r="DI136" s="228">
        <v>37.049999999999997</v>
      </c>
      <c r="DJ136" s="228">
        <v>2.48</v>
      </c>
      <c r="DK136" s="228">
        <v>2.48</v>
      </c>
      <c r="DL136" s="228">
        <v>40.47</v>
      </c>
      <c r="DM136" s="228">
        <v>41.89</v>
      </c>
      <c r="DN136" s="228">
        <v>-1.42</v>
      </c>
      <c r="DO136" s="228">
        <v>-1.42</v>
      </c>
      <c r="DP136" s="228">
        <v>0.91</v>
      </c>
      <c r="DQ136" s="228">
        <v>0.93</v>
      </c>
      <c r="DR136" s="228">
        <v>-0.02</v>
      </c>
      <c r="DS136" s="229">
        <v>-2.1499999999999998E-2</v>
      </c>
      <c r="DT136" s="228">
        <v>120</v>
      </c>
      <c r="DU136" s="228">
        <v>120</v>
      </c>
      <c r="DV136" s="228">
        <v>0.68</v>
      </c>
      <c r="DW136" s="228">
        <v>0.41</v>
      </c>
      <c r="DX136" s="228">
        <v>0.27</v>
      </c>
      <c r="DY136" s="229">
        <v>0.65849999999999997</v>
      </c>
      <c r="DZ136" s="229">
        <v>0.39489999999999997</v>
      </c>
      <c r="EA136" s="230">
        <v>21402000</v>
      </c>
      <c r="EB136" s="229">
        <v>6.1000000000000004E-3</v>
      </c>
      <c r="EC136" s="229">
        <v>0.39489999999999997</v>
      </c>
      <c r="ED136" s="228">
        <v>0.79</v>
      </c>
      <c r="EE136" s="229">
        <v>6.1999999999999998E-3</v>
      </c>
      <c r="EF136" s="230">
        <v>10724380</v>
      </c>
      <c r="EG136" s="230">
        <v>17667326</v>
      </c>
      <c r="EH136" s="229">
        <v>-0.39300000000000002</v>
      </c>
      <c r="EI136" s="229">
        <v>0.4395</v>
      </c>
      <c r="EJ136" s="231">
        <v>88345.21</v>
      </c>
      <c r="EK136" s="231">
        <v>55872.160000000003</v>
      </c>
      <c r="EL136" s="231">
        <v>125625.62</v>
      </c>
      <c r="EM136" s="231">
        <v>4818</v>
      </c>
      <c r="EN136" s="231">
        <v>269842.99</v>
      </c>
      <c r="EO136" s="231">
        <v>383244.6</v>
      </c>
      <c r="EP136" s="231">
        <v>-113401.61</v>
      </c>
      <c r="EQ136" s="229">
        <v>-0.2959</v>
      </c>
      <c r="ER136" s="231">
        <v>62503</v>
      </c>
      <c r="ES136" s="231">
        <v>52888</v>
      </c>
      <c r="ET136" s="231">
        <v>172407</v>
      </c>
      <c r="EU136" s="231">
        <v>588447385</v>
      </c>
      <c r="EV136" s="231">
        <v>287798</v>
      </c>
      <c r="EW136" s="231">
        <v>290938</v>
      </c>
      <c r="EX136" s="231">
        <v>-3140</v>
      </c>
      <c r="EY136" s="229">
        <v>-1.0800000000000001E-2</v>
      </c>
      <c r="EZ136" s="229">
        <v>0.39069999999999999</v>
      </c>
      <c r="FA136" s="227" t="s">
        <v>566</v>
      </c>
      <c r="FB136" s="161">
        <f t="shared" si="2"/>
        <v>53486550</v>
      </c>
    </row>
    <row r="137" spans="1:158" ht="17.25" thickBot="1" x14ac:dyDescent="0.3">
      <c r="A137" s="226">
        <v>46135</v>
      </c>
      <c r="B137" s="227" t="s">
        <v>175</v>
      </c>
      <c r="C137" s="227" t="s">
        <v>698</v>
      </c>
      <c r="D137" s="228">
        <v>775</v>
      </c>
      <c r="E137" s="228">
        <v>791.05</v>
      </c>
      <c r="F137" s="228">
        <v>813.55</v>
      </c>
      <c r="G137" s="228">
        <v>-22.5</v>
      </c>
      <c r="H137" s="229">
        <v>-2.7699999999999999E-2</v>
      </c>
      <c r="I137" s="228">
        <v>790.85</v>
      </c>
      <c r="J137" s="228">
        <v>811.2</v>
      </c>
      <c r="K137" s="228">
        <v>-20.350000000000001</v>
      </c>
      <c r="L137" s="229">
        <v>-2.5100000000000001E-2</v>
      </c>
      <c r="M137" s="228">
        <v>791.05</v>
      </c>
      <c r="N137" s="228">
        <v>813.55</v>
      </c>
      <c r="O137" s="228">
        <v>-22.5</v>
      </c>
      <c r="P137" s="229">
        <v>-2.7699999999999999E-2</v>
      </c>
      <c r="Q137" s="228">
        <v>794.6</v>
      </c>
      <c r="R137" s="228">
        <v>815.6</v>
      </c>
      <c r="S137" s="228">
        <v>-21</v>
      </c>
      <c r="T137" s="229">
        <v>-2.5700000000000001E-2</v>
      </c>
      <c r="U137" s="228">
        <v>798.5</v>
      </c>
      <c r="V137" s="228">
        <v>820.65</v>
      </c>
      <c r="W137" s="228">
        <v>-22.15</v>
      </c>
      <c r="X137" s="229">
        <v>-2.7E-2</v>
      </c>
      <c r="Y137" s="228">
        <v>0.2</v>
      </c>
      <c r="Z137" s="228">
        <v>2.35</v>
      </c>
      <c r="AA137" s="228">
        <v>-2.15</v>
      </c>
      <c r="AB137" s="229">
        <v>2.9999999999999997E-4</v>
      </c>
      <c r="AC137" s="228">
        <v>0.2</v>
      </c>
      <c r="AD137" s="228">
        <v>2.35</v>
      </c>
      <c r="AE137" s="228">
        <v>-2.15</v>
      </c>
      <c r="AF137" s="229">
        <v>2.9999999999999997E-4</v>
      </c>
      <c r="AG137" s="228">
        <v>3.75</v>
      </c>
      <c r="AH137" s="228">
        <v>4.4000000000000004</v>
      </c>
      <c r="AI137" s="228">
        <v>-0.65</v>
      </c>
      <c r="AJ137" s="229">
        <v>4.7000000000000002E-3</v>
      </c>
      <c r="AK137" s="228">
        <v>7.65</v>
      </c>
      <c r="AL137" s="228">
        <v>9.4499999999999993</v>
      </c>
      <c r="AM137" s="228">
        <v>-1.8</v>
      </c>
      <c r="AN137" s="229">
        <v>9.7000000000000003E-3</v>
      </c>
      <c r="AO137" s="228">
        <v>794.1</v>
      </c>
      <c r="AP137" s="228">
        <v>797.82</v>
      </c>
      <c r="AQ137" s="228">
        <v>0</v>
      </c>
      <c r="AR137" s="230">
        <v>2973675</v>
      </c>
      <c r="AS137" s="230">
        <v>494450</v>
      </c>
      <c r="AT137" s="230">
        <v>2479225</v>
      </c>
      <c r="AU137" s="229">
        <v>5.0141</v>
      </c>
      <c r="AV137" s="230">
        <v>1770100</v>
      </c>
      <c r="AW137" s="230">
        <v>382850</v>
      </c>
      <c r="AX137" s="230">
        <v>1387250</v>
      </c>
      <c r="AY137" s="229">
        <v>3.6234999999999999</v>
      </c>
      <c r="AZ137" s="230">
        <v>1188075</v>
      </c>
      <c r="BA137" s="230">
        <v>110825</v>
      </c>
      <c r="BB137" s="230">
        <v>1077250</v>
      </c>
      <c r="BC137" s="229">
        <v>9.7202999999999999</v>
      </c>
      <c r="BD137" s="230">
        <v>15500</v>
      </c>
      <c r="BE137" s="228">
        <v>775</v>
      </c>
      <c r="BF137" s="230">
        <v>14725</v>
      </c>
      <c r="BG137" s="229">
        <v>19</v>
      </c>
      <c r="BH137" s="230">
        <v>4626750</v>
      </c>
      <c r="BI137" s="230">
        <v>1439175</v>
      </c>
      <c r="BJ137" s="230">
        <v>3187575</v>
      </c>
      <c r="BK137" s="229">
        <v>2.2149000000000001</v>
      </c>
      <c r="BL137" s="230">
        <v>4161750</v>
      </c>
      <c r="BM137" s="230">
        <v>3233300</v>
      </c>
      <c r="BN137" s="230">
        <v>928450</v>
      </c>
      <c r="BO137" s="229">
        <v>0.28720000000000001</v>
      </c>
      <c r="BP137" s="230">
        <v>11762175</v>
      </c>
      <c r="BQ137" s="230">
        <v>5166925</v>
      </c>
      <c r="BR137" s="230">
        <v>6595250</v>
      </c>
      <c r="BS137" s="229">
        <v>1.2764</v>
      </c>
      <c r="BT137" s="230">
        <v>1170042</v>
      </c>
      <c r="BU137" s="230">
        <v>1066788</v>
      </c>
      <c r="BV137" s="230">
        <v>103254</v>
      </c>
      <c r="BW137" s="229">
        <v>9.6799999999999997E-2</v>
      </c>
      <c r="BX137" s="230">
        <v>3029475</v>
      </c>
      <c r="BY137" s="230">
        <v>2738075</v>
      </c>
      <c r="BZ137" s="230">
        <v>291400</v>
      </c>
      <c r="CA137" s="229">
        <v>0.10639999999999999</v>
      </c>
      <c r="CB137" s="230">
        <v>1958425</v>
      </c>
      <c r="CC137" s="230">
        <v>2528825</v>
      </c>
      <c r="CD137" s="230">
        <v>-570400</v>
      </c>
      <c r="CE137" s="229">
        <v>-0.22559999999999999</v>
      </c>
      <c r="CF137" s="230">
        <v>1050125</v>
      </c>
      <c r="CG137" s="230">
        <v>197625</v>
      </c>
      <c r="CH137" s="230">
        <v>852500</v>
      </c>
      <c r="CI137" s="229">
        <v>4.3136999999999999</v>
      </c>
      <c r="CJ137" s="230">
        <v>20925</v>
      </c>
      <c r="CK137" s="230">
        <v>11625</v>
      </c>
      <c r="CL137" s="230">
        <v>9300</v>
      </c>
      <c r="CM137" s="229">
        <v>0.8</v>
      </c>
      <c r="CN137" s="230">
        <v>1563950</v>
      </c>
      <c r="CO137" s="230">
        <v>1580225</v>
      </c>
      <c r="CP137" s="230">
        <v>-16275</v>
      </c>
      <c r="CQ137" s="229">
        <v>-1.03E-2</v>
      </c>
      <c r="CR137" s="230">
        <v>1447700</v>
      </c>
      <c r="CS137" s="230">
        <v>1478700</v>
      </c>
      <c r="CT137" s="230">
        <v>-31000</v>
      </c>
      <c r="CU137" s="229">
        <v>-2.1000000000000001E-2</v>
      </c>
      <c r="CV137" s="230">
        <v>6041125</v>
      </c>
      <c r="CW137" s="230">
        <v>5797000</v>
      </c>
      <c r="CX137" s="230">
        <v>244125</v>
      </c>
      <c r="CY137" s="229">
        <v>4.2099999999999999E-2</v>
      </c>
      <c r="CZ137" s="228">
        <v>40.380000000000003</v>
      </c>
      <c r="DA137" s="228">
        <v>41.73</v>
      </c>
      <c r="DB137" s="228">
        <v>-1.35</v>
      </c>
      <c r="DC137" s="228">
        <v>-1.35</v>
      </c>
      <c r="DD137" s="228">
        <v>54.5</v>
      </c>
      <c r="DE137" s="228">
        <v>54.51</v>
      </c>
      <c r="DF137" s="228">
        <v>-14.12</v>
      </c>
      <c r="DG137" s="228">
        <v>-0.01</v>
      </c>
      <c r="DH137" s="228">
        <v>41.84</v>
      </c>
      <c r="DI137" s="228">
        <v>40.72</v>
      </c>
      <c r="DJ137" s="228">
        <v>1.1200000000000001</v>
      </c>
      <c r="DK137" s="228">
        <v>1.1200000000000001</v>
      </c>
      <c r="DL137" s="228">
        <v>39.99</v>
      </c>
      <c r="DM137" s="228">
        <v>42.18</v>
      </c>
      <c r="DN137" s="228">
        <v>-2.19</v>
      </c>
      <c r="DO137" s="228">
        <v>-2.19</v>
      </c>
      <c r="DP137" s="228">
        <v>0.93</v>
      </c>
      <c r="DQ137" s="228">
        <v>0.94</v>
      </c>
      <c r="DR137" s="228">
        <v>-0.01</v>
      </c>
      <c r="DS137" s="229">
        <v>-1.06E-2</v>
      </c>
      <c r="DT137" s="228">
        <v>820</v>
      </c>
      <c r="DU137" s="228">
        <v>680</v>
      </c>
      <c r="DV137" s="228">
        <v>0.9</v>
      </c>
      <c r="DW137" s="228">
        <v>2.25</v>
      </c>
      <c r="DX137" s="228">
        <v>-1.35</v>
      </c>
      <c r="DY137" s="229">
        <v>-0.6</v>
      </c>
      <c r="DZ137" s="229">
        <v>0.35349999999999998</v>
      </c>
      <c r="EA137" s="230">
        <v>209250</v>
      </c>
      <c r="EB137" s="229">
        <v>4.4999999999999997E-3</v>
      </c>
      <c r="EC137" s="229">
        <v>0.35349999999999998</v>
      </c>
      <c r="ED137" s="228">
        <v>3.72</v>
      </c>
      <c r="EE137" s="229">
        <v>4.7000000000000002E-3</v>
      </c>
      <c r="EF137" s="230">
        <v>424093</v>
      </c>
      <c r="EG137" s="230">
        <v>512511</v>
      </c>
      <c r="EH137" s="229">
        <v>-0.17249999999999999</v>
      </c>
      <c r="EI137" s="229">
        <v>0.36249999999999999</v>
      </c>
      <c r="EJ137" s="231">
        <v>38385.17</v>
      </c>
      <c r="EK137" s="231">
        <v>30458.51</v>
      </c>
      <c r="EL137" s="231">
        <v>23660.06</v>
      </c>
      <c r="EM137" s="231">
        <v>2311</v>
      </c>
      <c r="EN137" s="231">
        <v>92503.74</v>
      </c>
      <c r="EO137" s="231">
        <v>40597.17</v>
      </c>
      <c r="EP137" s="231">
        <v>51906.57</v>
      </c>
      <c r="EQ137" s="229">
        <v>1.2786</v>
      </c>
      <c r="ER137" s="231">
        <v>12562</v>
      </c>
      <c r="ES137" s="231">
        <v>10600</v>
      </c>
      <c r="ET137" s="231">
        <v>24004</v>
      </c>
      <c r="EU137" s="231">
        <v>29196111</v>
      </c>
      <c r="EV137" s="231">
        <v>47165</v>
      </c>
      <c r="EW137" s="231">
        <v>45812</v>
      </c>
      <c r="EX137" s="231">
        <v>1353</v>
      </c>
      <c r="EY137" s="229">
        <v>2.9499999999999998E-2</v>
      </c>
      <c r="EZ137" s="229">
        <v>0.2069</v>
      </c>
      <c r="FA137" s="227" t="s">
        <v>566</v>
      </c>
      <c r="FB137" s="161">
        <f t="shared" si="2"/>
        <v>1071050</v>
      </c>
    </row>
    <row r="138" spans="1:158" ht="17.25" thickBot="1" x14ac:dyDescent="0.3">
      <c r="A138" s="226">
        <v>46135</v>
      </c>
      <c r="B138" s="227" t="s">
        <v>221</v>
      </c>
      <c r="C138" s="227" t="s">
        <v>487</v>
      </c>
      <c r="D138" s="228">
        <v>275</v>
      </c>
      <c r="E138" s="231">
        <v>2275.6</v>
      </c>
      <c r="F138" s="231">
        <v>2340.9</v>
      </c>
      <c r="G138" s="228">
        <v>-65.3</v>
      </c>
      <c r="H138" s="229">
        <v>-2.7900000000000001E-2</v>
      </c>
      <c r="I138" s="231">
        <v>2277</v>
      </c>
      <c r="J138" s="231">
        <v>2331</v>
      </c>
      <c r="K138" s="228">
        <v>-54</v>
      </c>
      <c r="L138" s="229">
        <v>-2.3199999999999998E-2</v>
      </c>
      <c r="M138" s="231">
        <v>2275.6</v>
      </c>
      <c r="N138" s="231">
        <v>2340.9</v>
      </c>
      <c r="O138" s="228">
        <v>-65.3</v>
      </c>
      <c r="P138" s="229">
        <v>-2.7900000000000001E-2</v>
      </c>
      <c r="Q138" s="231">
        <v>2288.6999999999998</v>
      </c>
      <c r="R138" s="231">
        <v>2347.1</v>
      </c>
      <c r="S138" s="228">
        <v>-58.4</v>
      </c>
      <c r="T138" s="229">
        <v>-2.4899999999999999E-2</v>
      </c>
      <c r="U138" s="231">
        <v>2298</v>
      </c>
      <c r="V138" s="231">
        <v>2359.9</v>
      </c>
      <c r="W138" s="228">
        <v>-61.9</v>
      </c>
      <c r="X138" s="229">
        <v>-2.6200000000000001E-2</v>
      </c>
      <c r="Y138" s="228">
        <v>-1.4</v>
      </c>
      <c r="Z138" s="228">
        <v>9.9</v>
      </c>
      <c r="AA138" s="228">
        <v>-11.3</v>
      </c>
      <c r="AB138" s="229">
        <v>-5.9999999999999995E-4</v>
      </c>
      <c r="AC138" s="228">
        <v>-1.4</v>
      </c>
      <c r="AD138" s="228">
        <v>9.9</v>
      </c>
      <c r="AE138" s="228">
        <v>-11.3</v>
      </c>
      <c r="AF138" s="229">
        <v>-5.9999999999999995E-4</v>
      </c>
      <c r="AG138" s="228">
        <v>11.7</v>
      </c>
      <c r="AH138" s="228">
        <v>16.100000000000001</v>
      </c>
      <c r="AI138" s="228">
        <v>-4.4000000000000004</v>
      </c>
      <c r="AJ138" s="229">
        <v>5.1000000000000004E-3</v>
      </c>
      <c r="AK138" s="228">
        <v>21</v>
      </c>
      <c r="AL138" s="228">
        <v>28.9</v>
      </c>
      <c r="AM138" s="228">
        <v>-7.9</v>
      </c>
      <c r="AN138" s="229">
        <v>9.1999999999999998E-3</v>
      </c>
      <c r="AO138" s="231">
        <v>2292.0300000000002</v>
      </c>
      <c r="AP138" s="231">
        <v>2301.9899999999998</v>
      </c>
      <c r="AQ138" s="228">
        <v>0</v>
      </c>
      <c r="AR138" s="230">
        <v>3223275</v>
      </c>
      <c r="AS138" s="230">
        <v>1531200</v>
      </c>
      <c r="AT138" s="230">
        <v>1692075</v>
      </c>
      <c r="AU138" s="229">
        <v>1.1051</v>
      </c>
      <c r="AV138" s="230">
        <v>1538900</v>
      </c>
      <c r="AW138" s="230">
        <v>1117325</v>
      </c>
      <c r="AX138" s="230">
        <v>421575</v>
      </c>
      <c r="AY138" s="229">
        <v>0.37730000000000002</v>
      </c>
      <c r="AZ138" s="230">
        <v>1679700</v>
      </c>
      <c r="BA138" s="230">
        <v>410850</v>
      </c>
      <c r="BB138" s="230">
        <v>1268850</v>
      </c>
      <c r="BC138" s="229">
        <v>3.0884</v>
      </c>
      <c r="BD138" s="230">
        <v>4675</v>
      </c>
      <c r="BE138" s="230">
        <v>3025</v>
      </c>
      <c r="BF138" s="230">
        <v>1650</v>
      </c>
      <c r="BG138" s="229">
        <v>0.54549999999999998</v>
      </c>
      <c r="BH138" s="230">
        <v>1328525</v>
      </c>
      <c r="BI138" s="230">
        <v>1743500</v>
      </c>
      <c r="BJ138" s="230">
        <v>-414975</v>
      </c>
      <c r="BK138" s="229">
        <v>-0.23799999999999999</v>
      </c>
      <c r="BL138" s="230">
        <v>808225</v>
      </c>
      <c r="BM138" s="230">
        <v>1522400</v>
      </c>
      <c r="BN138" s="230">
        <v>-714175</v>
      </c>
      <c r="BO138" s="229">
        <v>-0.46910000000000002</v>
      </c>
      <c r="BP138" s="230">
        <v>5360025</v>
      </c>
      <c r="BQ138" s="230">
        <v>4797100</v>
      </c>
      <c r="BR138" s="230">
        <v>562925</v>
      </c>
      <c r="BS138" s="229">
        <v>0.1173</v>
      </c>
      <c r="BT138" s="230">
        <v>376551</v>
      </c>
      <c r="BU138" s="230">
        <v>1024069</v>
      </c>
      <c r="BV138" s="230">
        <v>-647518</v>
      </c>
      <c r="BW138" s="229">
        <v>-0.63229999999999997</v>
      </c>
      <c r="BX138" s="230">
        <v>5257450</v>
      </c>
      <c r="BY138" s="230">
        <v>4692050</v>
      </c>
      <c r="BZ138" s="230">
        <v>565400</v>
      </c>
      <c r="CA138" s="229">
        <v>0.1205</v>
      </c>
      <c r="CB138" s="230">
        <v>3505700</v>
      </c>
      <c r="CC138" s="230">
        <v>4172025</v>
      </c>
      <c r="CD138" s="230">
        <v>-666325</v>
      </c>
      <c r="CE138" s="229">
        <v>-0.15970000000000001</v>
      </c>
      <c r="CF138" s="230">
        <v>1739925</v>
      </c>
      <c r="CG138" s="230">
        <v>510125</v>
      </c>
      <c r="CH138" s="230">
        <v>1229800</v>
      </c>
      <c r="CI138" s="229">
        <v>2.4108000000000001</v>
      </c>
      <c r="CJ138" s="230">
        <v>11825</v>
      </c>
      <c r="CK138" s="230">
        <v>9900</v>
      </c>
      <c r="CL138" s="230">
        <v>1925</v>
      </c>
      <c r="CM138" s="229">
        <v>0.19439999999999999</v>
      </c>
      <c r="CN138" s="230">
        <v>1486925</v>
      </c>
      <c r="CO138" s="230">
        <v>1300475</v>
      </c>
      <c r="CP138" s="230">
        <v>186450</v>
      </c>
      <c r="CQ138" s="229">
        <v>0.1434</v>
      </c>
      <c r="CR138" s="230">
        <v>1015575</v>
      </c>
      <c r="CS138" s="230">
        <v>944900</v>
      </c>
      <c r="CT138" s="230">
        <v>70675</v>
      </c>
      <c r="CU138" s="229">
        <v>7.4800000000000005E-2</v>
      </c>
      <c r="CV138" s="230">
        <v>7759950</v>
      </c>
      <c r="CW138" s="230">
        <v>6937425</v>
      </c>
      <c r="CX138" s="230">
        <v>822525</v>
      </c>
      <c r="CY138" s="229">
        <v>0.1186</v>
      </c>
      <c r="CZ138" s="228">
        <v>39.770000000000003</v>
      </c>
      <c r="DA138" s="228">
        <v>39.450000000000003</v>
      </c>
      <c r="DB138" s="228">
        <v>0.32</v>
      </c>
      <c r="DC138" s="228">
        <v>0.32</v>
      </c>
      <c r="DD138" s="228">
        <v>36.65</v>
      </c>
      <c r="DE138" s="228">
        <v>36.6</v>
      </c>
      <c r="DF138" s="228">
        <v>3.12</v>
      </c>
      <c r="DG138" s="228">
        <v>0.05</v>
      </c>
      <c r="DH138" s="228">
        <v>39.21</v>
      </c>
      <c r="DI138" s="228">
        <v>39.32</v>
      </c>
      <c r="DJ138" s="228">
        <v>-0.11</v>
      </c>
      <c r="DK138" s="228">
        <v>-0.11</v>
      </c>
      <c r="DL138" s="228">
        <v>41</v>
      </c>
      <c r="DM138" s="228">
        <v>39.6</v>
      </c>
      <c r="DN138" s="228">
        <v>1.4</v>
      </c>
      <c r="DO138" s="228">
        <v>1.4</v>
      </c>
      <c r="DP138" s="228">
        <v>0.68</v>
      </c>
      <c r="DQ138" s="228">
        <v>0.73</v>
      </c>
      <c r="DR138" s="228">
        <v>-0.05</v>
      </c>
      <c r="DS138" s="229">
        <v>-6.8500000000000005E-2</v>
      </c>
      <c r="DT138" s="231">
        <v>2500</v>
      </c>
      <c r="DU138" s="231">
        <v>2400</v>
      </c>
      <c r="DV138" s="228">
        <v>0.61</v>
      </c>
      <c r="DW138" s="228">
        <v>0.87</v>
      </c>
      <c r="DX138" s="228">
        <v>-0.26</v>
      </c>
      <c r="DY138" s="229">
        <v>-0.2989</v>
      </c>
      <c r="DZ138" s="229">
        <v>0.3332</v>
      </c>
      <c r="EA138" s="230">
        <v>520025</v>
      </c>
      <c r="EB138" s="229">
        <v>5.7999999999999996E-3</v>
      </c>
      <c r="EC138" s="229">
        <v>0.3332</v>
      </c>
      <c r="ED138" s="228">
        <v>9.9600000000000009</v>
      </c>
      <c r="EE138" s="229">
        <v>4.3E-3</v>
      </c>
      <c r="EF138" s="230">
        <v>191984</v>
      </c>
      <c r="EG138" s="230">
        <v>590217</v>
      </c>
      <c r="EH138" s="229">
        <v>-0.67469999999999997</v>
      </c>
      <c r="EI138" s="229">
        <v>0.50980000000000003</v>
      </c>
      <c r="EJ138" s="231">
        <v>32217.37</v>
      </c>
      <c r="EK138" s="231">
        <v>18519.45</v>
      </c>
      <c r="EL138" s="231">
        <v>74046.960000000006</v>
      </c>
      <c r="EM138" s="231">
        <v>2935</v>
      </c>
      <c r="EN138" s="231">
        <v>124783.78</v>
      </c>
      <c r="EO138" s="231">
        <v>115309.6</v>
      </c>
      <c r="EP138" s="231">
        <v>9474.18</v>
      </c>
      <c r="EQ138" s="229">
        <v>8.2199999999999995E-2</v>
      </c>
      <c r="ER138" s="231">
        <v>35566</v>
      </c>
      <c r="ES138" s="231">
        <v>22977</v>
      </c>
      <c r="ET138" s="231">
        <v>119869</v>
      </c>
      <c r="EU138" s="231">
        <v>19838356</v>
      </c>
      <c r="EV138" s="231">
        <v>178412</v>
      </c>
      <c r="EW138" s="231">
        <v>162644</v>
      </c>
      <c r="EX138" s="231">
        <v>15768</v>
      </c>
      <c r="EY138" s="229">
        <v>9.69E-2</v>
      </c>
      <c r="EZ138" s="229">
        <v>0.39119999999999999</v>
      </c>
      <c r="FA138" s="227" t="s">
        <v>566</v>
      </c>
      <c r="FB138" s="161">
        <f t="shared" si="2"/>
        <v>1751750</v>
      </c>
    </row>
    <row r="139" spans="1:158" ht="17.25" thickBot="1" x14ac:dyDescent="0.3">
      <c r="A139" s="226">
        <v>46135</v>
      </c>
      <c r="B139" s="227" t="s">
        <v>175</v>
      </c>
      <c r="C139" s="227" t="s">
        <v>262</v>
      </c>
      <c r="D139" s="228">
        <v>275</v>
      </c>
      <c r="E139" s="231">
        <v>3571.8</v>
      </c>
      <c r="F139" s="231">
        <v>3597.4</v>
      </c>
      <c r="G139" s="228">
        <v>-25.6</v>
      </c>
      <c r="H139" s="229">
        <v>-7.1000000000000004E-3</v>
      </c>
      <c r="I139" s="231">
        <v>3561.4</v>
      </c>
      <c r="J139" s="231">
        <v>3586.9</v>
      </c>
      <c r="K139" s="228">
        <v>-25.5</v>
      </c>
      <c r="L139" s="229">
        <v>-7.1000000000000004E-3</v>
      </c>
      <c r="M139" s="231">
        <v>3571.8</v>
      </c>
      <c r="N139" s="231">
        <v>3597.4</v>
      </c>
      <c r="O139" s="228">
        <v>-25.6</v>
      </c>
      <c r="P139" s="229">
        <v>-7.1000000000000004E-3</v>
      </c>
      <c r="Q139" s="231">
        <v>3580.1</v>
      </c>
      <c r="R139" s="231">
        <v>3609</v>
      </c>
      <c r="S139" s="228">
        <v>-28.9</v>
      </c>
      <c r="T139" s="229">
        <v>-8.0000000000000002E-3</v>
      </c>
      <c r="U139" s="231">
        <v>3595.5</v>
      </c>
      <c r="V139" s="231">
        <v>3631</v>
      </c>
      <c r="W139" s="228">
        <v>-35.5</v>
      </c>
      <c r="X139" s="229">
        <v>-9.7999999999999997E-3</v>
      </c>
      <c r="Y139" s="228">
        <v>10.4</v>
      </c>
      <c r="Z139" s="228">
        <v>10.5</v>
      </c>
      <c r="AA139" s="228">
        <v>-0.1</v>
      </c>
      <c r="AB139" s="229">
        <v>2.8999999999999998E-3</v>
      </c>
      <c r="AC139" s="228">
        <v>10.4</v>
      </c>
      <c r="AD139" s="228">
        <v>10.5</v>
      </c>
      <c r="AE139" s="228">
        <v>-0.1</v>
      </c>
      <c r="AF139" s="229">
        <v>2.8999999999999998E-3</v>
      </c>
      <c r="AG139" s="228">
        <v>18.7</v>
      </c>
      <c r="AH139" s="228">
        <v>22.1</v>
      </c>
      <c r="AI139" s="228">
        <v>-3.4</v>
      </c>
      <c r="AJ139" s="229">
        <v>5.3E-3</v>
      </c>
      <c r="AK139" s="228">
        <v>34.1</v>
      </c>
      <c r="AL139" s="228">
        <v>44.1</v>
      </c>
      <c r="AM139" s="228">
        <v>-10</v>
      </c>
      <c r="AN139" s="229">
        <v>9.5999999999999992E-3</v>
      </c>
      <c r="AO139" s="231">
        <v>3570.01</v>
      </c>
      <c r="AP139" s="231">
        <v>3574.24</v>
      </c>
      <c r="AQ139" s="228">
        <v>0</v>
      </c>
      <c r="AR139" s="230">
        <v>2677950</v>
      </c>
      <c r="AS139" s="230">
        <v>1189100</v>
      </c>
      <c r="AT139" s="230">
        <v>1488850</v>
      </c>
      <c r="AU139" s="229">
        <v>1.2521</v>
      </c>
      <c r="AV139" s="230">
        <v>1492700</v>
      </c>
      <c r="AW139" s="230">
        <v>914100</v>
      </c>
      <c r="AX139" s="230">
        <v>578600</v>
      </c>
      <c r="AY139" s="229">
        <v>0.63300000000000001</v>
      </c>
      <c r="AZ139" s="230">
        <v>1173975</v>
      </c>
      <c r="BA139" s="230">
        <v>260700</v>
      </c>
      <c r="BB139" s="230">
        <v>913275</v>
      </c>
      <c r="BC139" s="229">
        <v>3.5032000000000001</v>
      </c>
      <c r="BD139" s="230">
        <v>11275</v>
      </c>
      <c r="BE139" s="230">
        <v>14300</v>
      </c>
      <c r="BF139" s="230">
        <v>-3025</v>
      </c>
      <c r="BG139" s="229">
        <v>-0.21149999999999999</v>
      </c>
      <c r="BH139" s="230">
        <v>2387825</v>
      </c>
      <c r="BI139" s="230">
        <v>5390275</v>
      </c>
      <c r="BJ139" s="230">
        <v>-3002450</v>
      </c>
      <c r="BK139" s="229">
        <v>-0.55700000000000005</v>
      </c>
      <c r="BL139" s="230">
        <v>1450900</v>
      </c>
      <c r="BM139" s="230">
        <v>1934350</v>
      </c>
      <c r="BN139" s="230">
        <v>-483450</v>
      </c>
      <c r="BO139" s="229">
        <v>-0.24990000000000001</v>
      </c>
      <c r="BP139" s="230">
        <v>6516675</v>
      </c>
      <c r="BQ139" s="230">
        <v>8513725</v>
      </c>
      <c r="BR139" s="230">
        <v>-1997050</v>
      </c>
      <c r="BS139" s="229">
        <v>-0.2346</v>
      </c>
      <c r="BT139" s="230">
        <v>389124</v>
      </c>
      <c r="BU139" s="230">
        <v>836070</v>
      </c>
      <c r="BV139" s="230">
        <v>-446946</v>
      </c>
      <c r="BW139" s="229">
        <v>-0.53459999999999996</v>
      </c>
      <c r="BX139" s="230">
        <v>3798575</v>
      </c>
      <c r="BY139" s="230">
        <v>4005100</v>
      </c>
      <c r="BZ139" s="230">
        <v>-206525</v>
      </c>
      <c r="CA139" s="229">
        <v>-5.16E-2</v>
      </c>
      <c r="CB139" s="230">
        <v>2648250</v>
      </c>
      <c r="CC139" s="230">
        <v>3640450</v>
      </c>
      <c r="CD139" s="230">
        <v>-992200</v>
      </c>
      <c r="CE139" s="229">
        <v>-0.27250000000000002</v>
      </c>
      <c r="CF139" s="230">
        <v>1122275</v>
      </c>
      <c r="CG139" s="230">
        <v>340175</v>
      </c>
      <c r="CH139" s="230">
        <v>782100</v>
      </c>
      <c r="CI139" s="229">
        <v>2.2991000000000001</v>
      </c>
      <c r="CJ139" s="230">
        <v>28050</v>
      </c>
      <c r="CK139" s="230">
        <v>24475</v>
      </c>
      <c r="CL139" s="230">
        <v>3575</v>
      </c>
      <c r="CM139" s="229">
        <v>0.14610000000000001</v>
      </c>
      <c r="CN139" s="230">
        <v>2382325</v>
      </c>
      <c r="CO139" s="230">
        <v>2611125</v>
      </c>
      <c r="CP139" s="230">
        <v>-228800</v>
      </c>
      <c r="CQ139" s="229">
        <v>-8.7599999999999997E-2</v>
      </c>
      <c r="CR139" s="230">
        <v>1419550</v>
      </c>
      <c r="CS139" s="230">
        <v>1436325</v>
      </c>
      <c r="CT139" s="230">
        <v>-16775</v>
      </c>
      <c r="CU139" s="229">
        <v>-1.17E-2</v>
      </c>
      <c r="CV139" s="230">
        <v>7600450</v>
      </c>
      <c r="CW139" s="230">
        <v>8052550</v>
      </c>
      <c r="CX139" s="230">
        <v>-452100</v>
      </c>
      <c r="CY139" s="229">
        <v>-5.6099999999999997E-2</v>
      </c>
      <c r="CZ139" s="228">
        <v>39.04</v>
      </c>
      <c r="DA139" s="228">
        <v>34.6</v>
      </c>
      <c r="DB139" s="228">
        <v>4.4400000000000004</v>
      </c>
      <c r="DC139" s="228">
        <v>4.4400000000000004</v>
      </c>
      <c r="DD139" s="228">
        <v>43.96</v>
      </c>
      <c r="DE139" s="228">
        <v>44.06</v>
      </c>
      <c r="DF139" s="228">
        <v>-4.92</v>
      </c>
      <c r="DG139" s="228">
        <v>-0.1</v>
      </c>
      <c r="DH139" s="228">
        <v>38.049999999999997</v>
      </c>
      <c r="DI139" s="228">
        <v>33.65</v>
      </c>
      <c r="DJ139" s="228">
        <v>4.4000000000000004</v>
      </c>
      <c r="DK139" s="228">
        <v>4.4000000000000004</v>
      </c>
      <c r="DL139" s="228">
        <v>40.270000000000003</v>
      </c>
      <c r="DM139" s="228">
        <v>37.229999999999997</v>
      </c>
      <c r="DN139" s="228">
        <v>3.04</v>
      </c>
      <c r="DO139" s="228">
        <v>3.04</v>
      </c>
      <c r="DP139" s="228">
        <v>0.6</v>
      </c>
      <c r="DQ139" s="228">
        <v>0.55000000000000004</v>
      </c>
      <c r="DR139" s="228">
        <v>0.05</v>
      </c>
      <c r="DS139" s="229">
        <v>9.0899999999999995E-2</v>
      </c>
      <c r="DT139" s="231">
        <v>3650</v>
      </c>
      <c r="DU139" s="231">
        <v>3500</v>
      </c>
      <c r="DV139" s="228">
        <v>0.61</v>
      </c>
      <c r="DW139" s="228">
        <v>0.36</v>
      </c>
      <c r="DX139" s="228">
        <v>0.25</v>
      </c>
      <c r="DY139" s="229">
        <v>0.69440000000000002</v>
      </c>
      <c r="DZ139" s="229">
        <v>0.30280000000000001</v>
      </c>
      <c r="EA139" s="230">
        <v>364650</v>
      </c>
      <c r="EB139" s="229">
        <v>2.3E-3</v>
      </c>
      <c r="EC139" s="229">
        <v>0.30280000000000001</v>
      </c>
      <c r="ED139" s="228">
        <v>4.2300000000000004</v>
      </c>
      <c r="EE139" s="229">
        <v>1.1999999999999999E-3</v>
      </c>
      <c r="EF139" s="230">
        <v>192918</v>
      </c>
      <c r="EG139" s="230">
        <v>447666</v>
      </c>
      <c r="EH139" s="229">
        <v>-0.56910000000000005</v>
      </c>
      <c r="EI139" s="229">
        <v>0.49580000000000002</v>
      </c>
      <c r="EJ139" s="231">
        <v>88801.08</v>
      </c>
      <c r="EK139" s="231">
        <v>50557.7</v>
      </c>
      <c r="EL139" s="231">
        <v>95655.06</v>
      </c>
      <c r="EM139" s="231">
        <v>3159</v>
      </c>
      <c r="EN139" s="231">
        <v>235013.84</v>
      </c>
      <c r="EO139" s="231">
        <v>313776.56</v>
      </c>
      <c r="EP139" s="231">
        <v>-78762.720000000001</v>
      </c>
      <c r="EQ139" s="229">
        <v>-0.251</v>
      </c>
      <c r="ER139" s="231">
        <v>86026</v>
      </c>
      <c r="ES139" s="231">
        <v>47615</v>
      </c>
      <c r="ET139" s="231">
        <v>135777</v>
      </c>
      <c r="EU139" s="231">
        <v>16050690</v>
      </c>
      <c r="EV139" s="231">
        <v>269418</v>
      </c>
      <c r="EW139" s="231">
        <v>286703</v>
      </c>
      <c r="EX139" s="231">
        <v>-17285</v>
      </c>
      <c r="EY139" s="229">
        <v>-6.0299999999999999E-2</v>
      </c>
      <c r="EZ139" s="229">
        <v>0.47349999999999998</v>
      </c>
      <c r="FA139" s="227" t="s">
        <v>567</v>
      </c>
      <c r="FB139" s="161">
        <f>BX139-CB139</f>
        <v>1150325</v>
      </c>
    </row>
    <row r="140" spans="1:158" ht="17.25" thickBot="1" x14ac:dyDescent="0.3">
      <c r="A140" s="226">
        <v>46135</v>
      </c>
      <c r="B140" s="227" t="s">
        <v>175</v>
      </c>
      <c r="C140" s="227" t="s">
        <v>486</v>
      </c>
      <c r="D140" s="228">
        <v>625</v>
      </c>
      <c r="E140" s="231">
        <v>1035.05</v>
      </c>
      <c r="F140" s="231">
        <v>1053.05</v>
      </c>
      <c r="G140" s="228">
        <v>-18</v>
      </c>
      <c r="H140" s="229">
        <v>-1.7100000000000001E-2</v>
      </c>
      <c r="I140" s="231">
        <v>1031.95</v>
      </c>
      <c r="J140" s="231">
        <v>1060.0999999999999</v>
      </c>
      <c r="K140" s="228">
        <v>-28.15</v>
      </c>
      <c r="L140" s="229">
        <v>-2.6599999999999999E-2</v>
      </c>
      <c r="M140" s="231">
        <v>1035.05</v>
      </c>
      <c r="N140" s="231">
        <v>1053.05</v>
      </c>
      <c r="O140" s="228">
        <v>-18</v>
      </c>
      <c r="P140" s="229">
        <v>-1.7100000000000001E-2</v>
      </c>
      <c r="Q140" s="231">
        <v>1014.15</v>
      </c>
      <c r="R140" s="231">
        <v>1043.0999999999999</v>
      </c>
      <c r="S140" s="228">
        <v>-28.95</v>
      </c>
      <c r="T140" s="229">
        <v>-2.7799999999999998E-2</v>
      </c>
      <c r="U140" s="231">
        <v>1003.8</v>
      </c>
      <c r="V140" s="231">
        <v>1027.1500000000001</v>
      </c>
      <c r="W140" s="228">
        <v>-23.35</v>
      </c>
      <c r="X140" s="229">
        <v>-2.2700000000000001E-2</v>
      </c>
      <c r="Y140" s="228">
        <v>3.1</v>
      </c>
      <c r="Z140" s="228">
        <v>-7.05</v>
      </c>
      <c r="AA140" s="228">
        <v>10.15</v>
      </c>
      <c r="AB140" s="229">
        <v>3.0000000000000001E-3</v>
      </c>
      <c r="AC140" s="228">
        <v>3.1</v>
      </c>
      <c r="AD140" s="228">
        <v>-7.05</v>
      </c>
      <c r="AE140" s="228">
        <v>10.15</v>
      </c>
      <c r="AF140" s="229">
        <v>3.0000000000000001E-3</v>
      </c>
      <c r="AG140" s="228">
        <v>-17.8</v>
      </c>
      <c r="AH140" s="228">
        <v>-17</v>
      </c>
      <c r="AI140" s="228">
        <v>-0.8</v>
      </c>
      <c r="AJ140" s="229">
        <v>-1.72E-2</v>
      </c>
      <c r="AK140" s="228">
        <v>-28.15</v>
      </c>
      <c r="AL140" s="228">
        <v>-32.950000000000003</v>
      </c>
      <c r="AM140" s="228">
        <v>4.8</v>
      </c>
      <c r="AN140" s="229">
        <v>-2.7300000000000001E-2</v>
      </c>
      <c r="AO140" s="231">
        <v>1044.57</v>
      </c>
      <c r="AP140" s="231">
        <v>1026.32</v>
      </c>
      <c r="AQ140" s="228">
        <v>0</v>
      </c>
      <c r="AR140" s="230">
        <v>3538750</v>
      </c>
      <c r="AS140" s="230">
        <v>1280000</v>
      </c>
      <c r="AT140" s="230">
        <v>2258750</v>
      </c>
      <c r="AU140" s="229">
        <v>1.7645999999999999</v>
      </c>
      <c r="AV140" s="230">
        <v>1821250</v>
      </c>
      <c r="AW140" s="230">
        <v>753750</v>
      </c>
      <c r="AX140" s="230">
        <v>1067500</v>
      </c>
      <c r="AY140" s="229">
        <v>1.4162999999999999</v>
      </c>
      <c r="AZ140" s="230">
        <v>1703125</v>
      </c>
      <c r="BA140" s="230">
        <v>522500</v>
      </c>
      <c r="BB140" s="230">
        <v>1180625</v>
      </c>
      <c r="BC140" s="229">
        <v>2.2595999999999998</v>
      </c>
      <c r="BD140" s="230">
        <v>14375</v>
      </c>
      <c r="BE140" s="230">
        <v>3750</v>
      </c>
      <c r="BF140" s="230">
        <v>10625</v>
      </c>
      <c r="BG140" s="229">
        <v>2.8332999999999999</v>
      </c>
      <c r="BH140" s="230">
        <v>1126250</v>
      </c>
      <c r="BI140" s="230">
        <v>1495000</v>
      </c>
      <c r="BJ140" s="230">
        <v>-368750</v>
      </c>
      <c r="BK140" s="229">
        <v>-0.2467</v>
      </c>
      <c r="BL140" s="230">
        <v>1565000</v>
      </c>
      <c r="BM140" s="230">
        <v>1268750</v>
      </c>
      <c r="BN140" s="230">
        <v>296250</v>
      </c>
      <c r="BO140" s="229">
        <v>0.23350000000000001</v>
      </c>
      <c r="BP140" s="230">
        <v>6230000</v>
      </c>
      <c r="BQ140" s="230">
        <v>4043750</v>
      </c>
      <c r="BR140" s="230">
        <v>2186250</v>
      </c>
      <c r="BS140" s="229">
        <v>0.54059999999999997</v>
      </c>
      <c r="BT140" s="230">
        <v>1139564</v>
      </c>
      <c r="BU140" s="230">
        <v>1644071</v>
      </c>
      <c r="BV140" s="230">
        <v>-504507</v>
      </c>
      <c r="BW140" s="229">
        <v>-0.30690000000000001</v>
      </c>
      <c r="BX140" s="230">
        <v>3535000</v>
      </c>
      <c r="BY140" s="230">
        <v>3740000</v>
      </c>
      <c r="BZ140" s="230">
        <v>-205000</v>
      </c>
      <c r="CA140" s="229">
        <v>-5.4800000000000001E-2</v>
      </c>
      <c r="CB140" s="230">
        <v>2088125</v>
      </c>
      <c r="CC140" s="230">
        <v>3000625</v>
      </c>
      <c r="CD140" s="230">
        <v>-912500</v>
      </c>
      <c r="CE140" s="229">
        <v>-0.30409999999999998</v>
      </c>
      <c r="CF140" s="230">
        <v>1430625</v>
      </c>
      <c r="CG140" s="230">
        <v>731875</v>
      </c>
      <c r="CH140" s="230">
        <v>698750</v>
      </c>
      <c r="CI140" s="229">
        <v>0.95469999999999999</v>
      </c>
      <c r="CJ140" s="230">
        <v>16250</v>
      </c>
      <c r="CK140" s="230">
        <v>7500</v>
      </c>
      <c r="CL140" s="230">
        <v>8750</v>
      </c>
      <c r="CM140" s="229">
        <v>1.1667000000000001</v>
      </c>
      <c r="CN140" s="230">
        <v>1160625</v>
      </c>
      <c r="CO140" s="230">
        <v>1203125</v>
      </c>
      <c r="CP140" s="230">
        <v>-42500</v>
      </c>
      <c r="CQ140" s="229">
        <v>-3.5299999999999998E-2</v>
      </c>
      <c r="CR140" s="230">
        <v>578125</v>
      </c>
      <c r="CS140" s="230">
        <v>645000</v>
      </c>
      <c r="CT140" s="230">
        <v>-66875</v>
      </c>
      <c r="CU140" s="229">
        <v>-0.1037</v>
      </c>
      <c r="CV140" s="230">
        <v>5273750</v>
      </c>
      <c r="CW140" s="230">
        <v>5588125</v>
      </c>
      <c r="CX140" s="230">
        <v>-314375</v>
      </c>
      <c r="CY140" s="229">
        <v>-5.6300000000000003E-2</v>
      </c>
      <c r="CZ140" s="228">
        <v>52.14</v>
      </c>
      <c r="DA140" s="228">
        <v>64.58</v>
      </c>
      <c r="DB140" s="228">
        <v>-12.44</v>
      </c>
      <c r="DC140" s="228">
        <v>-12.44</v>
      </c>
      <c r="DD140" s="228">
        <v>50.12</v>
      </c>
      <c r="DE140" s="228">
        <v>50.12</v>
      </c>
      <c r="DF140" s="228">
        <v>2.02</v>
      </c>
      <c r="DG140" s="228">
        <v>0</v>
      </c>
      <c r="DH140" s="228">
        <v>52.48</v>
      </c>
      <c r="DI140" s="228">
        <v>65.2</v>
      </c>
      <c r="DJ140" s="228">
        <v>-12.72</v>
      </c>
      <c r="DK140" s="228">
        <v>-12.72</v>
      </c>
      <c r="DL140" s="228">
        <v>51.74</v>
      </c>
      <c r="DM140" s="228">
        <v>63.86</v>
      </c>
      <c r="DN140" s="228">
        <v>-12.12</v>
      </c>
      <c r="DO140" s="228">
        <v>-12.12</v>
      </c>
      <c r="DP140" s="228">
        <v>0.5</v>
      </c>
      <c r="DQ140" s="228">
        <v>0.54</v>
      </c>
      <c r="DR140" s="228">
        <v>-0.04</v>
      </c>
      <c r="DS140" s="229">
        <v>-7.4099999999999999E-2</v>
      </c>
      <c r="DT140" s="231">
        <v>1080</v>
      </c>
      <c r="DU140" s="228">
        <v>960</v>
      </c>
      <c r="DV140" s="228">
        <v>1.39</v>
      </c>
      <c r="DW140" s="228">
        <v>0.85</v>
      </c>
      <c r="DX140" s="228">
        <v>0.54</v>
      </c>
      <c r="DY140" s="229">
        <v>0.63529999999999998</v>
      </c>
      <c r="DZ140" s="229">
        <v>0.4093</v>
      </c>
      <c r="EA140" s="230">
        <v>739375</v>
      </c>
      <c r="EB140" s="229">
        <v>-2.0199999999999999E-2</v>
      </c>
      <c r="EC140" s="229">
        <v>0.4093</v>
      </c>
      <c r="ED140" s="228">
        <v>-18.25</v>
      </c>
      <c r="EE140" s="229">
        <v>-1.7500000000000002E-2</v>
      </c>
      <c r="EF140" s="230">
        <v>598923</v>
      </c>
      <c r="EG140" s="230">
        <v>955293</v>
      </c>
      <c r="EH140" s="229">
        <v>-0.373</v>
      </c>
      <c r="EI140" s="229">
        <v>0.52559999999999996</v>
      </c>
      <c r="EJ140" s="231">
        <v>12470.86</v>
      </c>
      <c r="EK140" s="231">
        <v>14417.96</v>
      </c>
      <c r="EL140" s="231">
        <v>36650.69</v>
      </c>
      <c r="EM140" s="231">
        <v>1953</v>
      </c>
      <c r="EN140" s="231">
        <v>63539.51</v>
      </c>
      <c r="EO140" s="231">
        <v>41434.550000000003</v>
      </c>
      <c r="EP140" s="231">
        <v>22104.959999999999</v>
      </c>
      <c r="EQ140" s="229">
        <v>0.53349999999999997</v>
      </c>
      <c r="ER140" s="231">
        <v>12001</v>
      </c>
      <c r="ES140" s="231">
        <v>5335</v>
      </c>
      <c r="ET140" s="231">
        <v>36285</v>
      </c>
      <c r="EU140" s="231">
        <v>26709548</v>
      </c>
      <c r="EV140" s="231">
        <v>53621</v>
      </c>
      <c r="EW140" s="231">
        <v>57687</v>
      </c>
      <c r="EX140" s="231">
        <v>-4066</v>
      </c>
      <c r="EY140" s="229">
        <v>-7.0499999999999993E-2</v>
      </c>
      <c r="EZ140" s="229">
        <v>0.19739999999999999</v>
      </c>
      <c r="FA140" s="227" t="s">
        <v>567</v>
      </c>
      <c r="FB140" s="161">
        <f>BX140-CB140</f>
        <v>1446875</v>
      </c>
    </row>
    <row r="141" spans="1:158" ht="17.25" thickBot="1" x14ac:dyDescent="0.3">
      <c r="A141" s="226">
        <v>46135</v>
      </c>
      <c r="B141" s="227" t="s">
        <v>227</v>
      </c>
      <c r="C141" s="227" t="s">
        <v>263</v>
      </c>
      <c r="D141" s="228">
        <v>3750</v>
      </c>
      <c r="E141" s="228">
        <v>439.75</v>
      </c>
      <c r="F141" s="228">
        <v>436.95</v>
      </c>
      <c r="G141" s="228">
        <v>2.8</v>
      </c>
      <c r="H141" s="229">
        <v>6.4000000000000003E-3</v>
      </c>
      <c r="I141" s="228">
        <v>439.25</v>
      </c>
      <c r="J141" s="228">
        <v>435.95</v>
      </c>
      <c r="K141" s="228">
        <v>3.3</v>
      </c>
      <c r="L141" s="229">
        <v>7.6E-3</v>
      </c>
      <c r="M141" s="228">
        <v>439.75</v>
      </c>
      <c r="N141" s="228">
        <v>436.95</v>
      </c>
      <c r="O141" s="228">
        <v>2.8</v>
      </c>
      <c r="P141" s="229">
        <v>6.4000000000000003E-3</v>
      </c>
      <c r="Q141" s="228">
        <v>442.2</v>
      </c>
      <c r="R141" s="228">
        <v>439.2</v>
      </c>
      <c r="S141" s="228">
        <v>3</v>
      </c>
      <c r="T141" s="229">
        <v>6.7999999999999996E-3</v>
      </c>
      <c r="U141" s="228">
        <v>444.6</v>
      </c>
      <c r="V141" s="228">
        <v>441</v>
      </c>
      <c r="W141" s="228">
        <v>3.6</v>
      </c>
      <c r="X141" s="229">
        <v>8.2000000000000007E-3</v>
      </c>
      <c r="Y141" s="228">
        <v>0.5</v>
      </c>
      <c r="Z141" s="228">
        <v>1</v>
      </c>
      <c r="AA141" s="228">
        <v>-0.5</v>
      </c>
      <c r="AB141" s="229">
        <v>1.1000000000000001E-3</v>
      </c>
      <c r="AC141" s="228">
        <v>0.5</v>
      </c>
      <c r="AD141" s="228">
        <v>1</v>
      </c>
      <c r="AE141" s="228">
        <v>-0.5</v>
      </c>
      <c r="AF141" s="229">
        <v>1.1000000000000001E-3</v>
      </c>
      <c r="AG141" s="228">
        <v>2.95</v>
      </c>
      <c r="AH141" s="228">
        <v>3.25</v>
      </c>
      <c r="AI141" s="228">
        <v>-0.3</v>
      </c>
      <c r="AJ141" s="229">
        <v>6.7000000000000002E-3</v>
      </c>
      <c r="AK141" s="228">
        <v>5.35</v>
      </c>
      <c r="AL141" s="228">
        <v>5.05</v>
      </c>
      <c r="AM141" s="228">
        <v>0.3</v>
      </c>
      <c r="AN141" s="229">
        <v>1.2200000000000001E-2</v>
      </c>
      <c r="AO141" s="228">
        <v>440.24</v>
      </c>
      <c r="AP141" s="228">
        <v>442.58</v>
      </c>
      <c r="AQ141" s="228">
        <v>0</v>
      </c>
      <c r="AR141" s="230">
        <v>36592500</v>
      </c>
      <c r="AS141" s="230">
        <v>27498750</v>
      </c>
      <c r="AT141" s="230">
        <v>9093750</v>
      </c>
      <c r="AU141" s="229">
        <v>0.33069999999999999</v>
      </c>
      <c r="AV141" s="230">
        <v>20681250</v>
      </c>
      <c r="AW141" s="230">
        <v>19057500</v>
      </c>
      <c r="AX141" s="230">
        <v>1623750</v>
      </c>
      <c r="AY141" s="229">
        <v>8.5199999999999998E-2</v>
      </c>
      <c r="AZ141" s="230">
        <v>15671250</v>
      </c>
      <c r="BA141" s="230">
        <v>8021250</v>
      </c>
      <c r="BB141" s="230">
        <v>7650000</v>
      </c>
      <c r="BC141" s="229">
        <v>0.95369999999999999</v>
      </c>
      <c r="BD141" s="230">
        <v>240000</v>
      </c>
      <c r="BE141" s="230">
        <v>420000</v>
      </c>
      <c r="BF141" s="230">
        <v>-180000</v>
      </c>
      <c r="BG141" s="229">
        <v>-0.42859999999999998</v>
      </c>
      <c r="BH141" s="230">
        <v>61428750</v>
      </c>
      <c r="BI141" s="230">
        <v>84330000</v>
      </c>
      <c r="BJ141" s="230">
        <v>-22901250</v>
      </c>
      <c r="BK141" s="229">
        <v>-0.27160000000000001</v>
      </c>
      <c r="BL141" s="230">
        <v>33300000</v>
      </c>
      <c r="BM141" s="230">
        <v>41508750</v>
      </c>
      <c r="BN141" s="230">
        <v>-8208750</v>
      </c>
      <c r="BO141" s="229">
        <v>-0.1978</v>
      </c>
      <c r="BP141" s="230">
        <v>131321250</v>
      </c>
      <c r="BQ141" s="230">
        <v>153337500</v>
      </c>
      <c r="BR141" s="230">
        <v>-22016250</v>
      </c>
      <c r="BS141" s="229">
        <v>-0.14360000000000001</v>
      </c>
      <c r="BT141" s="230">
        <v>9248140</v>
      </c>
      <c r="BU141" s="230">
        <v>12994194</v>
      </c>
      <c r="BV141" s="230">
        <v>-3746054</v>
      </c>
      <c r="BW141" s="229">
        <v>-0.2883</v>
      </c>
      <c r="BX141" s="230">
        <v>56265000</v>
      </c>
      <c r="BY141" s="230">
        <v>55440000</v>
      </c>
      <c r="BZ141" s="230">
        <v>825000</v>
      </c>
      <c r="CA141" s="229">
        <v>1.49E-2</v>
      </c>
      <c r="CB141" s="230">
        <v>37541250</v>
      </c>
      <c r="CC141" s="230">
        <v>48795000</v>
      </c>
      <c r="CD141" s="230">
        <v>-11253750</v>
      </c>
      <c r="CE141" s="229">
        <v>-0.2306</v>
      </c>
      <c r="CF141" s="230">
        <v>18157500</v>
      </c>
      <c r="CG141" s="230">
        <v>6135000</v>
      </c>
      <c r="CH141" s="230">
        <v>12022500</v>
      </c>
      <c r="CI141" s="229">
        <v>1.9597</v>
      </c>
      <c r="CJ141" s="230">
        <v>566250</v>
      </c>
      <c r="CK141" s="230">
        <v>510000</v>
      </c>
      <c r="CL141" s="230">
        <v>56250</v>
      </c>
      <c r="CM141" s="229">
        <v>0.1103</v>
      </c>
      <c r="CN141" s="230">
        <v>39581250</v>
      </c>
      <c r="CO141" s="230">
        <v>39281250</v>
      </c>
      <c r="CP141" s="230">
        <v>300000</v>
      </c>
      <c r="CQ141" s="229">
        <v>7.6E-3</v>
      </c>
      <c r="CR141" s="230">
        <v>32287500</v>
      </c>
      <c r="CS141" s="230">
        <v>32741250</v>
      </c>
      <c r="CT141" s="230">
        <v>-453750</v>
      </c>
      <c r="CU141" s="229">
        <v>-1.3899999999999999E-2</v>
      </c>
      <c r="CV141" s="230">
        <v>128133750</v>
      </c>
      <c r="CW141" s="230">
        <v>127462500</v>
      </c>
      <c r="CX141" s="230">
        <v>671250</v>
      </c>
      <c r="CY141" s="229">
        <v>5.3E-3</v>
      </c>
      <c r="CZ141" s="228">
        <v>41.35</v>
      </c>
      <c r="DA141" s="228">
        <v>38.75</v>
      </c>
      <c r="DB141" s="228">
        <v>2.6</v>
      </c>
      <c r="DC141" s="228">
        <v>2.6</v>
      </c>
      <c r="DD141" s="228">
        <v>51.49</v>
      </c>
      <c r="DE141" s="228">
        <v>51.61</v>
      </c>
      <c r="DF141" s="228">
        <v>-10.14</v>
      </c>
      <c r="DG141" s="228">
        <v>-0.12</v>
      </c>
      <c r="DH141" s="228">
        <v>41.05</v>
      </c>
      <c r="DI141" s="228">
        <v>36.840000000000003</v>
      </c>
      <c r="DJ141" s="228">
        <v>4.21</v>
      </c>
      <c r="DK141" s="228">
        <v>4.21</v>
      </c>
      <c r="DL141" s="228">
        <v>42.03</v>
      </c>
      <c r="DM141" s="228">
        <v>42.65</v>
      </c>
      <c r="DN141" s="228">
        <v>-0.62</v>
      </c>
      <c r="DO141" s="228">
        <v>-0.62</v>
      </c>
      <c r="DP141" s="228">
        <v>0.82</v>
      </c>
      <c r="DQ141" s="228">
        <v>0.83</v>
      </c>
      <c r="DR141" s="228">
        <v>-0.01</v>
      </c>
      <c r="DS141" s="229">
        <v>-1.2E-2</v>
      </c>
      <c r="DT141" s="228">
        <v>440</v>
      </c>
      <c r="DU141" s="228">
        <v>410</v>
      </c>
      <c r="DV141" s="228">
        <v>0.54</v>
      </c>
      <c r="DW141" s="228">
        <v>0.49</v>
      </c>
      <c r="DX141" s="228">
        <v>0.05</v>
      </c>
      <c r="DY141" s="229">
        <v>0.10199999999999999</v>
      </c>
      <c r="DZ141" s="229">
        <v>0.33279999999999998</v>
      </c>
      <c r="EA141" s="230">
        <v>6645000</v>
      </c>
      <c r="EB141" s="229">
        <v>5.5999999999999999E-3</v>
      </c>
      <c r="EC141" s="229">
        <v>0.33279999999999998</v>
      </c>
      <c r="ED141" s="228">
        <v>2.34</v>
      </c>
      <c r="EE141" s="229">
        <v>5.3E-3</v>
      </c>
      <c r="EF141" s="230">
        <v>3794656</v>
      </c>
      <c r="EG141" s="230">
        <v>5996579</v>
      </c>
      <c r="EH141" s="229">
        <v>-0.36720000000000003</v>
      </c>
      <c r="EI141" s="229">
        <v>0.4103</v>
      </c>
      <c r="EJ141" s="231">
        <v>281075.61</v>
      </c>
      <c r="EK141" s="231">
        <v>141879.67999999999</v>
      </c>
      <c r="EL141" s="231">
        <v>161473.01</v>
      </c>
      <c r="EM141" s="231">
        <v>5066</v>
      </c>
      <c r="EN141" s="231">
        <v>584428.30000000005</v>
      </c>
      <c r="EO141" s="231">
        <v>673497.28</v>
      </c>
      <c r="EP141" s="231">
        <v>-89068.98</v>
      </c>
      <c r="EQ141" s="229">
        <v>-0.13220000000000001</v>
      </c>
      <c r="ER141" s="231">
        <v>172879</v>
      </c>
      <c r="ES141" s="231">
        <v>128295</v>
      </c>
      <c r="ET141" s="231">
        <v>247898</v>
      </c>
      <c r="EU141" s="231">
        <v>134225816</v>
      </c>
      <c r="EV141" s="231">
        <v>549072</v>
      </c>
      <c r="EW141" s="231">
        <v>542553</v>
      </c>
      <c r="EX141" s="231">
        <v>6519</v>
      </c>
      <c r="EY141" s="229">
        <v>1.2E-2</v>
      </c>
      <c r="EZ141" s="229">
        <v>0.9546</v>
      </c>
      <c r="FA141" s="227" t="s">
        <v>555</v>
      </c>
      <c r="FB141" s="161">
        <f>BX220-CB220</f>
        <v>4641300</v>
      </c>
    </row>
    <row r="142" spans="1:158" ht="17.25" thickBot="1" x14ac:dyDescent="0.3">
      <c r="A142" s="226">
        <v>46135</v>
      </c>
      <c r="B142" s="227" t="s">
        <v>614</v>
      </c>
      <c r="C142" s="227" t="s">
        <v>264</v>
      </c>
      <c r="D142" s="228">
        <v>375</v>
      </c>
      <c r="E142" s="231">
        <v>1021.1</v>
      </c>
      <c r="F142" s="231">
        <v>1053.0999999999999</v>
      </c>
      <c r="G142" s="228">
        <v>-32</v>
      </c>
      <c r="H142" s="229">
        <v>-3.04E-2</v>
      </c>
      <c r="I142" s="231">
        <v>1018.05</v>
      </c>
      <c r="J142" s="231">
        <v>1052.7</v>
      </c>
      <c r="K142" s="228">
        <v>-34.65</v>
      </c>
      <c r="L142" s="229">
        <v>-3.2899999999999999E-2</v>
      </c>
      <c r="M142" s="231">
        <v>1021.1</v>
      </c>
      <c r="N142" s="231">
        <v>1053.0999999999999</v>
      </c>
      <c r="O142" s="228">
        <v>-32</v>
      </c>
      <c r="P142" s="229">
        <v>-3.04E-2</v>
      </c>
      <c r="Q142" s="231">
        <v>1023.4</v>
      </c>
      <c r="R142" s="231">
        <v>1054.2</v>
      </c>
      <c r="S142" s="228">
        <v>-30.8</v>
      </c>
      <c r="T142" s="229">
        <v>-2.92E-2</v>
      </c>
      <c r="U142" s="231">
        <v>1027.2</v>
      </c>
      <c r="V142" s="231">
        <v>1058.3</v>
      </c>
      <c r="W142" s="228">
        <v>-31.1</v>
      </c>
      <c r="X142" s="229">
        <v>-2.9399999999999999E-2</v>
      </c>
      <c r="Y142" s="228">
        <v>3.05</v>
      </c>
      <c r="Z142" s="228">
        <v>0.4</v>
      </c>
      <c r="AA142" s="228">
        <v>2.65</v>
      </c>
      <c r="AB142" s="229">
        <v>3.0000000000000001E-3</v>
      </c>
      <c r="AC142" s="228">
        <v>3.05</v>
      </c>
      <c r="AD142" s="228">
        <v>0.4</v>
      </c>
      <c r="AE142" s="228">
        <v>2.65</v>
      </c>
      <c r="AF142" s="229">
        <v>3.0000000000000001E-3</v>
      </c>
      <c r="AG142" s="228">
        <v>5.35</v>
      </c>
      <c r="AH142" s="228">
        <v>1.5</v>
      </c>
      <c r="AI142" s="228">
        <v>3.85</v>
      </c>
      <c r="AJ142" s="229">
        <v>5.3E-3</v>
      </c>
      <c r="AK142" s="228">
        <v>9.15</v>
      </c>
      <c r="AL142" s="228">
        <v>5.6</v>
      </c>
      <c r="AM142" s="228">
        <v>3.55</v>
      </c>
      <c r="AN142" s="229">
        <v>8.9999999999999993E-3</v>
      </c>
      <c r="AO142" s="231">
        <v>1023.49</v>
      </c>
      <c r="AP142" s="231">
        <v>1024.8499999999999</v>
      </c>
      <c r="AQ142" s="228">
        <v>0</v>
      </c>
      <c r="AR142" s="230">
        <v>8465625</v>
      </c>
      <c r="AS142" s="230">
        <v>2304750</v>
      </c>
      <c r="AT142" s="230">
        <v>6160875</v>
      </c>
      <c r="AU142" s="229">
        <v>2.6730999999999998</v>
      </c>
      <c r="AV142" s="230">
        <v>4451250</v>
      </c>
      <c r="AW142" s="230">
        <v>1746375</v>
      </c>
      <c r="AX142" s="230">
        <v>2704875</v>
      </c>
      <c r="AY142" s="229">
        <v>1.5488999999999999</v>
      </c>
      <c r="AZ142" s="230">
        <v>3995250</v>
      </c>
      <c r="BA142" s="230">
        <v>529875</v>
      </c>
      <c r="BB142" s="230">
        <v>3465375</v>
      </c>
      <c r="BC142" s="229">
        <v>6.54</v>
      </c>
      <c r="BD142" s="230">
        <v>19125</v>
      </c>
      <c r="BE142" s="230">
        <v>28500</v>
      </c>
      <c r="BF142" s="230">
        <v>-9375</v>
      </c>
      <c r="BG142" s="229">
        <v>-0.32890000000000003</v>
      </c>
      <c r="BH142" s="230">
        <v>6165750</v>
      </c>
      <c r="BI142" s="230">
        <v>3846375</v>
      </c>
      <c r="BJ142" s="230">
        <v>2319375</v>
      </c>
      <c r="BK142" s="229">
        <v>0.60299999999999998</v>
      </c>
      <c r="BL142" s="230">
        <v>3896625</v>
      </c>
      <c r="BM142" s="230">
        <v>2263500</v>
      </c>
      <c r="BN142" s="230">
        <v>1633125</v>
      </c>
      <c r="BO142" s="229">
        <v>0.72150000000000003</v>
      </c>
      <c r="BP142" s="230">
        <v>18528000</v>
      </c>
      <c r="BQ142" s="230">
        <v>8414625</v>
      </c>
      <c r="BR142" s="230">
        <v>10113375</v>
      </c>
      <c r="BS142" s="229">
        <v>1.2019</v>
      </c>
      <c r="BT142" s="230">
        <v>2186639</v>
      </c>
      <c r="BU142" s="230">
        <v>2163368</v>
      </c>
      <c r="BV142" s="230">
        <v>23271</v>
      </c>
      <c r="BW142" s="229">
        <v>1.0800000000000001E-2</v>
      </c>
      <c r="BX142" s="230">
        <v>10182375</v>
      </c>
      <c r="BY142" s="230">
        <v>10050000</v>
      </c>
      <c r="BZ142" s="230">
        <v>132375</v>
      </c>
      <c r="CA142" s="229">
        <v>1.32E-2</v>
      </c>
      <c r="CB142" s="230">
        <v>4993875</v>
      </c>
      <c r="CC142" s="230">
        <v>8133000</v>
      </c>
      <c r="CD142" s="230">
        <v>-3139125</v>
      </c>
      <c r="CE142" s="229">
        <v>-0.38600000000000001</v>
      </c>
      <c r="CF142" s="230">
        <v>5137875</v>
      </c>
      <c r="CG142" s="230">
        <v>1876500</v>
      </c>
      <c r="CH142" s="230">
        <v>3261375</v>
      </c>
      <c r="CI142" s="229">
        <v>1.738</v>
      </c>
      <c r="CJ142" s="230">
        <v>50625</v>
      </c>
      <c r="CK142" s="230">
        <v>40500</v>
      </c>
      <c r="CL142" s="230">
        <v>10125</v>
      </c>
      <c r="CM142" s="229">
        <v>0.25</v>
      </c>
      <c r="CN142" s="230">
        <v>3779250</v>
      </c>
      <c r="CO142" s="230">
        <v>3419250</v>
      </c>
      <c r="CP142" s="230">
        <v>360000</v>
      </c>
      <c r="CQ142" s="229">
        <v>0.1053</v>
      </c>
      <c r="CR142" s="230">
        <v>2037000</v>
      </c>
      <c r="CS142" s="230">
        <v>1646625</v>
      </c>
      <c r="CT142" s="230">
        <v>390375</v>
      </c>
      <c r="CU142" s="229">
        <v>0.23710000000000001</v>
      </c>
      <c r="CV142" s="230">
        <v>15998625</v>
      </c>
      <c r="CW142" s="230">
        <v>15115875</v>
      </c>
      <c r="CX142" s="230">
        <v>882750</v>
      </c>
      <c r="CY142" s="229">
        <v>5.8400000000000001E-2</v>
      </c>
      <c r="CZ142" s="228">
        <v>32.86</v>
      </c>
      <c r="DA142" s="228">
        <v>31.66</v>
      </c>
      <c r="DB142" s="228">
        <v>1.2</v>
      </c>
      <c r="DC142" s="228">
        <v>1.2</v>
      </c>
      <c r="DD142" s="228">
        <v>36.72</v>
      </c>
      <c r="DE142" s="228">
        <v>36.57</v>
      </c>
      <c r="DF142" s="228">
        <v>-3.86</v>
      </c>
      <c r="DG142" s="228">
        <v>0.15</v>
      </c>
      <c r="DH142" s="228">
        <v>32.58</v>
      </c>
      <c r="DI142" s="228">
        <v>31.08</v>
      </c>
      <c r="DJ142" s="228">
        <v>1.5</v>
      </c>
      <c r="DK142" s="228">
        <v>1.5</v>
      </c>
      <c r="DL142" s="228">
        <v>33.869999999999997</v>
      </c>
      <c r="DM142" s="228">
        <v>32.64</v>
      </c>
      <c r="DN142" s="228">
        <v>1.23</v>
      </c>
      <c r="DO142" s="228">
        <v>1.23</v>
      </c>
      <c r="DP142" s="228">
        <v>0.54</v>
      </c>
      <c r="DQ142" s="228">
        <v>0.48</v>
      </c>
      <c r="DR142" s="228">
        <v>0.06</v>
      </c>
      <c r="DS142" s="229">
        <v>0.125</v>
      </c>
      <c r="DT142" s="231">
        <v>1060</v>
      </c>
      <c r="DU142" s="231">
        <v>1000</v>
      </c>
      <c r="DV142" s="228">
        <v>0.63</v>
      </c>
      <c r="DW142" s="228">
        <v>0.59</v>
      </c>
      <c r="DX142" s="228">
        <v>0.04</v>
      </c>
      <c r="DY142" s="229">
        <v>6.7799999999999999E-2</v>
      </c>
      <c r="DZ142" s="229">
        <v>0.50960000000000005</v>
      </c>
      <c r="EA142" s="230">
        <v>1917000</v>
      </c>
      <c r="EB142" s="229">
        <v>2.3E-3</v>
      </c>
      <c r="EC142" s="229">
        <v>0.50960000000000005</v>
      </c>
      <c r="ED142" s="228">
        <v>1.36</v>
      </c>
      <c r="EE142" s="229">
        <v>1.2999999999999999E-3</v>
      </c>
      <c r="EF142" s="230">
        <v>1223975</v>
      </c>
      <c r="EG142" s="230">
        <v>1293546</v>
      </c>
      <c r="EH142" s="229">
        <v>-5.3800000000000001E-2</v>
      </c>
      <c r="EI142" s="229">
        <v>0.55979999999999996</v>
      </c>
      <c r="EJ142" s="231">
        <v>65969.149999999994</v>
      </c>
      <c r="EK142" s="231">
        <v>39778.97</v>
      </c>
      <c r="EL142" s="231">
        <v>86700.76</v>
      </c>
      <c r="EM142" s="231">
        <v>5344</v>
      </c>
      <c r="EN142" s="231">
        <v>192448.88</v>
      </c>
      <c r="EO142" s="231">
        <v>89851.6</v>
      </c>
      <c r="EP142" s="231">
        <v>102597.28</v>
      </c>
      <c r="EQ142" s="229">
        <v>1.1418999999999999</v>
      </c>
      <c r="ER142" s="231">
        <v>40059</v>
      </c>
      <c r="ES142" s="231">
        <v>20498</v>
      </c>
      <c r="ET142" s="231">
        <v>104093</v>
      </c>
      <c r="EU142" s="231">
        <v>60562281</v>
      </c>
      <c r="EV142" s="231">
        <v>164650</v>
      </c>
      <c r="EW142" s="231">
        <v>159091</v>
      </c>
      <c r="EX142" s="231">
        <v>5559</v>
      </c>
      <c r="EY142" s="229">
        <v>3.49E-2</v>
      </c>
      <c r="EZ142" s="229">
        <v>0.26419999999999999</v>
      </c>
      <c r="FA142" s="227" t="s">
        <v>566</v>
      </c>
      <c r="FB142" s="161">
        <f t="shared" ref="FB142:FB161" si="3">BX221-CB221</f>
        <v>0</v>
      </c>
    </row>
    <row r="143" spans="1:158" ht="17.25" thickBot="1" x14ac:dyDescent="0.3">
      <c r="A143" s="226">
        <v>46135</v>
      </c>
      <c r="B143" s="227" t="s">
        <v>206</v>
      </c>
      <c r="C143" s="227" t="s">
        <v>550</v>
      </c>
      <c r="D143" s="228">
        <v>6500</v>
      </c>
      <c r="E143" s="228">
        <v>93.4</v>
      </c>
      <c r="F143" s="228">
        <v>94.46</v>
      </c>
      <c r="G143" s="228">
        <v>-1.06</v>
      </c>
      <c r="H143" s="229">
        <v>-1.12E-2</v>
      </c>
      <c r="I143" s="228">
        <v>93.31</v>
      </c>
      <c r="J143" s="228">
        <v>94.2</v>
      </c>
      <c r="K143" s="228">
        <v>-0.89</v>
      </c>
      <c r="L143" s="229">
        <v>-9.4000000000000004E-3</v>
      </c>
      <c r="M143" s="228">
        <v>93.4</v>
      </c>
      <c r="N143" s="228">
        <v>94.46</v>
      </c>
      <c r="O143" s="228">
        <v>-1.06</v>
      </c>
      <c r="P143" s="229">
        <v>-1.12E-2</v>
      </c>
      <c r="Q143" s="228">
        <v>93.95</v>
      </c>
      <c r="R143" s="228">
        <v>94.92</v>
      </c>
      <c r="S143" s="228">
        <v>-0.97</v>
      </c>
      <c r="T143" s="229">
        <v>-1.0200000000000001E-2</v>
      </c>
      <c r="U143" s="228">
        <v>94.32</v>
      </c>
      <c r="V143" s="228">
        <v>95.33</v>
      </c>
      <c r="W143" s="228">
        <v>-1.01</v>
      </c>
      <c r="X143" s="229">
        <v>-1.06E-2</v>
      </c>
      <c r="Y143" s="228">
        <v>0.09</v>
      </c>
      <c r="Z143" s="228">
        <v>0.26</v>
      </c>
      <c r="AA143" s="228">
        <v>-0.17</v>
      </c>
      <c r="AB143" s="229">
        <v>1E-3</v>
      </c>
      <c r="AC143" s="228">
        <v>0.09</v>
      </c>
      <c r="AD143" s="228">
        <v>0.26</v>
      </c>
      <c r="AE143" s="228">
        <v>-0.17</v>
      </c>
      <c r="AF143" s="229">
        <v>1E-3</v>
      </c>
      <c r="AG143" s="228">
        <v>0.64</v>
      </c>
      <c r="AH143" s="228">
        <v>0.72</v>
      </c>
      <c r="AI143" s="228">
        <v>-0.08</v>
      </c>
      <c r="AJ143" s="229">
        <v>6.8999999999999999E-3</v>
      </c>
      <c r="AK143" s="228">
        <v>1.01</v>
      </c>
      <c r="AL143" s="228">
        <v>1.1299999999999999</v>
      </c>
      <c r="AM143" s="228">
        <v>-0.12</v>
      </c>
      <c r="AN143" s="229">
        <v>1.0800000000000001E-2</v>
      </c>
      <c r="AO143" s="228">
        <v>93.67</v>
      </c>
      <c r="AP143" s="228">
        <v>94.19</v>
      </c>
      <c r="AQ143" s="228">
        <v>0</v>
      </c>
      <c r="AR143" s="230">
        <v>58825000</v>
      </c>
      <c r="AS143" s="230">
        <v>13383500</v>
      </c>
      <c r="AT143" s="230">
        <v>45441500</v>
      </c>
      <c r="AU143" s="229">
        <v>3.3953000000000002</v>
      </c>
      <c r="AV143" s="230">
        <v>29783000</v>
      </c>
      <c r="AW143" s="230">
        <v>7592000</v>
      </c>
      <c r="AX143" s="230">
        <v>22191000</v>
      </c>
      <c r="AY143" s="229">
        <v>2.9228999999999998</v>
      </c>
      <c r="AZ143" s="230">
        <v>28938000</v>
      </c>
      <c r="BA143" s="230">
        <v>5668000</v>
      </c>
      <c r="BB143" s="230">
        <v>23270000</v>
      </c>
      <c r="BC143" s="229">
        <v>4.1055000000000001</v>
      </c>
      <c r="BD143" s="230">
        <v>104000</v>
      </c>
      <c r="BE143" s="230">
        <v>123500</v>
      </c>
      <c r="BF143" s="230">
        <v>-19500</v>
      </c>
      <c r="BG143" s="229">
        <v>-0.15790000000000001</v>
      </c>
      <c r="BH143" s="230">
        <v>11043500</v>
      </c>
      <c r="BI143" s="230">
        <v>13903500</v>
      </c>
      <c r="BJ143" s="230">
        <v>-2860000</v>
      </c>
      <c r="BK143" s="229">
        <v>-0.20569999999999999</v>
      </c>
      <c r="BL143" s="230">
        <v>3497000</v>
      </c>
      <c r="BM143" s="230">
        <v>4901000</v>
      </c>
      <c r="BN143" s="230">
        <v>-1404000</v>
      </c>
      <c r="BO143" s="229">
        <v>-0.28649999999999998</v>
      </c>
      <c r="BP143" s="230">
        <v>73365500</v>
      </c>
      <c r="BQ143" s="230">
        <v>32188000</v>
      </c>
      <c r="BR143" s="230">
        <v>41177500</v>
      </c>
      <c r="BS143" s="229">
        <v>1.2793000000000001</v>
      </c>
      <c r="BT143" s="230">
        <v>8199806</v>
      </c>
      <c r="BU143" s="230">
        <v>11864177</v>
      </c>
      <c r="BV143" s="230">
        <v>-3664371</v>
      </c>
      <c r="BW143" s="229">
        <v>-0.30890000000000001</v>
      </c>
      <c r="BX143" s="230">
        <v>81666000</v>
      </c>
      <c r="BY143" s="230">
        <v>79969500</v>
      </c>
      <c r="BZ143" s="230">
        <v>1696500</v>
      </c>
      <c r="CA143" s="229">
        <v>2.12E-2</v>
      </c>
      <c r="CB143" s="230">
        <v>42646500</v>
      </c>
      <c r="CC143" s="230">
        <v>67294500</v>
      </c>
      <c r="CD143" s="230">
        <v>-24648000</v>
      </c>
      <c r="CE143" s="229">
        <v>-0.36630000000000001</v>
      </c>
      <c r="CF143" s="230">
        <v>38369500</v>
      </c>
      <c r="CG143" s="230">
        <v>12096500</v>
      </c>
      <c r="CH143" s="230">
        <v>26273000</v>
      </c>
      <c r="CI143" s="229">
        <v>2.1720000000000002</v>
      </c>
      <c r="CJ143" s="230">
        <v>650000</v>
      </c>
      <c r="CK143" s="230">
        <v>578500</v>
      </c>
      <c r="CL143" s="230">
        <v>71500</v>
      </c>
      <c r="CM143" s="229">
        <v>0.1236</v>
      </c>
      <c r="CN143" s="230">
        <v>22594000</v>
      </c>
      <c r="CO143" s="230">
        <v>21723000</v>
      </c>
      <c r="CP143" s="230">
        <v>871000</v>
      </c>
      <c r="CQ143" s="229">
        <v>4.0099999999999997E-2</v>
      </c>
      <c r="CR143" s="230">
        <v>13884000</v>
      </c>
      <c r="CS143" s="230">
        <v>13884000</v>
      </c>
      <c r="CT143" s="228">
        <v>0</v>
      </c>
      <c r="CU143" s="229">
        <v>0</v>
      </c>
      <c r="CV143" s="230">
        <v>118144000</v>
      </c>
      <c r="CW143" s="230">
        <v>115576500</v>
      </c>
      <c r="CX143" s="230">
        <v>2567500</v>
      </c>
      <c r="CY143" s="229">
        <v>2.2200000000000001E-2</v>
      </c>
      <c r="CZ143" s="228">
        <v>43.1</v>
      </c>
      <c r="DA143" s="228">
        <v>42.03</v>
      </c>
      <c r="DB143" s="228">
        <v>1.07</v>
      </c>
      <c r="DC143" s="228">
        <v>1.07</v>
      </c>
      <c r="DD143" s="228">
        <v>51.4</v>
      </c>
      <c r="DE143" s="228">
        <v>51.51</v>
      </c>
      <c r="DF143" s="228">
        <v>-8.3000000000000007</v>
      </c>
      <c r="DG143" s="228">
        <v>-0.11</v>
      </c>
      <c r="DH143" s="228">
        <v>42.55</v>
      </c>
      <c r="DI143" s="228">
        <v>40.56</v>
      </c>
      <c r="DJ143" s="228">
        <v>1.99</v>
      </c>
      <c r="DK143" s="228">
        <v>1.99</v>
      </c>
      <c r="DL143" s="228">
        <v>45.31</v>
      </c>
      <c r="DM143" s="228">
        <v>46.19</v>
      </c>
      <c r="DN143" s="228">
        <v>-0.88</v>
      </c>
      <c r="DO143" s="228">
        <v>-0.88</v>
      </c>
      <c r="DP143" s="228">
        <v>0.61</v>
      </c>
      <c r="DQ143" s="228">
        <v>0.64</v>
      </c>
      <c r="DR143" s="228">
        <v>-0.03</v>
      </c>
      <c r="DS143" s="229">
        <v>-4.6899999999999997E-2</v>
      </c>
      <c r="DT143" s="228">
        <v>105</v>
      </c>
      <c r="DU143" s="228">
        <v>85</v>
      </c>
      <c r="DV143" s="228">
        <v>0.32</v>
      </c>
      <c r="DW143" s="228">
        <v>0.35</v>
      </c>
      <c r="DX143" s="228">
        <v>-0.03</v>
      </c>
      <c r="DY143" s="229">
        <v>-8.5699999999999998E-2</v>
      </c>
      <c r="DZ143" s="229">
        <v>0.4778</v>
      </c>
      <c r="EA143" s="230">
        <v>12675000</v>
      </c>
      <c r="EB143" s="229">
        <v>5.8999999999999999E-3</v>
      </c>
      <c r="EC143" s="229">
        <v>0.4778</v>
      </c>
      <c r="ED143" s="228">
        <v>0.52</v>
      </c>
      <c r="EE143" s="229">
        <v>5.5999999999999999E-3</v>
      </c>
      <c r="EF143" s="230">
        <v>2589924</v>
      </c>
      <c r="EG143" s="230">
        <v>4373988</v>
      </c>
      <c r="EH143" s="229">
        <v>-0.40789999999999998</v>
      </c>
      <c r="EI143" s="229">
        <v>0.31590000000000001</v>
      </c>
      <c r="EJ143" s="231">
        <v>10925.2</v>
      </c>
      <c r="EK143" s="231">
        <v>3153.2</v>
      </c>
      <c r="EL143" s="231">
        <v>55254.400000000001</v>
      </c>
      <c r="EM143" s="231">
        <v>1908</v>
      </c>
      <c r="EN143" s="231">
        <v>69332.800000000003</v>
      </c>
      <c r="EO143" s="231">
        <v>30904.54</v>
      </c>
      <c r="EP143" s="231">
        <v>38428.26</v>
      </c>
      <c r="EQ143" s="229">
        <v>1.2435</v>
      </c>
      <c r="ER143" s="231">
        <v>21429</v>
      </c>
      <c r="ES143" s="231">
        <v>12031</v>
      </c>
      <c r="ET143" s="231">
        <v>76493</v>
      </c>
      <c r="EU143" s="231">
        <v>154894704</v>
      </c>
      <c r="EV143" s="231">
        <v>109953</v>
      </c>
      <c r="EW143" s="231">
        <v>108152</v>
      </c>
      <c r="EX143" s="231">
        <v>1801</v>
      </c>
      <c r="EY143" s="229">
        <v>1.67E-2</v>
      </c>
      <c r="EZ143" s="229">
        <v>0.76270000000000004</v>
      </c>
      <c r="FA143" s="227" t="s">
        <v>566</v>
      </c>
      <c r="FB143" s="161">
        <f t="shared" si="3"/>
        <v>0</v>
      </c>
    </row>
    <row r="144" spans="1:158" ht="17.25" thickBot="1" x14ac:dyDescent="0.3">
      <c r="A144" s="226">
        <v>46135</v>
      </c>
      <c r="B144" s="227" t="s">
        <v>168</v>
      </c>
      <c r="C144" s="227" t="s">
        <v>265</v>
      </c>
      <c r="D144" s="228">
        <v>500</v>
      </c>
      <c r="E144" s="231">
        <v>1408.6</v>
      </c>
      <c r="F144" s="231">
        <v>1394.1</v>
      </c>
      <c r="G144" s="228">
        <v>14.5</v>
      </c>
      <c r="H144" s="229">
        <v>1.04E-2</v>
      </c>
      <c r="I144" s="231">
        <v>1410.5</v>
      </c>
      <c r="J144" s="231">
        <v>1395.8</v>
      </c>
      <c r="K144" s="228">
        <v>14.7</v>
      </c>
      <c r="L144" s="229">
        <v>1.0500000000000001E-2</v>
      </c>
      <c r="M144" s="231">
        <v>1408.6</v>
      </c>
      <c r="N144" s="231">
        <v>1394.1</v>
      </c>
      <c r="O144" s="228">
        <v>14.5</v>
      </c>
      <c r="P144" s="229">
        <v>1.04E-2</v>
      </c>
      <c r="Q144" s="231">
        <v>1416.4</v>
      </c>
      <c r="R144" s="231">
        <v>1402</v>
      </c>
      <c r="S144" s="228">
        <v>14.4</v>
      </c>
      <c r="T144" s="229">
        <v>1.03E-2</v>
      </c>
      <c r="U144" s="231">
        <v>1422.8</v>
      </c>
      <c r="V144" s="231">
        <v>1411.1</v>
      </c>
      <c r="W144" s="228">
        <v>11.7</v>
      </c>
      <c r="X144" s="229">
        <v>8.3000000000000001E-3</v>
      </c>
      <c r="Y144" s="228">
        <v>-1.9</v>
      </c>
      <c r="Z144" s="228">
        <v>-1.7</v>
      </c>
      <c r="AA144" s="228">
        <v>-0.2</v>
      </c>
      <c r="AB144" s="229">
        <v>-1.2999999999999999E-3</v>
      </c>
      <c r="AC144" s="228">
        <v>-1.9</v>
      </c>
      <c r="AD144" s="228">
        <v>-1.7</v>
      </c>
      <c r="AE144" s="228">
        <v>-0.2</v>
      </c>
      <c r="AF144" s="229">
        <v>-1.2999999999999999E-3</v>
      </c>
      <c r="AG144" s="228">
        <v>5.9</v>
      </c>
      <c r="AH144" s="228">
        <v>6.2</v>
      </c>
      <c r="AI144" s="228">
        <v>-0.3</v>
      </c>
      <c r="AJ144" s="229">
        <v>4.1999999999999997E-3</v>
      </c>
      <c r="AK144" s="228">
        <v>12.3</v>
      </c>
      <c r="AL144" s="228">
        <v>15.3</v>
      </c>
      <c r="AM144" s="228">
        <v>-3</v>
      </c>
      <c r="AN144" s="229">
        <v>8.6999999999999994E-3</v>
      </c>
      <c r="AO144" s="231">
        <v>1406.19</v>
      </c>
      <c r="AP144" s="231">
        <v>1413.71</v>
      </c>
      <c r="AQ144" s="228">
        <v>0</v>
      </c>
      <c r="AR144" s="230">
        <v>11357000</v>
      </c>
      <c r="AS144" s="230">
        <v>10211000</v>
      </c>
      <c r="AT144" s="230">
        <v>1146000</v>
      </c>
      <c r="AU144" s="229">
        <v>0.11219999999999999</v>
      </c>
      <c r="AV144" s="230">
        <v>5884500</v>
      </c>
      <c r="AW144" s="230">
        <v>8088500</v>
      </c>
      <c r="AX144" s="230">
        <v>-2204000</v>
      </c>
      <c r="AY144" s="229">
        <v>-0.27250000000000002</v>
      </c>
      <c r="AZ144" s="230">
        <v>5383000</v>
      </c>
      <c r="BA144" s="230">
        <v>2004500</v>
      </c>
      <c r="BB144" s="230">
        <v>3378500</v>
      </c>
      <c r="BC144" s="229">
        <v>1.6855</v>
      </c>
      <c r="BD144" s="230">
        <v>89500</v>
      </c>
      <c r="BE144" s="230">
        <v>118000</v>
      </c>
      <c r="BF144" s="230">
        <v>-28500</v>
      </c>
      <c r="BG144" s="229">
        <v>-0.24149999999999999</v>
      </c>
      <c r="BH144" s="230">
        <v>19553500</v>
      </c>
      <c r="BI144" s="230">
        <v>85279000</v>
      </c>
      <c r="BJ144" s="230">
        <v>-65725500</v>
      </c>
      <c r="BK144" s="229">
        <v>-0.77070000000000005</v>
      </c>
      <c r="BL144" s="230">
        <v>10353500</v>
      </c>
      <c r="BM144" s="230">
        <v>36182500</v>
      </c>
      <c r="BN144" s="230">
        <v>-25829000</v>
      </c>
      <c r="BO144" s="229">
        <v>-0.71389999999999998</v>
      </c>
      <c r="BP144" s="230">
        <v>41264000</v>
      </c>
      <c r="BQ144" s="230">
        <v>131672500</v>
      </c>
      <c r="BR144" s="230">
        <v>-90408500</v>
      </c>
      <c r="BS144" s="229">
        <v>-0.68659999999999999</v>
      </c>
      <c r="BT144" s="230">
        <v>3076691</v>
      </c>
      <c r="BU144" s="230">
        <v>8376306</v>
      </c>
      <c r="BV144" s="230">
        <v>-5299615</v>
      </c>
      <c r="BW144" s="229">
        <v>-0.63270000000000004</v>
      </c>
      <c r="BX144" s="230">
        <v>17172500</v>
      </c>
      <c r="BY144" s="230">
        <v>17309500</v>
      </c>
      <c r="BZ144" s="230">
        <v>-137000</v>
      </c>
      <c r="CA144" s="229">
        <v>-7.9000000000000008E-3</v>
      </c>
      <c r="CB144" s="230">
        <v>9661500</v>
      </c>
      <c r="CC144" s="230">
        <v>14164500</v>
      </c>
      <c r="CD144" s="230">
        <v>-4503000</v>
      </c>
      <c r="CE144" s="229">
        <v>-0.31790000000000002</v>
      </c>
      <c r="CF144" s="230">
        <v>6710500</v>
      </c>
      <c r="CG144" s="230">
        <v>2384000</v>
      </c>
      <c r="CH144" s="230">
        <v>4326500</v>
      </c>
      <c r="CI144" s="229">
        <v>1.8148</v>
      </c>
      <c r="CJ144" s="230">
        <v>800500</v>
      </c>
      <c r="CK144" s="230">
        <v>761000</v>
      </c>
      <c r="CL144" s="230">
        <v>39500</v>
      </c>
      <c r="CM144" s="229">
        <v>5.1900000000000002E-2</v>
      </c>
      <c r="CN144" s="230">
        <v>10835000</v>
      </c>
      <c r="CO144" s="230">
        <v>12673000</v>
      </c>
      <c r="CP144" s="230">
        <v>-1838000</v>
      </c>
      <c r="CQ144" s="229">
        <v>-0.14499999999999999</v>
      </c>
      <c r="CR144" s="230">
        <v>7527000</v>
      </c>
      <c r="CS144" s="230">
        <v>7923000</v>
      </c>
      <c r="CT144" s="230">
        <v>-396000</v>
      </c>
      <c r="CU144" s="229">
        <v>-0.05</v>
      </c>
      <c r="CV144" s="230">
        <v>35534500</v>
      </c>
      <c r="CW144" s="230">
        <v>37905500</v>
      </c>
      <c r="CX144" s="230">
        <v>-2371000</v>
      </c>
      <c r="CY144" s="229">
        <v>-6.2600000000000003E-2</v>
      </c>
      <c r="CZ144" s="228">
        <v>25.05</v>
      </c>
      <c r="DA144" s="228">
        <v>29.44</v>
      </c>
      <c r="DB144" s="228">
        <v>-4.3899999999999997</v>
      </c>
      <c r="DC144" s="228">
        <v>-4.3899999999999997</v>
      </c>
      <c r="DD144" s="228">
        <v>25.26</v>
      </c>
      <c r="DE144" s="228">
        <v>25.28</v>
      </c>
      <c r="DF144" s="228">
        <v>-0.21</v>
      </c>
      <c r="DG144" s="228">
        <v>-0.02</v>
      </c>
      <c r="DH144" s="228">
        <v>24.75</v>
      </c>
      <c r="DI144" s="228">
        <v>30.23</v>
      </c>
      <c r="DJ144" s="228">
        <v>-5.48</v>
      </c>
      <c r="DK144" s="228">
        <v>-5.48</v>
      </c>
      <c r="DL144" s="228">
        <v>25.61</v>
      </c>
      <c r="DM144" s="228">
        <v>27.57</v>
      </c>
      <c r="DN144" s="228">
        <v>-1.96</v>
      </c>
      <c r="DO144" s="228">
        <v>-1.96</v>
      </c>
      <c r="DP144" s="228">
        <v>0.69</v>
      </c>
      <c r="DQ144" s="228">
        <v>0.63</v>
      </c>
      <c r="DR144" s="228">
        <v>0.06</v>
      </c>
      <c r="DS144" s="229">
        <v>9.5200000000000007E-2</v>
      </c>
      <c r="DT144" s="231">
        <v>1420</v>
      </c>
      <c r="DU144" s="231">
        <v>1300</v>
      </c>
      <c r="DV144" s="228">
        <v>0.53</v>
      </c>
      <c r="DW144" s="228">
        <v>0.42</v>
      </c>
      <c r="DX144" s="228">
        <v>0.11</v>
      </c>
      <c r="DY144" s="229">
        <v>0.26190000000000002</v>
      </c>
      <c r="DZ144" s="229">
        <v>0.43740000000000001</v>
      </c>
      <c r="EA144" s="230">
        <v>3145000</v>
      </c>
      <c r="EB144" s="229">
        <v>5.4999999999999997E-3</v>
      </c>
      <c r="EC144" s="229">
        <v>0.43740000000000001</v>
      </c>
      <c r="ED144" s="228">
        <v>7.52</v>
      </c>
      <c r="EE144" s="229">
        <v>5.3E-3</v>
      </c>
      <c r="EF144" s="230">
        <v>1489241</v>
      </c>
      <c r="EG144" s="230">
        <v>2594700</v>
      </c>
      <c r="EH144" s="229">
        <v>-0.42599999999999999</v>
      </c>
      <c r="EI144" s="229">
        <v>0.48399999999999999</v>
      </c>
      <c r="EJ144" s="231">
        <v>282896.71000000002</v>
      </c>
      <c r="EK144" s="231">
        <v>142215.20000000001</v>
      </c>
      <c r="EL144" s="231">
        <v>160120.74</v>
      </c>
      <c r="EM144" s="231">
        <v>15069</v>
      </c>
      <c r="EN144" s="231">
        <v>585232.65</v>
      </c>
      <c r="EO144" s="231">
        <v>1880836.57</v>
      </c>
      <c r="EP144" s="231">
        <v>-1295603.92</v>
      </c>
      <c r="EQ144" s="229">
        <v>-0.68879999999999997</v>
      </c>
      <c r="ER144" s="231">
        <v>150092</v>
      </c>
      <c r="ES144" s="231">
        <v>99012</v>
      </c>
      <c r="ET144" s="231">
        <v>242529</v>
      </c>
      <c r="EU144" s="231">
        <v>71801274</v>
      </c>
      <c r="EV144" s="231">
        <v>491633</v>
      </c>
      <c r="EW144" s="231">
        <v>521857</v>
      </c>
      <c r="EX144" s="231">
        <v>-30224</v>
      </c>
      <c r="EY144" s="229">
        <v>-5.79E-2</v>
      </c>
      <c r="EZ144" s="229">
        <v>0.49490000000000001</v>
      </c>
      <c r="FA144" s="227" t="s">
        <v>693</v>
      </c>
      <c r="FB144" s="161">
        <f t="shared" si="3"/>
        <v>0</v>
      </c>
    </row>
    <row r="145" spans="1:158" ht="17.25" thickBot="1" x14ac:dyDescent="0.3">
      <c r="A145" s="226">
        <v>46135</v>
      </c>
      <c r="B145" s="227" t="s">
        <v>161</v>
      </c>
      <c r="C145" s="227" t="s">
        <v>584</v>
      </c>
      <c r="D145" s="228">
        <v>6400</v>
      </c>
      <c r="E145" s="228">
        <v>81.38</v>
      </c>
      <c r="F145" s="228">
        <v>82.81</v>
      </c>
      <c r="G145" s="228">
        <v>-1.43</v>
      </c>
      <c r="H145" s="229">
        <v>-1.7299999999999999E-2</v>
      </c>
      <c r="I145" s="228">
        <v>81.459999999999994</v>
      </c>
      <c r="J145" s="228">
        <v>82.63</v>
      </c>
      <c r="K145" s="228">
        <v>-1.17</v>
      </c>
      <c r="L145" s="229">
        <v>-1.4200000000000001E-2</v>
      </c>
      <c r="M145" s="228">
        <v>81.38</v>
      </c>
      <c r="N145" s="228">
        <v>82.81</v>
      </c>
      <c r="O145" s="228">
        <v>-1.43</v>
      </c>
      <c r="P145" s="229">
        <v>-1.7299999999999999E-2</v>
      </c>
      <c r="Q145" s="228">
        <v>80.790000000000006</v>
      </c>
      <c r="R145" s="228">
        <v>83.08</v>
      </c>
      <c r="S145" s="228">
        <v>-2.29</v>
      </c>
      <c r="T145" s="229">
        <v>-2.76E-2</v>
      </c>
      <c r="U145" s="228">
        <v>80.650000000000006</v>
      </c>
      <c r="V145" s="228">
        <v>83.6</v>
      </c>
      <c r="W145" s="228">
        <v>-2.95</v>
      </c>
      <c r="X145" s="229">
        <v>-3.5299999999999998E-2</v>
      </c>
      <c r="Y145" s="228">
        <v>-0.08</v>
      </c>
      <c r="Z145" s="228">
        <v>0.18</v>
      </c>
      <c r="AA145" s="228">
        <v>-0.26</v>
      </c>
      <c r="AB145" s="229">
        <v>-1E-3</v>
      </c>
      <c r="AC145" s="228">
        <v>-0.08</v>
      </c>
      <c r="AD145" s="228">
        <v>0.18</v>
      </c>
      <c r="AE145" s="228">
        <v>-0.26</v>
      </c>
      <c r="AF145" s="229">
        <v>-1E-3</v>
      </c>
      <c r="AG145" s="228">
        <v>-0.67</v>
      </c>
      <c r="AH145" s="228">
        <v>0.45</v>
      </c>
      <c r="AI145" s="228">
        <v>-1.1200000000000001</v>
      </c>
      <c r="AJ145" s="229">
        <v>-8.2000000000000007E-3</v>
      </c>
      <c r="AK145" s="228">
        <v>-0.81</v>
      </c>
      <c r="AL145" s="228">
        <v>0.97</v>
      </c>
      <c r="AM145" s="228">
        <v>-1.78</v>
      </c>
      <c r="AN145" s="229">
        <v>-9.9000000000000008E-3</v>
      </c>
      <c r="AO145" s="228">
        <v>82.2</v>
      </c>
      <c r="AP145" s="228">
        <v>81.58</v>
      </c>
      <c r="AQ145" s="228">
        <v>0</v>
      </c>
      <c r="AR145" s="230">
        <v>87750400</v>
      </c>
      <c r="AS145" s="230">
        <v>15379200</v>
      </c>
      <c r="AT145" s="230">
        <v>72371200</v>
      </c>
      <c r="AU145" s="229">
        <v>4.7058</v>
      </c>
      <c r="AV145" s="230">
        <v>43200000</v>
      </c>
      <c r="AW145" s="230">
        <v>9177600</v>
      </c>
      <c r="AX145" s="230">
        <v>34022400</v>
      </c>
      <c r="AY145" s="229">
        <v>3.7071000000000001</v>
      </c>
      <c r="AZ145" s="230">
        <v>43532800</v>
      </c>
      <c r="BA145" s="230">
        <v>6092800</v>
      </c>
      <c r="BB145" s="230">
        <v>37440000</v>
      </c>
      <c r="BC145" s="229">
        <v>6.1449999999999996</v>
      </c>
      <c r="BD145" s="230">
        <v>1017600</v>
      </c>
      <c r="BE145" s="230">
        <v>108800</v>
      </c>
      <c r="BF145" s="230">
        <v>908800</v>
      </c>
      <c r="BG145" s="229">
        <v>8.3529</v>
      </c>
      <c r="BH145" s="230">
        <v>38560000</v>
      </c>
      <c r="BI145" s="230">
        <v>30483200</v>
      </c>
      <c r="BJ145" s="230">
        <v>8076800</v>
      </c>
      <c r="BK145" s="229">
        <v>0.26500000000000001</v>
      </c>
      <c r="BL145" s="230">
        <v>28166400</v>
      </c>
      <c r="BM145" s="230">
        <v>14099200</v>
      </c>
      <c r="BN145" s="230">
        <v>14067200</v>
      </c>
      <c r="BO145" s="229">
        <v>0.99770000000000003</v>
      </c>
      <c r="BP145" s="230">
        <v>154476800</v>
      </c>
      <c r="BQ145" s="230">
        <v>59961600</v>
      </c>
      <c r="BR145" s="230">
        <v>94515200</v>
      </c>
      <c r="BS145" s="229">
        <v>1.5763</v>
      </c>
      <c r="BT145" s="230">
        <v>9395417</v>
      </c>
      <c r="BU145" s="230">
        <v>15669452</v>
      </c>
      <c r="BV145" s="230">
        <v>-6274035</v>
      </c>
      <c r="BW145" s="229">
        <v>-0.40039999999999998</v>
      </c>
      <c r="BX145" s="230">
        <v>85292800</v>
      </c>
      <c r="BY145" s="230">
        <v>90828800</v>
      </c>
      <c r="BZ145" s="230">
        <v>-5536000</v>
      </c>
      <c r="CA145" s="229">
        <v>-6.0900000000000003E-2</v>
      </c>
      <c r="CB145" s="230">
        <v>44704000</v>
      </c>
      <c r="CC145" s="230">
        <v>78035200</v>
      </c>
      <c r="CD145" s="230">
        <v>-33331200</v>
      </c>
      <c r="CE145" s="229">
        <v>-0.42709999999999998</v>
      </c>
      <c r="CF145" s="230">
        <v>39302400</v>
      </c>
      <c r="CG145" s="230">
        <v>12000000</v>
      </c>
      <c r="CH145" s="230">
        <v>27302400</v>
      </c>
      <c r="CI145" s="229">
        <v>2.2751999999999999</v>
      </c>
      <c r="CJ145" s="230">
        <v>1286400</v>
      </c>
      <c r="CK145" s="230">
        <v>793600</v>
      </c>
      <c r="CL145" s="230">
        <v>492800</v>
      </c>
      <c r="CM145" s="229">
        <v>0.621</v>
      </c>
      <c r="CN145" s="230">
        <v>39641600</v>
      </c>
      <c r="CO145" s="230">
        <v>37004800</v>
      </c>
      <c r="CP145" s="230">
        <v>2636800</v>
      </c>
      <c r="CQ145" s="229">
        <v>7.1300000000000002E-2</v>
      </c>
      <c r="CR145" s="230">
        <v>32678400</v>
      </c>
      <c r="CS145" s="230">
        <v>30176000</v>
      </c>
      <c r="CT145" s="230">
        <v>2502400</v>
      </c>
      <c r="CU145" s="229">
        <v>8.2900000000000001E-2</v>
      </c>
      <c r="CV145" s="230">
        <v>157612800</v>
      </c>
      <c r="CW145" s="230">
        <v>158009600</v>
      </c>
      <c r="CX145" s="230">
        <v>-396800</v>
      </c>
      <c r="CY145" s="229">
        <v>-2.5000000000000001E-3</v>
      </c>
      <c r="CZ145" s="228">
        <v>35.99</v>
      </c>
      <c r="DA145" s="228">
        <v>32.08</v>
      </c>
      <c r="DB145" s="228">
        <v>3.91</v>
      </c>
      <c r="DC145" s="228">
        <v>3.91</v>
      </c>
      <c r="DD145" s="228">
        <v>34.69</v>
      </c>
      <c r="DE145" s="228">
        <v>34.700000000000003</v>
      </c>
      <c r="DF145" s="228">
        <v>1.3</v>
      </c>
      <c r="DG145" s="228">
        <v>-0.01</v>
      </c>
      <c r="DH145" s="228">
        <v>35.619999999999997</v>
      </c>
      <c r="DI145" s="228">
        <v>31.41</v>
      </c>
      <c r="DJ145" s="228">
        <v>4.21</v>
      </c>
      <c r="DK145" s="228">
        <v>4.21</v>
      </c>
      <c r="DL145" s="228">
        <v>36.49</v>
      </c>
      <c r="DM145" s="228">
        <v>33.549999999999997</v>
      </c>
      <c r="DN145" s="228">
        <v>2.94</v>
      </c>
      <c r="DO145" s="228">
        <v>2.94</v>
      </c>
      <c r="DP145" s="228">
        <v>0.82</v>
      </c>
      <c r="DQ145" s="228">
        <v>0.82</v>
      </c>
      <c r="DR145" s="228">
        <v>0</v>
      </c>
      <c r="DS145" s="229">
        <v>0</v>
      </c>
      <c r="DT145" s="228">
        <v>90</v>
      </c>
      <c r="DU145" s="228">
        <v>77</v>
      </c>
      <c r="DV145" s="228">
        <v>0.73</v>
      </c>
      <c r="DW145" s="228">
        <v>0.46</v>
      </c>
      <c r="DX145" s="228">
        <v>0.27</v>
      </c>
      <c r="DY145" s="229">
        <v>0.58699999999999997</v>
      </c>
      <c r="DZ145" s="229">
        <v>0.47589999999999999</v>
      </c>
      <c r="EA145" s="230">
        <v>12793600</v>
      </c>
      <c r="EB145" s="229">
        <v>-7.1999999999999998E-3</v>
      </c>
      <c r="EC145" s="229">
        <v>0.47589999999999999</v>
      </c>
      <c r="ED145" s="228">
        <v>-0.62</v>
      </c>
      <c r="EE145" s="229">
        <v>-7.4999999999999997E-3</v>
      </c>
      <c r="EF145" s="230">
        <v>3710811</v>
      </c>
      <c r="EG145" s="230">
        <v>6811980</v>
      </c>
      <c r="EH145" s="229">
        <v>-0.45529999999999998</v>
      </c>
      <c r="EI145" s="229">
        <v>0.39500000000000002</v>
      </c>
      <c r="EJ145" s="231">
        <v>32886.410000000003</v>
      </c>
      <c r="EK145" s="231">
        <v>22366.39</v>
      </c>
      <c r="EL145" s="231">
        <v>71853.679999999993</v>
      </c>
      <c r="EM145" s="231">
        <v>3670</v>
      </c>
      <c r="EN145" s="231">
        <v>127106.48</v>
      </c>
      <c r="EO145" s="231">
        <v>50056.18</v>
      </c>
      <c r="EP145" s="231">
        <v>77050.3</v>
      </c>
      <c r="EQ145" s="229">
        <v>1.5392999999999999</v>
      </c>
      <c r="ER145" s="231">
        <v>33525</v>
      </c>
      <c r="ES145" s="231">
        <v>25025</v>
      </c>
      <c r="ET145" s="231">
        <v>69170</v>
      </c>
      <c r="EU145" s="231">
        <v>491233252</v>
      </c>
      <c r="EV145" s="231">
        <v>127720</v>
      </c>
      <c r="EW145" s="231">
        <v>129579</v>
      </c>
      <c r="EX145" s="231">
        <v>-1859</v>
      </c>
      <c r="EY145" s="229">
        <v>-1.43E-2</v>
      </c>
      <c r="EZ145" s="229">
        <v>0.32090000000000002</v>
      </c>
      <c r="FA145" s="227" t="s">
        <v>567</v>
      </c>
      <c r="FB145" s="161">
        <f t="shared" si="3"/>
        <v>0</v>
      </c>
    </row>
    <row r="146" spans="1:158" ht="17.25" thickBot="1" x14ac:dyDescent="0.3">
      <c r="A146" s="226">
        <v>46135</v>
      </c>
      <c r="B146" s="227" t="s">
        <v>181</v>
      </c>
      <c r="C146" s="227" t="s">
        <v>266</v>
      </c>
      <c r="D146" s="228">
        <v>65</v>
      </c>
      <c r="E146" s="231">
        <v>24163</v>
      </c>
      <c r="F146" s="231">
        <v>24381.200000000001</v>
      </c>
      <c r="G146" s="228">
        <v>-218.2</v>
      </c>
      <c r="H146" s="229">
        <v>-8.8999999999999999E-3</v>
      </c>
      <c r="I146" s="231">
        <v>24173.05</v>
      </c>
      <c r="J146" s="231">
        <v>24378.1</v>
      </c>
      <c r="K146" s="228">
        <v>-205.05</v>
      </c>
      <c r="L146" s="229">
        <v>-8.3999999999999995E-3</v>
      </c>
      <c r="M146" s="231">
        <v>24163</v>
      </c>
      <c r="N146" s="231">
        <v>24381.200000000001</v>
      </c>
      <c r="O146" s="228">
        <v>-218.2</v>
      </c>
      <c r="P146" s="229">
        <v>-8.8999999999999999E-3</v>
      </c>
      <c r="Q146" s="231">
        <v>24257.9</v>
      </c>
      <c r="R146" s="231">
        <v>24510.400000000001</v>
      </c>
      <c r="S146" s="228">
        <v>-252.5</v>
      </c>
      <c r="T146" s="229">
        <v>-1.03E-2</v>
      </c>
      <c r="U146" s="231">
        <v>24410.6</v>
      </c>
      <c r="V146" s="231">
        <v>24653.599999999999</v>
      </c>
      <c r="W146" s="228">
        <v>-243</v>
      </c>
      <c r="X146" s="229">
        <v>-9.9000000000000008E-3</v>
      </c>
      <c r="Y146" s="228">
        <v>-10.050000000000001</v>
      </c>
      <c r="Z146" s="228">
        <v>3.1</v>
      </c>
      <c r="AA146" s="228">
        <v>-13.15</v>
      </c>
      <c r="AB146" s="229">
        <v>-4.0000000000000002E-4</v>
      </c>
      <c r="AC146" s="228">
        <v>-10.050000000000001</v>
      </c>
      <c r="AD146" s="228">
        <v>3.1</v>
      </c>
      <c r="AE146" s="228">
        <v>-13.15</v>
      </c>
      <c r="AF146" s="229">
        <v>-4.0000000000000002E-4</v>
      </c>
      <c r="AG146" s="228">
        <v>84.85</v>
      </c>
      <c r="AH146" s="228">
        <v>132.30000000000001</v>
      </c>
      <c r="AI146" s="228">
        <v>-47.45</v>
      </c>
      <c r="AJ146" s="229">
        <v>3.5000000000000001E-3</v>
      </c>
      <c r="AK146" s="228">
        <v>237.55</v>
      </c>
      <c r="AL146" s="228">
        <v>275.5</v>
      </c>
      <c r="AM146" s="228">
        <v>-37.950000000000003</v>
      </c>
      <c r="AN146" s="229">
        <v>9.7999999999999997E-3</v>
      </c>
      <c r="AO146" s="231">
        <v>24194.95</v>
      </c>
      <c r="AP146" s="231">
        <v>24308.05</v>
      </c>
      <c r="AQ146" s="228">
        <v>0</v>
      </c>
      <c r="AR146" s="230">
        <v>8435440</v>
      </c>
      <c r="AS146" s="230">
        <v>4816240</v>
      </c>
      <c r="AT146" s="230">
        <v>3619200</v>
      </c>
      <c r="AU146" s="229">
        <v>0.75149999999999995</v>
      </c>
      <c r="AV146" s="230">
        <v>5105165</v>
      </c>
      <c r="AW146" s="230">
        <v>3292445</v>
      </c>
      <c r="AX146" s="230">
        <v>1812720</v>
      </c>
      <c r="AY146" s="229">
        <v>0.55059999999999998</v>
      </c>
      <c r="AZ146" s="230">
        <v>3046290</v>
      </c>
      <c r="BA146" s="230">
        <v>1274520</v>
      </c>
      <c r="BB146" s="230">
        <v>1771770</v>
      </c>
      <c r="BC146" s="229">
        <v>1.3900999999999999</v>
      </c>
      <c r="BD146" s="230">
        <v>283985</v>
      </c>
      <c r="BE146" s="230">
        <v>249275</v>
      </c>
      <c r="BF146" s="230">
        <v>34710</v>
      </c>
      <c r="BG146" s="229">
        <v>0.13919999999999999</v>
      </c>
      <c r="BH146" s="230">
        <v>1316605420</v>
      </c>
      <c r="BI146" s="230">
        <v>1111096090</v>
      </c>
      <c r="BJ146" s="230">
        <v>205509330</v>
      </c>
      <c r="BK146" s="229">
        <v>0.185</v>
      </c>
      <c r="BL146" s="230">
        <v>1157634855</v>
      </c>
      <c r="BM146" s="230">
        <v>1141036390</v>
      </c>
      <c r="BN146" s="230">
        <v>16598465</v>
      </c>
      <c r="BO146" s="229">
        <v>1.4500000000000001E-2</v>
      </c>
      <c r="BP146" s="230">
        <v>2482675715</v>
      </c>
      <c r="BQ146" s="230">
        <v>2256948720</v>
      </c>
      <c r="BR146" s="230">
        <v>225726995</v>
      </c>
      <c r="BS146" s="229">
        <v>0.1</v>
      </c>
      <c r="BT146" s="228">
        <v>0</v>
      </c>
      <c r="BU146" s="228">
        <v>0</v>
      </c>
      <c r="BV146" s="228">
        <v>0</v>
      </c>
      <c r="BW146" s="229">
        <v>0</v>
      </c>
      <c r="BX146" s="230">
        <v>20320820</v>
      </c>
      <c r="BY146" s="230">
        <v>20361510</v>
      </c>
      <c r="BZ146" s="230">
        <v>-40690</v>
      </c>
      <c r="CA146" s="229">
        <v>-2E-3</v>
      </c>
      <c r="CB146" s="230">
        <v>14441440</v>
      </c>
      <c r="CC146" s="230">
        <v>16216525</v>
      </c>
      <c r="CD146" s="230">
        <v>-1775085</v>
      </c>
      <c r="CE146" s="229">
        <v>-0.1095</v>
      </c>
      <c r="CF146" s="230">
        <v>4801875</v>
      </c>
      <c r="CG146" s="230">
        <v>3138460</v>
      </c>
      <c r="CH146" s="230">
        <v>1663415</v>
      </c>
      <c r="CI146" s="229">
        <v>0.53</v>
      </c>
      <c r="CJ146" s="230">
        <v>1077505</v>
      </c>
      <c r="CK146" s="230">
        <v>1006525</v>
      </c>
      <c r="CL146" s="230">
        <v>70980</v>
      </c>
      <c r="CM146" s="229">
        <v>7.0499999999999993E-2</v>
      </c>
      <c r="CN146" s="230">
        <v>227427670</v>
      </c>
      <c r="CO146" s="230">
        <v>186817950</v>
      </c>
      <c r="CP146" s="230">
        <v>40609720</v>
      </c>
      <c r="CQ146" s="229">
        <v>0.21740000000000001</v>
      </c>
      <c r="CR146" s="230">
        <v>209962630</v>
      </c>
      <c r="CS146" s="230">
        <v>190030745</v>
      </c>
      <c r="CT146" s="230">
        <v>19931885</v>
      </c>
      <c r="CU146" s="229">
        <v>0.10489999999999999</v>
      </c>
      <c r="CV146" s="230">
        <v>457711120</v>
      </c>
      <c r="CW146" s="230">
        <v>397210205</v>
      </c>
      <c r="CX146" s="230">
        <v>60500915</v>
      </c>
      <c r="CY146" s="229">
        <v>0.15229999999999999</v>
      </c>
      <c r="CZ146" s="228">
        <v>18.309999999999999</v>
      </c>
      <c r="DA146" s="228">
        <v>18.420000000000002</v>
      </c>
      <c r="DB146" s="228">
        <v>-0.11</v>
      </c>
      <c r="DC146" s="228">
        <v>-0.11</v>
      </c>
      <c r="DD146" s="228">
        <v>17.66</v>
      </c>
      <c r="DE146" s="228">
        <v>17.66</v>
      </c>
      <c r="DF146" s="228">
        <v>0.65</v>
      </c>
      <c r="DG146" s="228">
        <v>0</v>
      </c>
      <c r="DH146" s="228">
        <v>17.03</v>
      </c>
      <c r="DI146" s="228">
        <v>17.670000000000002</v>
      </c>
      <c r="DJ146" s="228">
        <v>-0.64</v>
      </c>
      <c r="DK146" s="228">
        <v>-0.64</v>
      </c>
      <c r="DL146" s="228">
        <v>19.809999999999999</v>
      </c>
      <c r="DM146" s="228">
        <v>19.16</v>
      </c>
      <c r="DN146" s="228">
        <v>0.65</v>
      </c>
      <c r="DO146" s="228">
        <v>0.65</v>
      </c>
      <c r="DP146" s="228">
        <v>0.92</v>
      </c>
      <c r="DQ146" s="228">
        <v>1.02</v>
      </c>
      <c r="DR146" s="228">
        <v>-0.1</v>
      </c>
      <c r="DS146" s="229">
        <v>-9.8000000000000004E-2</v>
      </c>
      <c r="DT146" s="231">
        <v>26000</v>
      </c>
      <c r="DU146" s="231">
        <v>23000</v>
      </c>
      <c r="DV146" s="228">
        <v>0.88</v>
      </c>
      <c r="DW146" s="228">
        <v>1.03</v>
      </c>
      <c r="DX146" s="228">
        <v>-0.15</v>
      </c>
      <c r="DY146" s="229">
        <v>-0.14560000000000001</v>
      </c>
      <c r="DZ146" s="229">
        <v>0.2893</v>
      </c>
      <c r="EA146" s="230">
        <v>4144985</v>
      </c>
      <c r="EB146" s="229">
        <v>3.8999999999999998E-3</v>
      </c>
      <c r="EC146" s="229">
        <v>0.2893</v>
      </c>
      <c r="ED146" s="228">
        <v>113.1</v>
      </c>
      <c r="EE146" s="229">
        <v>4.7000000000000002E-3</v>
      </c>
      <c r="EF146" s="228">
        <v>0</v>
      </c>
      <c r="EG146" s="228">
        <v>0</v>
      </c>
      <c r="EH146" s="229">
        <v>0</v>
      </c>
      <c r="EI146" s="229">
        <v>0</v>
      </c>
      <c r="EJ146" s="231">
        <v>327231087.55000001</v>
      </c>
      <c r="EK146" s="231">
        <v>275788321.13</v>
      </c>
      <c r="EL146" s="231">
        <v>2045132.57</v>
      </c>
      <c r="EM146" s="231">
        <v>76273</v>
      </c>
      <c r="EN146" s="231">
        <v>605064541.25</v>
      </c>
      <c r="EO146" s="231">
        <v>553049225.42999995</v>
      </c>
      <c r="EP146" s="231">
        <v>52015315.82</v>
      </c>
      <c r="EQ146" s="229">
        <v>9.4100000000000003E-2</v>
      </c>
      <c r="ER146" s="231">
        <v>57080762</v>
      </c>
      <c r="ES146" s="231">
        <v>49093957</v>
      </c>
      <c r="ET146" s="231">
        <v>4917345</v>
      </c>
      <c r="EU146" s="228">
        <v>0</v>
      </c>
      <c r="EV146" s="231">
        <v>111092063</v>
      </c>
      <c r="EW146" s="231">
        <v>96456568</v>
      </c>
      <c r="EX146" s="231">
        <v>14635495</v>
      </c>
      <c r="EY146" s="229">
        <v>0.1517</v>
      </c>
      <c r="EZ146" s="229">
        <v>0</v>
      </c>
      <c r="FA146" s="227" t="s">
        <v>567</v>
      </c>
      <c r="FB146" s="161">
        <f t="shared" si="3"/>
        <v>0</v>
      </c>
    </row>
    <row r="147" spans="1:158" ht="17.25" thickBot="1" x14ac:dyDescent="0.3">
      <c r="A147" s="226">
        <v>46135</v>
      </c>
      <c r="B147" s="227" t="s">
        <v>181</v>
      </c>
      <c r="C147" s="227" t="s">
        <v>565</v>
      </c>
      <c r="D147" s="228">
        <v>25</v>
      </c>
      <c r="E147" s="231">
        <v>70376</v>
      </c>
      <c r="F147" s="231">
        <v>71349.2</v>
      </c>
      <c r="G147" s="228">
        <v>-973.2</v>
      </c>
      <c r="H147" s="229">
        <v>-1.3599999999999999E-2</v>
      </c>
      <c r="I147" s="231">
        <v>70410.350000000006</v>
      </c>
      <c r="J147" s="231">
        <v>71346.2</v>
      </c>
      <c r="K147" s="228">
        <v>-935.85</v>
      </c>
      <c r="L147" s="229">
        <v>-1.3100000000000001E-2</v>
      </c>
      <c r="M147" s="231">
        <v>70376</v>
      </c>
      <c r="N147" s="231">
        <v>71349.2</v>
      </c>
      <c r="O147" s="228">
        <v>-973.2</v>
      </c>
      <c r="P147" s="229">
        <v>-1.3599999999999999E-2</v>
      </c>
      <c r="Q147" s="231">
        <v>70717</v>
      </c>
      <c r="R147" s="231">
        <v>71529</v>
      </c>
      <c r="S147" s="228">
        <v>-812</v>
      </c>
      <c r="T147" s="229">
        <v>-1.14E-2</v>
      </c>
      <c r="U147" s="231">
        <v>67400</v>
      </c>
      <c r="V147" s="231">
        <v>67400</v>
      </c>
      <c r="W147" s="228">
        <v>0</v>
      </c>
      <c r="X147" s="229">
        <v>0</v>
      </c>
      <c r="Y147" s="228">
        <v>-34.35</v>
      </c>
      <c r="Z147" s="228">
        <v>3</v>
      </c>
      <c r="AA147" s="228">
        <v>-37.35</v>
      </c>
      <c r="AB147" s="229">
        <v>-5.0000000000000001E-4</v>
      </c>
      <c r="AC147" s="228">
        <v>-34.35</v>
      </c>
      <c r="AD147" s="228">
        <v>3</v>
      </c>
      <c r="AE147" s="228">
        <v>-37.35</v>
      </c>
      <c r="AF147" s="229">
        <v>-5.0000000000000001E-4</v>
      </c>
      <c r="AG147" s="228">
        <v>306.64999999999998</v>
      </c>
      <c r="AH147" s="228">
        <v>182.8</v>
      </c>
      <c r="AI147" s="228">
        <v>123.85</v>
      </c>
      <c r="AJ147" s="229">
        <v>4.4000000000000003E-3</v>
      </c>
      <c r="AK147" s="231">
        <v>-3010.35</v>
      </c>
      <c r="AL147" s="231">
        <v>-3946.2</v>
      </c>
      <c r="AM147" s="228">
        <v>935.85</v>
      </c>
      <c r="AN147" s="229">
        <v>-4.2799999999999998E-2</v>
      </c>
      <c r="AO147" s="231">
        <v>70573.39</v>
      </c>
      <c r="AP147" s="231">
        <v>70815.240000000005</v>
      </c>
      <c r="AQ147" s="228">
        <v>0</v>
      </c>
      <c r="AR147" s="230">
        <v>9575</v>
      </c>
      <c r="AS147" s="230">
        <v>8500</v>
      </c>
      <c r="AT147" s="230">
        <v>1075</v>
      </c>
      <c r="AU147" s="229">
        <v>0.1265</v>
      </c>
      <c r="AV147" s="230">
        <v>5900</v>
      </c>
      <c r="AW147" s="230">
        <v>6525</v>
      </c>
      <c r="AX147" s="228">
        <v>-625</v>
      </c>
      <c r="AY147" s="229">
        <v>-9.5799999999999996E-2</v>
      </c>
      <c r="AZ147" s="230">
        <v>3675</v>
      </c>
      <c r="BA147" s="230">
        <v>1975</v>
      </c>
      <c r="BB147" s="230">
        <v>1700</v>
      </c>
      <c r="BC147" s="229">
        <v>0.86080000000000001</v>
      </c>
      <c r="BD147" s="228">
        <v>0</v>
      </c>
      <c r="BE147" s="228">
        <v>0</v>
      </c>
      <c r="BF147" s="228">
        <v>0</v>
      </c>
      <c r="BG147" s="229">
        <v>0</v>
      </c>
      <c r="BH147" s="230">
        <v>11325</v>
      </c>
      <c r="BI147" s="230">
        <v>16300</v>
      </c>
      <c r="BJ147" s="230">
        <v>-4975</v>
      </c>
      <c r="BK147" s="229">
        <v>-0.30520000000000003</v>
      </c>
      <c r="BL147" s="230">
        <v>8650</v>
      </c>
      <c r="BM147" s="230">
        <v>13425</v>
      </c>
      <c r="BN147" s="230">
        <v>-4775</v>
      </c>
      <c r="BO147" s="229">
        <v>-0.35570000000000002</v>
      </c>
      <c r="BP147" s="230">
        <v>29550</v>
      </c>
      <c r="BQ147" s="230">
        <v>38225</v>
      </c>
      <c r="BR147" s="230">
        <v>-8675</v>
      </c>
      <c r="BS147" s="229">
        <v>-0.22689999999999999</v>
      </c>
      <c r="BT147" s="228">
        <v>0</v>
      </c>
      <c r="BU147" s="228">
        <v>0</v>
      </c>
      <c r="BV147" s="228">
        <v>0</v>
      </c>
      <c r="BW147" s="229">
        <v>0</v>
      </c>
      <c r="BX147" s="230">
        <v>24250</v>
      </c>
      <c r="BY147" s="230">
        <v>23475</v>
      </c>
      <c r="BZ147" s="228">
        <v>775</v>
      </c>
      <c r="CA147" s="229">
        <v>3.3000000000000002E-2</v>
      </c>
      <c r="CB147" s="230">
        <v>17800</v>
      </c>
      <c r="CC147" s="230">
        <v>18725</v>
      </c>
      <c r="CD147" s="228">
        <v>-925</v>
      </c>
      <c r="CE147" s="229">
        <v>-4.9399999999999999E-2</v>
      </c>
      <c r="CF147" s="230">
        <v>6425</v>
      </c>
      <c r="CG147" s="230">
        <v>4725</v>
      </c>
      <c r="CH147" s="230">
        <v>1700</v>
      </c>
      <c r="CI147" s="229">
        <v>0.35980000000000001</v>
      </c>
      <c r="CJ147" s="228">
        <v>25</v>
      </c>
      <c r="CK147" s="228">
        <v>25</v>
      </c>
      <c r="CL147" s="228">
        <v>0</v>
      </c>
      <c r="CM147" s="229">
        <v>0</v>
      </c>
      <c r="CN147" s="230">
        <v>17775</v>
      </c>
      <c r="CO147" s="230">
        <v>16900</v>
      </c>
      <c r="CP147" s="228">
        <v>875</v>
      </c>
      <c r="CQ147" s="229">
        <v>5.1799999999999999E-2</v>
      </c>
      <c r="CR147" s="230">
        <v>9375</v>
      </c>
      <c r="CS147" s="230">
        <v>10450</v>
      </c>
      <c r="CT147" s="230">
        <v>-1075</v>
      </c>
      <c r="CU147" s="229">
        <v>-0.10290000000000001</v>
      </c>
      <c r="CV147" s="230">
        <v>51400</v>
      </c>
      <c r="CW147" s="230">
        <v>50825</v>
      </c>
      <c r="CX147" s="228">
        <v>575</v>
      </c>
      <c r="CY147" s="229">
        <v>1.1299999999999999E-2</v>
      </c>
      <c r="CZ147" s="228">
        <v>23.16</v>
      </c>
      <c r="DA147" s="228">
        <v>18.78</v>
      </c>
      <c r="DB147" s="228">
        <v>4.38</v>
      </c>
      <c r="DC147" s="228">
        <v>4.38</v>
      </c>
      <c r="DD147" s="228">
        <v>23.16</v>
      </c>
      <c r="DE147" s="228">
        <v>23.15</v>
      </c>
      <c r="DF147" s="228">
        <v>0</v>
      </c>
      <c r="DG147" s="228">
        <v>0.01</v>
      </c>
      <c r="DH147" s="228">
        <v>23.16</v>
      </c>
      <c r="DI147" s="228">
        <v>18.25</v>
      </c>
      <c r="DJ147" s="228">
        <v>4.91</v>
      </c>
      <c r="DK147" s="228">
        <v>4.91</v>
      </c>
      <c r="DL147" s="228">
        <v>23.16</v>
      </c>
      <c r="DM147" s="228">
        <v>19.420000000000002</v>
      </c>
      <c r="DN147" s="228">
        <v>3.74</v>
      </c>
      <c r="DO147" s="228">
        <v>3.74</v>
      </c>
      <c r="DP147" s="228">
        <v>0.53</v>
      </c>
      <c r="DQ147" s="228">
        <v>0.62</v>
      </c>
      <c r="DR147" s="228">
        <v>-0.09</v>
      </c>
      <c r="DS147" s="229">
        <v>-0.1452</v>
      </c>
      <c r="DT147" s="231">
        <v>70000</v>
      </c>
      <c r="DU147" s="231">
        <v>70000</v>
      </c>
      <c r="DV147" s="228">
        <v>0.76</v>
      </c>
      <c r="DW147" s="228">
        <v>0.82</v>
      </c>
      <c r="DX147" s="228">
        <v>-0.06</v>
      </c>
      <c r="DY147" s="229">
        <v>-7.3200000000000001E-2</v>
      </c>
      <c r="DZ147" s="229">
        <v>0.26600000000000001</v>
      </c>
      <c r="EA147" s="230">
        <v>4750</v>
      </c>
      <c r="EB147" s="229">
        <v>4.7999999999999996E-3</v>
      </c>
      <c r="EC147" s="229">
        <v>0.26600000000000001</v>
      </c>
      <c r="ED147" s="228">
        <v>241.85</v>
      </c>
      <c r="EE147" s="229">
        <v>3.3999999999999998E-3</v>
      </c>
      <c r="EF147" s="228">
        <v>0</v>
      </c>
      <c r="EG147" s="228">
        <v>0</v>
      </c>
      <c r="EH147" s="229">
        <v>0</v>
      </c>
      <c r="EI147" s="229">
        <v>0</v>
      </c>
      <c r="EJ147" s="231">
        <v>8112.17</v>
      </c>
      <c r="EK147" s="231">
        <v>6112</v>
      </c>
      <c r="EL147" s="231">
        <v>6766.29</v>
      </c>
      <c r="EM147" s="228">
        <v>0</v>
      </c>
      <c r="EN147" s="231">
        <v>20990.46</v>
      </c>
      <c r="EO147" s="231">
        <v>27162.240000000002</v>
      </c>
      <c r="EP147" s="231">
        <v>-6171.78</v>
      </c>
      <c r="EQ147" s="229">
        <v>-0.22720000000000001</v>
      </c>
      <c r="ER147" s="231">
        <v>12467</v>
      </c>
      <c r="ES147" s="231">
        <v>6211</v>
      </c>
      <c r="ET147" s="231">
        <v>17087</v>
      </c>
      <c r="EU147" s="228">
        <v>0</v>
      </c>
      <c r="EV147" s="231">
        <v>35766</v>
      </c>
      <c r="EW147" s="231">
        <v>35569</v>
      </c>
      <c r="EX147" s="228">
        <v>197</v>
      </c>
      <c r="EY147" s="229">
        <v>5.4999999999999997E-3</v>
      </c>
      <c r="EZ147" s="229">
        <v>0</v>
      </c>
      <c r="FA147" s="227" t="s">
        <v>566</v>
      </c>
      <c r="FB147" s="161">
        <f t="shared" si="3"/>
        <v>0</v>
      </c>
    </row>
    <row r="148" spans="1:158" ht="17.25" thickBot="1" x14ac:dyDescent="0.3">
      <c r="A148" s="226">
        <v>46135</v>
      </c>
      <c r="B148" s="227" t="s">
        <v>227</v>
      </c>
      <c r="C148" s="227" t="s">
        <v>267</v>
      </c>
      <c r="D148" s="228">
        <v>6750</v>
      </c>
      <c r="E148" s="228">
        <v>87.42</v>
      </c>
      <c r="F148" s="228">
        <v>88.52</v>
      </c>
      <c r="G148" s="228">
        <v>-1.1000000000000001</v>
      </c>
      <c r="H148" s="229">
        <v>-1.24E-2</v>
      </c>
      <c r="I148" s="228">
        <v>87.31</v>
      </c>
      <c r="J148" s="228">
        <v>88.59</v>
      </c>
      <c r="K148" s="228">
        <v>-1.28</v>
      </c>
      <c r="L148" s="229">
        <v>-1.44E-2</v>
      </c>
      <c r="M148" s="228">
        <v>87.42</v>
      </c>
      <c r="N148" s="228">
        <v>88.52</v>
      </c>
      <c r="O148" s="228">
        <v>-1.1000000000000001</v>
      </c>
      <c r="P148" s="229">
        <v>-1.24E-2</v>
      </c>
      <c r="Q148" s="228">
        <v>87.91</v>
      </c>
      <c r="R148" s="228">
        <v>89.02</v>
      </c>
      <c r="S148" s="228">
        <v>-1.1100000000000001</v>
      </c>
      <c r="T148" s="229">
        <v>-1.2500000000000001E-2</v>
      </c>
      <c r="U148" s="228">
        <v>88.41</v>
      </c>
      <c r="V148" s="228">
        <v>89.66</v>
      </c>
      <c r="W148" s="228">
        <v>-1.25</v>
      </c>
      <c r="X148" s="229">
        <v>-1.3899999999999999E-2</v>
      </c>
      <c r="Y148" s="228">
        <v>0.11</v>
      </c>
      <c r="Z148" s="228">
        <v>-7.0000000000000007E-2</v>
      </c>
      <c r="AA148" s="228">
        <v>0.18</v>
      </c>
      <c r="AB148" s="229">
        <v>1.2999999999999999E-3</v>
      </c>
      <c r="AC148" s="228">
        <v>0.11</v>
      </c>
      <c r="AD148" s="228">
        <v>-7.0000000000000007E-2</v>
      </c>
      <c r="AE148" s="228">
        <v>0.18</v>
      </c>
      <c r="AF148" s="229">
        <v>1.2999999999999999E-3</v>
      </c>
      <c r="AG148" s="228">
        <v>0.6</v>
      </c>
      <c r="AH148" s="228">
        <v>0.43</v>
      </c>
      <c r="AI148" s="228">
        <v>0.17</v>
      </c>
      <c r="AJ148" s="229">
        <v>6.8999999999999999E-3</v>
      </c>
      <c r="AK148" s="228">
        <v>1.1000000000000001</v>
      </c>
      <c r="AL148" s="228">
        <v>1.07</v>
      </c>
      <c r="AM148" s="228">
        <v>0.03</v>
      </c>
      <c r="AN148" s="229">
        <v>1.26E-2</v>
      </c>
      <c r="AO148" s="228">
        <v>87.3</v>
      </c>
      <c r="AP148" s="228">
        <v>87.77</v>
      </c>
      <c r="AQ148" s="228">
        <v>0</v>
      </c>
      <c r="AR148" s="230">
        <v>94351500</v>
      </c>
      <c r="AS148" s="230">
        <v>44806500</v>
      </c>
      <c r="AT148" s="230">
        <v>49545000</v>
      </c>
      <c r="AU148" s="229">
        <v>1.1057999999999999</v>
      </c>
      <c r="AV148" s="230">
        <v>46291500</v>
      </c>
      <c r="AW148" s="230">
        <v>26439750</v>
      </c>
      <c r="AX148" s="230">
        <v>19851750</v>
      </c>
      <c r="AY148" s="229">
        <v>0.75080000000000002</v>
      </c>
      <c r="AZ148" s="230">
        <v>47682000</v>
      </c>
      <c r="BA148" s="230">
        <v>17671500</v>
      </c>
      <c r="BB148" s="230">
        <v>30010500</v>
      </c>
      <c r="BC148" s="229">
        <v>1.6981999999999999</v>
      </c>
      <c r="BD148" s="230">
        <v>378000</v>
      </c>
      <c r="BE148" s="230">
        <v>695250</v>
      </c>
      <c r="BF148" s="230">
        <v>-317250</v>
      </c>
      <c r="BG148" s="229">
        <v>-0.45629999999999998</v>
      </c>
      <c r="BH148" s="230">
        <v>72535500</v>
      </c>
      <c r="BI148" s="230">
        <v>84793500</v>
      </c>
      <c r="BJ148" s="230">
        <v>-12258000</v>
      </c>
      <c r="BK148" s="229">
        <v>-0.14460000000000001</v>
      </c>
      <c r="BL148" s="230">
        <v>25204500</v>
      </c>
      <c r="BM148" s="230">
        <v>32528250</v>
      </c>
      <c r="BN148" s="230">
        <v>-7323750</v>
      </c>
      <c r="BO148" s="229">
        <v>-0.22520000000000001</v>
      </c>
      <c r="BP148" s="230">
        <v>192091500</v>
      </c>
      <c r="BQ148" s="230">
        <v>162128250</v>
      </c>
      <c r="BR148" s="230">
        <v>29963250</v>
      </c>
      <c r="BS148" s="229">
        <v>0.18479999999999999</v>
      </c>
      <c r="BT148" s="230">
        <v>26548362</v>
      </c>
      <c r="BU148" s="230">
        <v>19661863</v>
      </c>
      <c r="BV148" s="230">
        <v>6886499</v>
      </c>
      <c r="BW148" s="229">
        <v>0.35020000000000001</v>
      </c>
      <c r="BX148" s="230">
        <v>324756000</v>
      </c>
      <c r="BY148" s="230">
        <v>322643250</v>
      </c>
      <c r="BZ148" s="230">
        <v>2112750</v>
      </c>
      <c r="CA148" s="229">
        <v>6.4999999999999997E-3</v>
      </c>
      <c r="CB148" s="230">
        <v>221832000</v>
      </c>
      <c r="CC148" s="230">
        <v>258295500</v>
      </c>
      <c r="CD148" s="230">
        <v>-36463500</v>
      </c>
      <c r="CE148" s="229">
        <v>-0.14119999999999999</v>
      </c>
      <c r="CF148" s="230">
        <v>96592500</v>
      </c>
      <c r="CG148" s="230">
        <v>58232250</v>
      </c>
      <c r="CH148" s="230">
        <v>38360250</v>
      </c>
      <c r="CI148" s="229">
        <v>0.65869999999999995</v>
      </c>
      <c r="CJ148" s="230">
        <v>6331500</v>
      </c>
      <c r="CK148" s="230">
        <v>6115500</v>
      </c>
      <c r="CL148" s="230">
        <v>216000</v>
      </c>
      <c r="CM148" s="229">
        <v>3.5299999999999998E-2</v>
      </c>
      <c r="CN148" s="230">
        <v>86454000</v>
      </c>
      <c r="CO148" s="230">
        <v>83787750</v>
      </c>
      <c r="CP148" s="230">
        <v>2666250</v>
      </c>
      <c r="CQ148" s="229">
        <v>3.1800000000000002E-2</v>
      </c>
      <c r="CR148" s="230">
        <v>51705000</v>
      </c>
      <c r="CS148" s="230">
        <v>50618250</v>
      </c>
      <c r="CT148" s="230">
        <v>1086750</v>
      </c>
      <c r="CU148" s="229">
        <v>2.1499999999999998E-2</v>
      </c>
      <c r="CV148" s="230">
        <v>462915000</v>
      </c>
      <c r="CW148" s="230">
        <v>457049250</v>
      </c>
      <c r="CX148" s="230">
        <v>5865750</v>
      </c>
      <c r="CY148" s="229">
        <v>1.2800000000000001E-2</v>
      </c>
      <c r="CZ148" s="228">
        <v>37.22</v>
      </c>
      <c r="DA148" s="228">
        <v>31.39</v>
      </c>
      <c r="DB148" s="228">
        <v>5.83</v>
      </c>
      <c r="DC148" s="228">
        <v>5.83</v>
      </c>
      <c r="DD148" s="228">
        <v>38.78</v>
      </c>
      <c r="DE148" s="228">
        <v>38.840000000000003</v>
      </c>
      <c r="DF148" s="228">
        <v>-1.56</v>
      </c>
      <c r="DG148" s="228">
        <v>-0.06</v>
      </c>
      <c r="DH148" s="228">
        <v>37.17</v>
      </c>
      <c r="DI148" s="228">
        <v>30.8</v>
      </c>
      <c r="DJ148" s="228">
        <v>6.37</v>
      </c>
      <c r="DK148" s="228">
        <v>6.37</v>
      </c>
      <c r="DL148" s="228">
        <v>37.340000000000003</v>
      </c>
      <c r="DM148" s="228">
        <v>32.93</v>
      </c>
      <c r="DN148" s="228">
        <v>4.41</v>
      </c>
      <c r="DO148" s="228">
        <v>4.41</v>
      </c>
      <c r="DP148" s="228">
        <v>0.6</v>
      </c>
      <c r="DQ148" s="228">
        <v>0.6</v>
      </c>
      <c r="DR148" s="228">
        <v>0</v>
      </c>
      <c r="DS148" s="229">
        <v>0</v>
      </c>
      <c r="DT148" s="228">
        <v>90</v>
      </c>
      <c r="DU148" s="228">
        <v>80</v>
      </c>
      <c r="DV148" s="228">
        <v>0.35</v>
      </c>
      <c r="DW148" s="228">
        <v>0.38</v>
      </c>
      <c r="DX148" s="228">
        <v>-0.03</v>
      </c>
      <c r="DY148" s="229">
        <v>-7.8899999999999998E-2</v>
      </c>
      <c r="DZ148" s="229">
        <v>0.31690000000000002</v>
      </c>
      <c r="EA148" s="230">
        <v>64347750</v>
      </c>
      <c r="EB148" s="229">
        <v>5.5999999999999999E-3</v>
      </c>
      <c r="EC148" s="229">
        <v>0.31690000000000002</v>
      </c>
      <c r="ED148" s="228">
        <v>0.47</v>
      </c>
      <c r="EE148" s="229">
        <v>5.4000000000000003E-3</v>
      </c>
      <c r="EF148" s="230">
        <v>12118523</v>
      </c>
      <c r="EG148" s="230">
        <v>8335023</v>
      </c>
      <c r="EH148" s="229">
        <v>0.45390000000000003</v>
      </c>
      <c r="EI148" s="229">
        <v>0.45650000000000002</v>
      </c>
      <c r="EJ148" s="231">
        <v>65959.56</v>
      </c>
      <c r="EK148" s="231">
        <v>21537.14</v>
      </c>
      <c r="EL148" s="231">
        <v>82595.97</v>
      </c>
      <c r="EM148" s="231">
        <v>8038</v>
      </c>
      <c r="EN148" s="231">
        <v>170092.67</v>
      </c>
      <c r="EO148" s="231">
        <v>146052.70000000001</v>
      </c>
      <c r="EP148" s="231">
        <v>24039.97</v>
      </c>
      <c r="EQ148" s="229">
        <v>0.1646</v>
      </c>
      <c r="ER148" s="231">
        <v>76732</v>
      </c>
      <c r="ES148" s="231">
        <v>41936</v>
      </c>
      <c r="ET148" s="231">
        <v>284438</v>
      </c>
      <c r="EU148" s="231">
        <v>517037525</v>
      </c>
      <c r="EV148" s="231">
        <v>403105</v>
      </c>
      <c r="EW148" s="231">
        <v>401334</v>
      </c>
      <c r="EX148" s="231">
        <v>1771</v>
      </c>
      <c r="EY148" s="229">
        <v>4.4000000000000003E-3</v>
      </c>
      <c r="EZ148" s="229">
        <v>0.89529999999999998</v>
      </c>
      <c r="FA148" s="227" t="s">
        <v>566</v>
      </c>
      <c r="FB148" s="161">
        <f t="shared" si="3"/>
        <v>0</v>
      </c>
    </row>
    <row r="149" spans="1:158" ht="17.25" thickBot="1" x14ac:dyDescent="0.3">
      <c r="A149" s="226">
        <v>46135</v>
      </c>
      <c r="B149" s="227" t="s">
        <v>161</v>
      </c>
      <c r="C149" s="227" t="s">
        <v>268</v>
      </c>
      <c r="D149" s="228">
        <v>1500</v>
      </c>
      <c r="E149" s="228">
        <v>401.75</v>
      </c>
      <c r="F149" s="228">
        <v>404.9</v>
      </c>
      <c r="G149" s="228">
        <v>-3.15</v>
      </c>
      <c r="H149" s="229">
        <v>-7.7999999999999996E-3</v>
      </c>
      <c r="I149" s="228">
        <v>402.25</v>
      </c>
      <c r="J149" s="228">
        <v>405.4</v>
      </c>
      <c r="K149" s="228">
        <v>-3.15</v>
      </c>
      <c r="L149" s="229">
        <v>-7.7999999999999996E-3</v>
      </c>
      <c r="M149" s="228">
        <v>401.75</v>
      </c>
      <c r="N149" s="228">
        <v>404.9</v>
      </c>
      <c r="O149" s="228">
        <v>-3.15</v>
      </c>
      <c r="P149" s="229">
        <v>-7.7999999999999996E-3</v>
      </c>
      <c r="Q149" s="228">
        <v>404.3</v>
      </c>
      <c r="R149" s="228">
        <v>407.15</v>
      </c>
      <c r="S149" s="228">
        <v>-2.85</v>
      </c>
      <c r="T149" s="229">
        <v>-7.0000000000000001E-3</v>
      </c>
      <c r="U149" s="228">
        <v>406.5</v>
      </c>
      <c r="V149" s="228">
        <v>409.7</v>
      </c>
      <c r="W149" s="228">
        <v>-3.2</v>
      </c>
      <c r="X149" s="229">
        <v>-7.7999999999999996E-3</v>
      </c>
      <c r="Y149" s="228">
        <v>-0.5</v>
      </c>
      <c r="Z149" s="228">
        <v>-0.5</v>
      </c>
      <c r="AA149" s="228">
        <v>0</v>
      </c>
      <c r="AB149" s="229">
        <v>-1.1999999999999999E-3</v>
      </c>
      <c r="AC149" s="228">
        <v>-0.5</v>
      </c>
      <c r="AD149" s="228">
        <v>-0.5</v>
      </c>
      <c r="AE149" s="228">
        <v>0</v>
      </c>
      <c r="AF149" s="229">
        <v>-1.1999999999999999E-3</v>
      </c>
      <c r="AG149" s="228">
        <v>2.0499999999999998</v>
      </c>
      <c r="AH149" s="228">
        <v>1.75</v>
      </c>
      <c r="AI149" s="228">
        <v>0.3</v>
      </c>
      <c r="AJ149" s="229">
        <v>5.1000000000000004E-3</v>
      </c>
      <c r="AK149" s="228">
        <v>4.25</v>
      </c>
      <c r="AL149" s="228">
        <v>4.3</v>
      </c>
      <c r="AM149" s="228">
        <v>-0.05</v>
      </c>
      <c r="AN149" s="229">
        <v>1.06E-2</v>
      </c>
      <c r="AO149" s="228">
        <v>402.46</v>
      </c>
      <c r="AP149" s="228">
        <v>404.82</v>
      </c>
      <c r="AQ149" s="228">
        <v>0</v>
      </c>
      <c r="AR149" s="230">
        <v>45064500</v>
      </c>
      <c r="AS149" s="230">
        <v>26143500</v>
      </c>
      <c r="AT149" s="230">
        <v>18921000</v>
      </c>
      <c r="AU149" s="229">
        <v>0.72370000000000001</v>
      </c>
      <c r="AV149" s="230">
        <v>23592000</v>
      </c>
      <c r="AW149" s="230">
        <v>18456000</v>
      </c>
      <c r="AX149" s="230">
        <v>5136000</v>
      </c>
      <c r="AY149" s="229">
        <v>0.27829999999999999</v>
      </c>
      <c r="AZ149" s="230">
        <v>20923500</v>
      </c>
      <c r="BA149" s="230">
        <v>5917500</v>
      </c>
      <c r="BB149" s="230">
        <v>15006000</v>
      </c>
      <c r="BC149" s="229">
        <v>2.5358999999999998</v>
      </c>
      <c r="BD149" s="230">
        <v>549000</v>
      </c>
      <c r="BE149" s="230">
        <v>1770000</v>
      </c>
      <c r="BF149" s="230">
        <v>-1221000</v>
      </c>
      <c r="BG149" s="229">
        <v>-0.68979999999999997</v>
      </c>
      <c r="BH149" s="230">
        <v>73684500</v>
      </c>
      <c r="BI149" s="230">
        <v>158659500</v>
      </c>
      <c r="BJ149" s="230">
        <v>-84975000</v>
      </c>
      <c r="BK149" s="229">
        <v>-0.53559999999999997</v>
      </c>
      <c r="BL149" s="230">
        <v>45672000</v>
      </c>
      <c r="BM149" s="230">
        <v>79654500</v>
      </c>
      <c r="BN149" s="230">
        <v>-33982500</v>
      </c>
      <c r="BO149" s="229">
        <v>-0.42659999999999998</v>
      </c>
      <c r="BP149" s="230">
        <v>164421000</v>
      </c>
      <c r="BQ149" s="230">
        <v>264457500</v>
      </c>
      <c r="BR149" s="230">
        <v>-100036500</v>
      </c>
      <c r="BS149" s="229">
        <v>-0.37830000000000003</v>
      </c>
      <c r="BT149" s="230">
        <v>9509040</v>
      </c>
      <c r="BU149" s="230">
        <v>17560002</v>
      </c>
      <c r="BV149" s="230">
        <v>-8050962</v>
      </c>
      <c r="BW149" s="229">
        <v>-0.45850000000000002</v>
      </c>
      <c r="BX149" s="230">
        <v>108913500</v>
      </c>
      <c r="BY149" s="230">
        <v>108111000</v>
      </c>
      <c r="BZ149" s="230">
        <v>802500</v>
      </c>
      <c r="CA149" s="229">
        <v>7.4000000000000003E-3</v>
      </c>
      <c r="CB149" s="230">
        <v>64282500</v>
      </c>
      <c r="CC149" s="230">
        <v>82380000</v>
      </c>
      <c r="CD149" s="230">
        <v>-18097500</v>
      </c>
      <c r="CE149" s="229">
        <v>-0.21970000000000001</v>
      </c>
      <c r="CF149" s="230">
        <v>36682500</v>
      </c>
      <c r="CG149" s="230">
        <v>18124500</v>
      </c>
      <c r="CH149" s="230">
        <v>18558000</v>
      </c>
      <c r="CI149" s="229">
        <v>1.0239</v>
      </c>
      <c r="CJ149" s="230">
        <v>7948500</v>
      </c>
      <c r="CK149" s="230">
        <v>7606500</v>
      </c>
      <c r="CL149" s="230">
        <v>342000</v>
      </c>
      <c r="CM149" s="229">
        <v>4.4999999999999998E-2</v>
      </c>
      <c r="CN149" s="230">
        <v>76119000</v>
      </c>
      <c r="CO149" s="230">
        <v>74988000</v>
      </c>
      <c r="CP149" s="230">
        <v>1131000</v>
      </c>
      <c r="CQ149" s="229">
        <v>1.5100000000000001E-2</v>
      </c>
      <c r="CR149" s="230">
        <v>43224000</v>
      </c>
      <c r="CS149" s="230">
        <v>44161500</v>
      </c>
      <c r="CT149" s="230">
        <v>-937500</v>
      </c>
      <c r="CU149" s="229">
        <v>-2.12E-2</v>
      </c>
      <c r="CV149" s="230">
        <v>228256500</v>
      </c>
      <c r="CW149" s="230">
        <v>227260500</v>
      </c>
      <c r="CX149" s="230">
        <v>996000</v>
      </c>
      <c r="CY149" s="229">
        <v>4.4000000000000003E-3</v>
      </c>
      <c r="CZ149" s="228">
        <v>26.32</v>
      </c>
      <c r="DA149" s="228">
        <v>19.72</v>
      </c>
      <c r="DB149" s="228">
        <v>6.6</v>
      </c>
      <c r="DC149" s="228">
        <v>6.6</v>
      </c>
      <c r="DD149" s="228">
        <v>27.39</v>
      </c>
      <c r="DE149" s="228">
        <v>27.44</v>
      </c>
      <c r="DF149" s="228">
        <v>-1.07</v>
      </c>
      <c r="DG149" s="228">
        <v>-0.05</v>
      </c>
      <c r="DH149" s="228">
        <v>26.44</v>
      </c>
      <c r="DI149" s="228">
        <v>19.11</v>
      </c>
      <c r="DJ149" s="228">
        <v>7.33</v>
      </c>
      <c r="DK149" s="228">
        <v>7.33</v>
      </c>
      <c r="DL149" s="228">
        <v>25.93</v>
      </c>
      <c r="DM149" s="228">
        <v>20.93</v>
      </c>
      <c r="DN149" s="228">
        <v>5</v>
      </c>
      <c r="DO149" s="228">
        <v>5</v>
      </c>
      <c r="DP149" s="228">
        <v>0.56999999999999995</v>
      </c>
      <c r="DQ149" s="228">
        <v>0.59</v>
      </c>
      <c r="DR149" s="228">
        <v>-0.02</v>
      </c>
      <c r="DS149" s="229">
        <v>-3.39E-2</v>
      </c>
      <c r="DT149" s="228">
        <v>395</v>
      </c>
      <c r="DU149" s="228">
        <v>400</v>
      </c>
      <c r="DV149" s="228">
        <v>0.62</v>
      </c>
      <c r="DW149" s="228">
        <v>0.5</v>
      </c>
      <c r="DX149" s="228">
        <v>0.12</v>
      </c>
      <c r="DY149" s="229">
        <v>0.24</v>
      </c>
      <c r="DZ149" s="229">
        <v>0.4098</v>
      </c>
      <c r="EA149" s="230">
        <v>25731000</v>
      </c>
      <c r="EB149" s="229">
        <v>6.3E-3</v>
      </c>
      <c r="EC149" s="229">
        <v>0.4098</v>
      </c>
      <c r="ED149" s="228">
        <v>2.36</v>
      </c>
      <c r="EE149" s="229">
        <v>5.8999999999999999E-3</v>
      </c>
      <c r="EF149" s="230">
        <v>5737770</v>
      </c>
      <c r="EG149" s="230">
        <v>10903650</v>
      </c>
      <c r="EH149" s="229">
        <v>-0.4738</v>
      </c>
      <c r="EI149" s="229">
        <v>0.60340000000000005</v>
      </c>
      <c r="EJ149" s="231">
        <v>302400.63</v>
      </c>
      <c r="EK149" s="231">
        <v>181473.92000000001</v>
      </c>
      <c r="EL149" s="231">
        <v>181886.95</v>
      </c>
      <c r="EM149" s="231">
        <v>12665</v>
      </c>
      <c r="EN149" s="231">
        <v>665761.5</v>
      </c>
      <c r="EO149" s="231">
        <v>1075328.33</v>
      </c>
      <c r="EP149" s="231">
        <v>-409566.83</v>
      </c>
      <c r="EQ149" s="229">
        <v>-0.38090000000000002</v>
      </c>
      <c r="ER149" s="231">
        <v>301104</v>
      </c>
      <c r="ES149" s="231">
        <v>165543</v>
      </c>
      <c r="ET149" s="231">
        <v>438873</v>
      </c>
      <c r="EU149" s="231">
        <v>550512361</v>
      </c>
      <c r="EV149" s="231">
        <v>905519</v>
      </c>
      <c r="EW149" s="231">
        <v>903910</v>
      </c>
      <c r="EX149" s="231">
        <v>1609</v>
      </c>
      <c r="EY149" s="229">
        <v>1.8E-3</v>
      </c>
      <c r="EZ149" s="229">
        <v>0.41460000000000002</v>
      </c>
      <c r="FA149" s="227" t="s">
        <v>566</v>
      </c>
      <c r="FB149" s="161">
        <f t="shared" si="3"/>
        <v>0</v>
      </c>
    </row>
    <row r="150" spans="1:158" ht="17.25" thickBot="1" x14ac:dyDescent="0.3">
      <c r="A150" s="226">
        <v>46135</v>
      </c>
      <c r="B150" s="227" t="s">
        <v>175</v>
      </c>
      <c r="C150" s="227" t="s">
        <v>683</v>
      </c>
      <c r="D150" s="228">
        <v>500</v>
      </c>
      <c r="E150" s="231">
        <v>1377.9</v>
      </c>
      <c r="F150" s="231">
        <v>1375.5</v>
      </c>
      <c r="G150" s="228">
        <v>2.4</v>
      </c>
      <c r="H150" s="229">
        <v>1.6999999999999999E-3</v>
      </c>
      <c r="I150" s="231">
        <v>1376.7</v>
      </c>
      <c r="J150" s="231">
        <v>1371.7</v>
      </c>
      <c r="K150" s="228">
        <v>5</v>
      </c>
      <c r="L150" s="229">
        <v>3.5999999999999999E-3</v>
      </c>
      <c r="M150" s="231">
        <v>1377.9</v>
      </c>
      <c r="N150" s="231">
        <v>1375.5</v>
      </c>
      <c r="O150" s="228">
        <v>2.4</v>
      </c>
      <c r="P150" s="229">
        <v>1.6999999999999999E-3</v>
      </c>
      <c r="Q150" s="231">
        <v>1380.5</v>
      </c>
      <c r="R150" s="231">
        <v>1372.6</v>
      </c>
      <c r="S150" s="228">
        <v>7.9</v>
      </c>
      <c r="T150" s="229">
        <v>5.7999999999999996E-3</v>
      </c>
      <c r="U150" s="231">
        <v>1376.4</v>
      </c>
      <c r="V150" s="231">
        <v>1379.8</v>
      </c>
      <c r="W150" s="228">
        <v>-3.4</v>
      </c>
      <c r="X150" s="229">
        <v>-2.5000000000000001E-3</v>
      </c>
      <c r="Y150" s="228">
        <v>1.2</v>
      </c>
      <c r="Z150" s="228">
        <v>3.8</v>
      </c>
      <c r="AA150" s="228">
        <v>-2.6</v>
      </c>
      <c r="AB150" s="229">
        <v>8.9999999999999998E-4</v>
      </c>
      <c r="AC150" s="228">
        <v>1.2</v>
      </c>
      <c r="AD150" s="228">
        <v>3.8</v>
      </c>
      <c r="AE150" s="228">
        <v>-2.6</v>
      </c>
      <c r="AF150" s="229">
        <v>8.9999999999999998E-4</v>
      </c>
      <c r="AG150" s="228">
        <v>3.8</v>
      </c>
      <c r="AH150" s="228">
        <v>0.9</v>
      </c>
      <c r="AI150" s="228">
        <v>2.9</v>
      </c>
      <c r="AJ150" s="229">
        <v>2.8E-3</v>
      </c>
      <c r="AK150" s="228">
        <v>-0.3</v>
      </c>
      <c r="AL150" s="228">
        <v>8.1</v>
      </c>
      <c r="AM150" s="228">
        <v>-8.4</v>
      </c>
      <c r="AN150" s="229">
        <v>-2.0000000000000001E-4</v>
      </c>
      <c r="AO150" s="231">
        <v>1373.27</v>
      </c>
      <c r="AP150" s="231">
        <v>1373.11</v>
      </c>
      <c r="AQ150" s="228">
        <v>0</v>
      </c>
      <c r="AR150" s="230">
        <v>1735500</v>
      </c>
      <c r="AS150" s="230">
        <v>592000</v>
      </c>
      <c r="AT150" s="230">
        <v>1143500</v>
      </c>
      <c r="AU150" s="229">
        <v>1.9316</v>
      </c>
      <c r="AV150" s="230">
        <v>967000</v>
      </c>
      <c r="AW150" s="230">
        <v>421500</v>
      </c>
      <c r="AX150" s="230">
        <v>545500</v>
      </c>
      <c r="AY150" s="229">
        <v>1.2942</v>
      </c>
      <c r="AZ150" s="230">
        <v>768000</v>
      </c>
      <c r="BA150" s="230">
        <v>169500</v>
      </c>
      <c r="BB150" s="230">
        <v>598500</v>
      </c>
      <c r="BC150" s="229">
        <v>3.5310000000000001</v>
      </c>
      <c r="BD150" s="228">
        <v>500</v>
      </c>
      <c r="BE150" s="230">
        <v>1000</v>
      </c>
      <c r="BF150" s="228">
        <v>-500</v>
      </c>
      <c r="BG150" s="229">
        <v>-0.5</v>
      </c>
      <c r="BH150" s="230">
        <v>679500</v>
      </c>
      <c r="BI150" s="230">
        <v>937500</v>
      </c>
      <c r="BJ150" s="230">
        <v>-258000</v>
      </c>
      <c r="BK150" s="229">
        <v>-0.2752</v>
      </c>
      <c r="BL150" s="230">
        <v>543500</v>
      </c>
      <c r="BM150" s="230">
        <v>565000</v>
      </c>
      <c r="BN150" s="230">
        <v>-21500</v>
      </c>
      <c r="BO150" s="229">
        <v>-3.8100000000000002E-2</v>
      </c>
      <c r="BP150" s="230">
        <v>2958500</v>
      </c>
      <c r="BQ150" s="230">
        <v>2094500</v>
      </c>
      <c r="BR150" s="230">
        <v>864000</v>
      </c>
      <c r="BS150" s="229">
        <v>0.41249999999999998</v>
      </c>
      <c r="BT150" s="230">
        <v>247119</v>
      </c>
      <c r="BU150" s="230">
        <v>533551</v>
      </c>
      <c r="BV150" s="230">
        <v>-286432</v>
      </c>
      <c r="BW150" s="229">
        <v>-0.53680000000000005</v>
      </c>
      <c r="BX150" s="230">
        <v>2106500</v>
      </c>
      <c r="BY150" s="230">
        <v>2132500</v>
      </c>
      <c r="BZ150" s="230">
        <v>-26000</v>
      </c>
      <c r="CA150" s="229">
        <v>-1.2200000000000001E-2</v>
      </c>
      <c r="CB150" s="230">
        <v>1346000</v>
      </c>
      <c r="CC150" s="230">
        <v>1826500</v>
      </c>
      <c r="CD150" s="230">
        <v>-480500</v>
      </c>
      <c r="CE150" s="229">
        <v>-0.2631</v>
      </c>
      <c r="CF150" s="230">
        <v>740500</v>
      </c>
      <c r="CG150" s="230">
        <v>286500</v>
      </c>
      <c r="CH150" s="230">
        <v>454000</v>
      </c>
      <c r="CI150" s="229">
        <v>1.5846</v>
      </c>
      <c r="CJ150" s="230">
        <v>20000</v>
      </c>
      <c r="CK150" s="230">
        <v>19500</v>
      </c>
      <c r="CL150" s="228">
        <v>500</v>
      </c>
      <c r="CM150" s="229">
        <v>2.5600000000000001E-2</v>
      </c>
      <c r="CN150" s="230">
        <v>1163000</v>
      </c>
      <c r="CO150" s="230">
        <v>1123000</v>
      </c>
      <c r="CP150" s="230">
        <v>40000</v>
      </c>
      <c r="CQ150" s="229">
        <v>3.56E-2</v>
      </c>
      <c r="CR150" s="230">
        <v>858000</v>
      </c>
      <c r="CS150" s="230">
        <v>836000</v>
      </c>
      <c r="CT150" s="230">
        <v>22000</v>
      </c>
      <c r="CU150" s="229">
        <v>2.63E-2</v>
      </c>
      <c r="CV150" s="230">
        <v>4127500</v>
      </c>
      <c r="CW150" s="230">
        <v>4091500</v>
      </c>
      <c r="CX150" s="230">
        <v>36000</v>
      </c>
      <c r="CY150" s="229">
        <v>8.8000000000000005E-3</v>
      </c>
      <c r="CZ150" s="228">
        <v>36.369999999999997</v>
      </c>
      <c r="DA150" s="228">
        <v>43.24</v>
      </c>
      <c r="DB150" s="228">
        <v>-6.87</v>
      </c>
      <c r="DC150" s="228">
        <v>-6.87</v>
      </c>
      <c r="DD150" s="228">
        <v>50.56</v>
      </c>
      <c r="DE150" s="228">
        <v>50.69</v>
      </c>
      <c r="DF150" s="228">
        <v>-14.19</v>
      </c>
      <c r="DG150" s="228">
        <v>-0.13</v>
      </c>
      <c r="DH150" s="228">
        <v>35.979999999999997</v>
      </c>
      <c r="DI150" s="228">
        <v>39.64</v>
      </c>
      <c r="DJ150" s="228">
        <v>-3.66</v>
      </c>
      <c r="DK150" s="228">
        <v>-3.66</v>
      </c>
      <c r="DL150" s="228">
        <v>41.52</v>
      </c>
      <c r="DM150" s="228">
        <v>49.22</v>
      </c>
      <c r="DN150" s="228">
        <v>-7.7</v>
      </c>
      <c r="DO150" s="228">
        <v>-7.7</v>
      </c>
      <c r="DP150" s="228">
        <v>0.74</v>
      </c>
      <c r="DQ150" s="228">
        <v>0.74</v>
      </c>
      <c r="DR150" s="228">
        <v>0</v>
      </c>
      <c r="DS150" s="229">
        <v>0</v>
      </c>
      <c r="DT150" s="231">
        <v>1480</v>
      </c>
      <c r="DU150" s="231">
        <v>1100</v>
      </c>
      <c r="DV150" s="228">
        <v>0.8</v>
      </c>
      <c r="DW150" s="228">
        <v>0.6</v>
      </c>
      <c r="DX150" s="228">
        <v>0.2</v>
      </c>
      <c r="DY150" s="229">
        <v>0.33329999999999999</v>
      </c>
      <c r="DZ150" s="229">
        <v>0.36099999999999999</v>
      </c>
      <c r="EA150" s="230">
        <v>306000</v>
      </c>
      <c r="EB150" s="229">
        <v>1.9E-3</v>
      </c>
      <c r="EC150" s="229">
        <v>0.36099999999999999</v>
      </c>
      <c r="ED150" s="228">
        <v>-0.16</v>
      </c>
      <c r="EE150" s="229">
        <v>-1E-4</v>
      </c>
      <c r="EF150" s="230">
        <v>102456</v>
      </c>
      <c r="EG150" s="230">
        <v>360164</v>
      </c>
      <c r="EH150" s="229">
        <v>-0.71550000000000002</v>
      </c>
      <c r="EI150" s="229">
        <v>0.41460000000000002</v>
      </c>
      <c r="EJ150" s="231">
        <v>10042.32</v>
      </c>
      <c r="EK150" s="231">
        <v>6556.46</v>
      </c>
      <c r="EL150" s="231">
        <v>23831.86</v>
      </c>
      <c r="EM150" s="228">
        <v>998</v>
      </c>
      <c r="EN150" s="231">
        <v>40430.639999999999</v>
      </c>
      <c r="EO150" s="231">
        <v>29018.6</v>
      </c>
      <c r="EP150" s="231">
        <v>11412.04</v>
      </c>
      <c r="EQ150" s="229">
        <v>0.39329999999999998</v>
      </c>
      <c r="ER150" s="231">
        <v>15924</v>
      </c>
      <c r="ES150" s="231">
        <v>10422</v>
      </c>
      <c r="ET150" s="231">
        <v>29044</v>
      </c>
      <c r="EU150" s="231">
        <v>12490416</v>
      </c>
      <c r="EV150" s="231">
        <v>55391</v>
      </c>
      <c r="EW150" s="231">
        <v>54831</v>
      </c>
      <c r="EX150" s="228">
        <v>560</v>
      </c>
      <c r="EY150" s="229">
        <v>1.0200000000000001E-2</v>
      </c>
      <c r="EZ150" s="229">
        <v>0.33050000000000002</v>
      </c>
      <c r="FA150" s="227" t="s">
        <v>693</v>
      </c>
      <c r="FB150" s="161">
        <f t="shared" si="3"/>
        <v>0</v>
      </c>
    </row>
    <row r="151" spans="1:158" ht="17.25" thickBot="1" x14ac:dyDescent="0.3">
      <c r="A151" s="226">
        <v>46135</v>
      </c>
      <c r="B151" s="227" t="s">
        <v>614</v>
      </c>
      <c r="C151" s="227" t="s">
        <v>612</v>
      </c>
      <c r="D151" s="228">
        <v>3125</v>
      </c>
      <c r="E151" s="228">
        <v>261.62</v>
      </c>
      <c r="F151" s="228">
        <v>260.88</v>
      </c>
      <c r="G151" s="228">
        <v>0.74</v>
      </c>
      <c r="H151" s="229">
        <v>2.8E-3</v>
      </c>
      <c r="I151" s="228">
        <v>261.85000000000002</v>
      </c>
      <c r="J151" s="228">
        <v>259.94</v>
      </c>
      <c r="K151" s="228">
        <v>1.91</v>
      </c>
      <c r="L151" s="229">
        <v>7.3000000000000001E-3</v>
      </c>
      <c r="M151" s="228">
        <v>261.62</v>
      </c>
      <c r="N151" s="228">
        <v>260.88</v>
      </c>
      <c r="O151" s="228">
        <v>0.74</v>
      </c>
      <c r="P151" s="229">
        <v>2.8E-3</v>
      </c>
      <c r="Q151" s="228">
        <v>263.14</v>
      </c>
      <c r="R151" s="228">
        <v>261.82</v>
      </c>
      <c r="S151" s="228">
        <v>1.32</v>
      </c>
      <c r="T151" s="229">
        <v>5.0000000000000001E-3</v>
      </c>
      <c r="U151" s="228">
        <v>263</v>
      </c>
      <c r="V151" s="228">
        <v>262</v>
      </c>
      <c r="W151" s="228">
        <v>1</v>
      </c>
      <c r="X151" s="229">
        <v>3.8E-3</v>
      </c>
      <c r="Y151" s="228">
        <v>-0.23</v>
      </c>
      <c r="Z151" s="228">
        <v>0.94</v>
      </c>
      <c r="AA151" s="228">
        <v>-1.17</v>
      </c>
      <c r="AB151" s="229">
        <v>-8.9999999999999998E-4</v>
      </c>
      <c r="AC151" s="228">
        <v>-0.23</v>
      </c>
      <c r="AD151" s="228">
        <v>0.94</v>
      </c>
      <c r="AE151" s="228">
        <v>-1.17</v>
      </c>
      <c r="AF151" s="229">
        <v>-8.9999999999999998E-4</v>
      </c>
      <c r="AG151" s="228">
        <v>1.29</v>
      </c>
      <c r="AH151" s="228">
        <v>1.88</v>
      </c>
      <c r="AI151" s="228">
        <v>-0.59</v>
      </c>
      <c r="AJ151" s="229">
        <v>4.8999999999999998E-3</v>
      </c>
      <c r="AK151" s="228">
        <v>1.1499999999999999</v>
      </c>
      <c r="AL151" s="228">
        <v>2.06</v>
      </c>
      <c r="AM151" s="228">
        <v>-0.91</v>
      </c>
      <c r="AN151" s="229">
        <v>4.4000000000000003E-3</v>
      </c>
      <c r="AO151" s="228">
        <v>262.54000000000002</v>
      </c>
      <c r="AP151" s="228">
        <v>263.95999999999998</v>
      </c>
      <c r="AQ151" s="228">
        <v>0</v>
      </c>
      <c r="AR151" s="230">
        <v>25950000</v>
      </c>
      <c r="AS151" s="230">
        <v>9331250</v>
      </c>
      <c r="AT151" s="230">
        <v>16618750</v>
      </c>
      <c r="AU151" s="229">
        <v>1.7809999999999999</v>
      </c>
      <c r="AV151" s="230">
        <v>13409375</v>
      </c>
      <c r="AW151" s="230">
        <v>5546875</v>
      </c>
      <c r="AX151" s="230">
        <v>7862500</v>
      </c>
      <c r="AY151" s="229">
        <v>1.4175</v>
      </c>
      <c r="AZ151" s="230">
        <v>12484375</v>
      </c>
      <c r="BA151" s="230">
        <v>3734375</v>
      </c>
      <c r="BB151" s="230">
        <v>8750000</v>
      </c>
      <c r="BC151" s="229">
        <v>2.3431000000000002</v>
      </c>
      <c r="BD151" s="230">
        <v>56250</v>
      </c>
      <c r="BE151" s="230">
        <v>50000</v>
      </c>
      <c r="BF151" s="230">
        <v>6250</v>
      </c>
      <c r="BG151" s="229">
        <v>0.125</v>
      </c>
      <c r="BH151" s="230">
        <v>9790625</v>
      </c>
      <c r="BI151" s="230">
        <v>9512500</v>
      </c>
      <c r="BJ151" s="230">
        <v>278125</v>
      </c>
      <c r="BK151" s="229">
        <v>2.92E-2</v>
      </c>
      <c r="BL151" s="230">
        <v>3046875</v>
      </c>
      <c r="BM151" s="230">
        <v>4696875</v>
      </c>
      <c r="BN151" s="230">
        <v>-1650000</v>
      </c>
      <c r="BO151" s="229">
        <v>-0.3513</v>
      </c>
      <c r="BP151" s="230">
        <v>38787500</v>
      </c>
      <c r="BQ151" s="230">
        <v>23540625</v>
      </c>
      <c r="BR151" s="230">
        <v>15246875</v>
      </c>
      <c r="BS151" s="229">
        <v>0.64770000000000005</v>
      </c>
      <c r="BT151" s="230">
        <v>3520057</v>
      </c>
      <c r="BU151" s="230">
        <v>10233853</v>
      </c>
      <c r="BV151" s="230">
        <v>-6713796</v>
      </c>
      <c r="BW151" s="229">
        <v>-0.65600000000000003</v>
      </c>
      <c r="BX151" s="230">
        <v>51559375</v>
      </c>
      <c r="BY151" s="230">
        <v>49278125</v>
      </c>
      <c r="BZ151" s="230">
        <v>2281250</v>
      </c>
      <c r="CA151" s="229">
        <v>4.6300000000000001E-2</v>
      </c>
      <c r="CB151" s="230">
        <v>36087500</v>
      </c>
      <c r="CC151" s="230">
        <v>44600000</v>
      </c>
      <c r="CD151" s="230">
        <v>-8512500</v>
      </c>
      <c r="CE151" s="229">
        <v>-0.19089999999999999</v>
      </c>
      <c r="CF151" s="230">
        <v>15365625</v>
      </c>
      <c r="CG151" s="230">
        <v>4584375</v>
      </c>
      <c r="CH151" s="230">
        <v>10781250</v>
      </c>
      <c r="CI151" s="229">
        <v>2.3517000000000001</v>
      </c>
      <c r="CJ151" s="230">
        <v>106250</v>
      </c>
      <c r="CK151" s="230">
        <v>93750</v>
      </c>
      <c r="CL151" s="230">
        <v>12500</v>
      </c>
      <c r="CM151" s="229">
        <v>0.1333</v>
      </c>
      <c r="CN151" s="230">
        <v>12240625</v>
      </c>
      <c r="CO151" s="230">
        <v>11843750</v>
      </c>
      <c r="CP151" s="230">
        <v>396875</v>
      </c>
      <c r="CQ151" s="229">
        <v>3.3500000000000002E-2</v>
      </c>
      <c r="CR151" s="230">
        <v>5571875</v>
      </c>
      <c r="CS151" s="230">
        <v>5325000</v>
      </c>
      <c r="CT151" s="230">
        <v>246875</v>
      </c>
      <c r="CU151" s="229">
        <v>4.6399999999999997E-2</v>
      </c>
      <c r="CV151" s="230">
        <v>69371875</v>
      </c>
      <c r="CW151" s="230">
        <v>66446875</v>
      </c>
      <c r="CX151" s="230">
        <v>2925000</v>
      </c>
      <c r="CY151" s="229">
        <v>4.3999999999999997E-2</v>
      </c>
      <c r="CZ151" s="228">
        <v>32.01</v>
      </c>
      <c r="DA151" s="228">
        <v>31.27</v>
      </c>
      <c r="DB151" s="228">
        <v>0.74</v>
      </c>
      <c r="DC151" s="228">
        <v>0.74</v>
      </c>
      <c r="DD151" s="228">
        <v>35.86</v>
      </c>
      <c r="DE151" s="228">
        <v>35.94</v>
      </c>
      <c r="DF151" s="228">
        <v>-3.85</v>
      </c>
      <c r="DG151" s="228">
        <v>-0.08</v>
      </c>
      <c r="DH151" s="228">
        <v>32.01</v>
      </c>
      <c r="DI151" s="228">
        <v>31.59</v>
      </c>
      <c r="DJ151" s="228">
        <v>0.42</v>
      </c>
      <c r="DK151" s="228">
        <v>0.42</v>
      </c>
      <c r="DL151" s="228">
        <v>32.03</v>
      </c>
      <c r="DM151" s="228">
        <v>30.63</v>
      </c>
      <c r="DN151" s="228">
        <v>1.4</v>
      </c>
      <c r="DO151" s="228">
        <v>1.4</v>
      </c>
      <c r="DP151" s="228">
        <v>0.46</v>
      </c>
      <c r="DQ151" s="228">
        <v>0.45</v>
      </c>
      <c r="DR151" s="228">
        <v>0.01</v>
      </c>
      <c r="DS151" s="229">
        <v>2.2200000000000001E-2</v>
      </c>
      <c r="DT151" s="228">
        <v>275</v>
      </c>
      <c r="DU151" s="228">
        <v>250</v>
      </c>
      <c r="DV151" s="228">
        <v>0.31</v>
      </c>
      <c r="DW151" s="228">
        <v>0.49</v>
      </c>
      <c r="DX151" s="228">
        <v>-0.18</v>
      </c>
      <c r="DY151" s="229">
        <v>-0.36730000000000002</v>
      </c>
      <c r="DZ151" s="229">
        <v>0.30009999999999998</v>
      </c>
      <c r="EA151" s="230">
        <v>4678125</v>
      </c>
      <c r="EB151" s="229">
        <v>5.7999999999999996E-3</v>
      </c>
      <c r="EC151" s="229">
        <v>0.30009999999999998</v>
      </c>
      <c r="ED151" s="228">
        <v>1.42</v>
      </c>
      <c r="EE151" s="229">
        <v>5.4000000000000003E-3</v>
      </c>
      <c r="EF151" s="230">
        <v>1796701</v>
      </c>
      <c r="EG151" s="230">
        <v>6996608</v>
      </c>
      <c r="EH151" s="229">
        <v>-0.74319999999999997</v>
      </c>
      <c r="EI151" s="229">
        <v>0.51039999999999996</v>
      </c>
      <c r="EJ151" s="231">
        <v>26693.97</v>
      </c>
      <c r="EK151" s="231">
        <v>7900.42</v>
      </c>
      <c r="EL151" s="231">
        <v>68308.39</v>
      </c>
      <c r="EM151" s="231">
        <v>1648</v>
      </c>
      <c r="EN151" s="231">
        <v>102902.78</v>
      </c>
      <c r="EO151" s="231">
        <v>62739.66</v>
      </c>
      <c r="EP151" s="231">
        <v>40163.120000000003</v>
      </c>
      <c r="EQ151" s="229">
        <v>0.64019999999999999</v>
      </c>
      <c r="ER151" s="231">
        <v>33147</v>
      </c>
      <c r="ES151" s="231">
        <v>13952</v>
      </c>
      <c r="ET151" s="231">
        <v>135125</v>
      </c>
      <c r="EU151" s="231">
        <v>205669742</v>
      </c>
      <c r="EV151" s="231">
        <v>182223</v>
      </c>
      <c r="EW151" s="231">
        <v>173936</v>
      </c>
      <c r="EX151" s="231">
        <v>8287</v>
      </c>
      <c r="EY151" s="229">
        <v>4.7600000000000003E-2</v>
      </c>
      <c r="EZ151" s="229">
        <v>0.33729999999999999</v>
      </c>
      <c r="FA151" s="227" t="s">
        <v>555</v>
      </c>
      <c r="FB151" s="161">
        <f t="shared" si="3"/>
        <v>0</v>
      </c>
    </row>
    <row r="152" spans="1:158" ht="17.25" thickBot="1" x14ac:dyDescent="0.3">
      <c r="A152" s="226">
        <v>46135</v>
      </c>
      <c r="B152" s="227" t="s">
        <v>206</v>
      </c>
      <c r="C152" s="227" t="s">
        <v>528</v>
      </c>
      <c r="D152" s="228">
        <v>350</v>
      </c>
      <c r="E152" s="231">
        <v>1709.6</v>
      </c>
      <c r="F152" s="231">
        <v>1733.8</v>
      </c>
      <c r="G152" s="228">
        <v>-24.2</v>
      </c>
      <c r="H152" s="229">
        <v>-1.4E-2</v>
      </c>
      <c r="I152" s="231">
        <v>1707.7</v>
      </c>
      <c r="J152" s="231">
        <v>1733.6</v>
      </c>
      <c r="K152" s="228">
        <v>-25.9</v>
      </c>
      <c r="L152" s="229">
        <v>-1.49E-2</v>
      </c>
      <c r="M152" s="231">
        <v>1709.6</v>
      </c>
      <c r="N152" s="231">
        <v>1733.8</v>
      </c>
      <c r="O152" s="228">
        <v>-24.2</v>
      </c>
      <c r="P152" s="229">
        <v>-1.4E-2</v>
      </c>
      <c r="Q152" s="231">
        <v>1681.4</v>
      </c>
      <c r="R152" s="231">
        <v>1708</v>
      </c>
      <c r="S152" s="228">
        <v>-26.6</v>
      </c>
      <c r="T152" s="229">
        <v>-1.5599999999999999E-2</v>
      </c>
      <c r="U152" s="231">
        <v>1670</v>
      </c>
      <c r="V152" s="231">
        <v>1695.3</v>
      </c>
      <c r="W152" s="228">
        <v>-25.3</v>
      </c>
      <c r="X152" s="229">
        <v>-1.49E-2</v>
      </c>
      <c r="Y152" s="228">
        <v>1.9</v>
      </c>
      <c r="Z152" s="228">
        <v>0.2</v>
      </c>
      <c r="AA152" s="228">
        <v>1.7</v>
      </c>
      <c r="AB152" s="229">
        <v>1.1000000000000001E-3</v>
      </c>
      <c r="AC152" s="228">
        <v>1.9</v>
      </c>
      <c r="AD152" s="228">
        <v>0.2</v>
      </c>
      <c r="AE152" s="228">
        <v>1.7</v>
      </c>
      <c r="AF152" s="229">
        <v>1.1000000000000001E-3</v>
      </c>
      <c r="AG152" s="228">
        <v>-26.3</v>
      </c>
      <c r="AH152" s="228">
        <v>-25.6</v>
      </c>
      <c r="AI152" s="228">
        <v>-0.7</v>
      </c>
      <c r="AJ152" s="229">
        <v>-1.54E-2</v>
      </c>
      <c r="AK152" s="228">
        <v>-37.700000000000003</v>
      </c>
      <c r="AL152" s="228">
        <v>-38.299999999999997</v>
      </c>
      <c r="AM152" s="228">
        <v>0.6</v>
      </c>
      <c r="AN152" s="229">
        <v>-2.2100000000000002E-2</v>
      </c>
      <c r="AO152" s="231">
        <v>1717.54</v>
      </c>
      <c r="AP152" s="231">
        <v>1688.39</v>
      </c>
      <c r="AQ152" s="228">
        <v>0</v>
      </c>
      <c r="AR152" s="230">
        <v>5759950</v>
      </c>
      <c r="AS152" s="230">
        <v>772450</v>
      </c>
      <c r="AT152" s="230">
        <v>4987500</v>
      </c>
      <c r="AU152" s="229">
        <v>6.4566999999999997</v>
      </c>
      <c r="AV152" s="230">
        <v>2989000</v>
      </c>
      <c r="AW152" s="230">
        <v>488600</v>
      </c>
      <c r="AX152" s="230">
        <v>2500400</v>
      </c>
      <c r="AY152" s="229">
        <v>5.1174999999999997</v>
      </c>
      <c r="AZ152" s="230">
        <v>2769200</v>
      </c>
      <c r="BA152" s="230">
        <v>280350</v>
      </c>
      <c r="BB152" s="230">
        <v>2488850</v>
      </c>
      <c r="BC152" s="229">
        <v>8.8777000000000008</v>
      </c>
      <c r="BD152" s="230">
        <v>1750</v>
      </c>
      <c r="BE152" s="230">
        <v>3500</v>
      </c>
      <c r="BF152" s="230">
        <v>-1750</v>
      </c>
      <c r="BG152" s="229">
        <v>-0.5</v>
      </c>
      <c r="BH152" s="230">
        <v>822500</v>
      </c>
      <c r="BI152" s="230">
        <v>1483300</v>
      </c>
      <c r="BJ152" s="230">
        <v>-660800</v>
      </c>
      <c r="BK152" s="229">
        <v>-0.44550000000000001</v>
      </c>
      <c r="BL152" s="230">
        <v>765800</v>
      </c>
      <c r="BM152" s="230">
        <v>534450</v>
      </c>
      <c r="BN152" s="230">
        <v>231350</v>
      </c>
      <c r="BO152" s="229">
        <v>0.43290000000000001</v>
      </c>
      <c r="BP152" s="230">
        <v>7348250</v>
      </c>
      <c r="BQ152" s="230">
        <v>2790200</v>
      </c>
      <c r="BR152" s="230">
        <v>4558050</v>
      </c>
      <c r="BS152" s="229">
        <v>1.6335999999999999</v>
      </c>
      <c r="BT152" s="230">
        <v>252368</v>
      </c>
      <c r="BU152" s="230">
        <v>495450</v>
      </c>
      <c r="BV152" s="230">
        <v>-243082</v>
      </c>
      <c r="BW152" s="229">
        <v>-0.49059999999999998</v>
      </c>
      <c r="BX152" s="230">
        <v>8482600</v>
      </c>
      <c r="BY152" s="230">
        <v>9844800</v>
      </c>
      <c r="BZ152" s="230">
        <v>-1362200</v>
      </c>
      <c r="CA152" s="229">
        <v>-0.1384</v>
      </c>
      <c r="CB152" s="230">
        <v>5817700</v>
      </c>
      <c r="CC152" s="230">
        <v>8341550</v>
      </c>
      <c r="CD152" s="230">
        <v>-2523850</v>
      </c>
      <c r="CE152" s="229">
        <v>-0.30259999999999998</v>
      </c>
      <c r="CF152" s="230">
        <v>2645300</v>
      </c>
      <c r="CG152" s="230">
        <v>1484700</v>
      </c>
      <c r="CH152" s="230">
        <v>1160600</v>
      </c>
      <c r="CI152" s="229">
        <v>0.78169999999999995</v>
      </c>
      <c r="CJ152" s="230">
        <v>19600</v>
      </c>
      <c r="CK152" s="230">
        <v>18550</v>
      </c>
      <c r="CL152" s="230">
        <v>1050</v>
      </c>
      <c r="CM152" s="229">
        <v>5.6599999999999998E-2</v>
      </c>
      <c r="CN152" s="230">
        <v>1759450</v>
      </c>
      <c r="CO152" s="230">
        <v>1803550</v>
      </c>
      <c r="CP152" s="230">
        <v>-44100</v>
      </c>
      <c r="CQ152" s="229">
        <v>-2.4500000000000001E-2</v>
      </c>
      <c r="CR152" s="230">
        <v>1079750</v>
      </c>
      <c r="CS152" s="230">
        <v>1120350</v>
      </c>
      <c r="CT152" s="230">
        <v>-40600</v>
      </c>
      <c r="CU152" s="229">
        <v>-3.6200000000000003E-2</v>
      </c>
      <c r="CV152" s="230">
        <v>11321800</v>
      </c>
      <c r="CW152" s="230">
        <v>12768700</v>
      </c>
      <c r="CX152" s="230">
        <v>-1446900</v>
      </c>
      <c r="CY152" s="229">
        <v>-0.1133</v>
      </c>
      <c r="CZ152" s="228">
        <v>34.57</v>
      </c>
      <c r="DA152" s="228">
        <v>29.24</v>
      </c>
      <c r="DB152" s="228">
        <v>5.33</v>
      </c>
      <c r="DC152" s="228">
        <v>5.33</v>
      </c>
      <c r="DD152" s="228">
        <v>36.74</v>
      </c>
      <c r="DE152" s="228">
        <v>36.78</v>
      </c>
      <c r="DF152" s="228">
        <v>-2.17</v>
      </c>
      <c r="DG152" s="228">
        <v>-0.04</v>
      </c>
      <c r="DH152" s="228">
        <v>34.340000000000003</v>
      </c>
      <c r="DI152" s="228">
        <v>27.79</v>
      </c>
      <c r="DJ152" s="228">
        <v>6.55</v>
      </c>
      <c r="DK152" s="228">
        <v>6.55</v>
      </c>
      <c r="DL152" s="228">
        <v>34.68</v>
      </c>
      <c r="DM152" s="228">
        <v>33.26</v>
      </c>
      <c r="DN152" s="228">
        <v>1.42</v>
      </c>
      <c r="DO152" s="228">
        <v>1.42</v>
      </c>
      <c r="DP152" s="228">
        <v>0.61</v>
      </c>
      <c r="DQ152" s="228">
        <v>0.62</v>
      </c>
      <c r="DR152" s="228">
        <v>-0.01</v>
      </c>
      <c r="DS152" s="229">
        <v>-1.61E-2</v>
      </c>
      <c r="DT152" s="231">
        <v>1800</v>
      </c>
      <c r="DU152" s="231">
        <v>1520</v>
      </c>
      <c r="DV152" s="228">
        <v>0.93</v>
      </c>
      <c r="DW152" s="228">
        <v>0.36</v>
      </c>
      <c r="DX152" s="228">
        <v>0.56999999999999995</v>
      </c>
      <c r="DY152" s="229">
        <v>1.5832999999999999</v>
      </c>
      <c r="DZ152" s="229">
        <v>0.31419999999999998</v>
      </c>
      <c r="EA152" s="230">
        <v>1503250</v>
      </c>
      <c r="EB152" s="229">
        <v>-1.6500000000000001E-2</v>
      </c>
      <c r="EC152" s="229">
        <v>0.31419999999999998</v>
      </c>
      <c r="ED152" s="228">
        <v>-29.15</v>
      </c>
      <c r="EE152" s="229">
        <v>-1.7000000000000001E-2</v>
      </c>
      <c r="EF152" s="230">
        <v>95973</v>
      </c>
      <c r="EG152" s="230">
        <v>244313</v>
      </c>
      <c r="EH152" s="229">
        <v>-0.60719999999999996</v>
      </c>
      <c r="EI152" s="229">
        <v>0.38030000000000003</v>
      </c>
      <c r="EJ152" s="231">
        <v>14588.01</v>
      </c>
      <c r="EK152" s="231">
        <v>12912.53</v>
      </c>
      <c r="EL152" s="231">
        <v>98121.44</v>
      </c>
      <c r="EM152" s="231">
        <v>2995</v>
      </c>
      <c r="EN152" s="231">
        <v>125621.98</v>
      </c>
      <c r="EO152" s="231">
        <v>48881.99</v>
      </c>
      <c r="EP152" s="231">
        <v>76739.990000000005</v>
      </c>
      <c r="EQ152" s="229">
        <v>1.5699000000000001</v>
      </c>
      <c r="ER152" s="231">
        <v>29273</v>
      </c>
      <c r="ES152" s="231">
        <v>17002</v>
      </c>
      <c r="ET152" s="231">
        <v>144265</v>
      </c>
      <c r="EU152" s="231">
        <v>17614093</v>
      </c>
      <c r="EV152" s="231">
        <v>190540</v>
      </c>
      <c r="EW152" s="231">
        <v>218024</v>
      </c>
      <c r="EX152" s="231">
        <v>-27484</v>
      </c>
      <c r="EY152" s="229">
        <v>-0.12609999999999999</v>
      </c>
      <c r="EZ152" s="229">
        <v>0.64280000000000004</v>
      </c>
      <c r="FA152" s="227" t="s">
        <v>567</v>
      </c>
      <c r="FB152" s="161">
        <f t="shared" si="3"/>
        <v>0</v>
      </c>
    </row>
    <row r="153" spans="1:158" ht="17.25" thickBot="1" x14ac:dyDescent="0.3">
      <c r="A153" s="226">
        <v>46135</v>
      </c>
      <c r="B153" s="227" t="s">
        <v>221</v>
      </c>
      <c r="C153" s="227" t="s">
        <v>518</v>
      </c>
      <c r="D153" s="228">
        <v>75</v>
      </c>
      <c r="E153" s="231">
        <v>8783</v>
      </c>
      <c r="F153" s="231">
        <v>8160.5</v>
      </c>
      <c r="G153" s="228">
        <v>622.5</v>
      </c>
      <c r="H153" s="229">
        <v>7.6300000000000007E-2</v>
      </c>
      <c r="I153" s="231">
        <v>8791.5</v>
      </c>
      <c r="J153" s="231">
        <v>8126.5</v>
      </c>
      <c r="K153" s="228">
        <v>665</v>
      </c>
      <c r="L153" s="229">
        <v>8.1799999999999998E-2</v>
      </c>
      <c r="M153" s="231">
        <v>8783</v>
      </c>
      <c r="N153" s="231">
        <v>8160.5</v>
      </c>
      <c r="O153" s="228">
        <v>622.5</v>
      </c>
      <c r="P153" s="229">
        <v>7.6300000000000007E-2</v>
      </c>
      <c r="Q153" s="231">
        <v>8682.5</v>
      </c>
      <c r="R153" s="231">
        <v>8084</v>
      </c>
      <c r="S153" s="228">
        <v>598.5</v>
      </c>
      <c r="T153" s="229">
        <v>7.3999999999999996E-2</v>
      </c>
      <c r="U153" s="231">
        <v>8633</v>
      </c>
      <c r="V153" s="231">
        <v>8028.5</v>
      </c>
      <c r="W153" s="228">
        <v>604.5</v>
      </c>
      <c r="X153" s="229">
        <v>7.5300000000000006E-2</v>
      </c>
      <c r="Y153" s="228">
        <v>-8.5</v>
      </c>
      <c r="Z153" s="228">
        <v>34</v>
      </c>
      <c r="AA153" s="228">
        <v>-42.5</v>
      </c>
      <c r="AB153" s="229">
        <v>-1E-3</v>
      </c>
      <c r="AC153" s="228">
        <v>-8.5</v>
      </c>
      <c r="AD153" s="228">
        <v>34</v>
      </c>
      <c r="AE153" s="228">
        <v>-42.5</v>
      </c>
      <c r="AF153" s="229">
        <v>-1E-3</v>
      </c>
      <c r="AG153" s="228">
        <v>-109</v>
      </c>
      <c r="AH153" s="228">
        <v>-42.5</v>
      </c>
      <c r="AI153" s="228">
        <v>-66.5</v>
      </c>
      <c r="AJ153" s="229">
        <v>-1.24E-2</v>
      </c>
      <c r="AK153" s="228">
        <v>-158.5</v>
      </c>
      <c r="AL153" s="228">
        <v>-98</v>
      </c>
      <c r="AM153" s="228">
        <v>-60.5</v>
      </c>
      <c r="AN153" s="229">
        <v>-1.7999999999999999E-2</v>
      </c>
      <c r="AO153" s="231">
        <v>8636.58</v>
      </c>
      <c r="AP153" s="231">
        <v>8584.24</v>
      </c>
      <c r="AQ153" s="228">
        <v>0</v>
      </c>
      <c r="AR153" s="230">
        <v>3056325</v>
      </c>
      <c r="AS153" s="230">
        <v>997500</v>
      </c>
      <c r="AT153" s="230">
        <v>2058825</v>
      </c>
      <c r="AU153" s="229">
        <v>2.0640000000000001</v>
      </c>
      <c r="AV153" s="230">
        <v>1795425</v>
      </c>
      <c r="AW153" s="230">
        <v>763200</v>
      </c>
      <c r="AX153" s="230">
        <v>1032225</v>
      </c>
      <c r="AY153" s="229">
        <v>1.3525</v>
      </c>
      <c r="AZ153" s="230">
        <v>1241550</v>
      </c>
      <c r="BA153" s="230">
        <v>230475</v>
      </c>
      <c r="BB153" s="230">
        <v>1011075</v>
      </c>
      <c r="BC153" s="229">
        <v>4.3868999999999998</v>
      </c>
      <c r="BD153" s="230">
        <v>19350</v>
      </c>
      <c r="BE153" s="230">
        <v>3825</v>
      </c>
      <c r="BF153" s="230">
        <v>15525</v>
      </c>
      <c r="BG153" s="229">
        <v>4.0587999999999997</v>
      </c>
      <c r="BH153" s="230">
        <v>23946900</v>
      </c>
      <c r="BI153" s="230">
        <v>4438725</v>
      </c>
      <c r="BJ153" s="230">
        <v>19508175</v>
      </c>
      <c r="BK153" s="229">
        <v>4.3949999999999996</v>
      </c>
      <c r="BL153" s="230">
        <v>8898600</v>
      </c>
      <c r="BM153" s="230">
        <v>3076050</v>
      </c>
      <c r="BN153" s="230">
        <v>5822550</v>
      </c>
      <c r="BO153" s="229">
        <v>1.8929</v>
      </c>
      <c r="BP153" s="230">
        <v>35901825</v>
      </c>
      <c r="BQ153" s="230">
        <v>8512275</v>
      </c>
      <c r="BR153" s="230">
        <v>27389550</v>
      </c>
      <c r="BS153" s="229">
        <v>3.2176999999999998</v>
      </c>
      <c r="BT153" s="230">
        <v>2815172</v>
      </c>
      <c r="BU153" s="230">
        <v>450456</v>
      </c>
      <c r="BV153" s="230">
        <v>2364716</v>
      </c>
      <c r="BW153" s="229">
        <v>5.2496</v>
      </c>
      <c r="BX153" s="230">
        <v>1629150</v>
      </c>
      <c r="BY153" s="230">
        <v>1702800</v>
      </c>
      <c r="BZ153" s="230">
        <v>-73650</v>
      </c>
      <c r="CA153" s="229">
        <v>-4.3299999999999998E-2</v>
      </c>
      <c r="CB153" s="230">
        <v>1031325</v>
      </c>
      <c r="CC153" s="230">
        <v>1469175</v>
      </c>
      <c r="CD153" s="230">
        <v>-437850</v>
      </c>
      <c r="CE153" s="229">
        <v>-0.29799999999999999</v>
      </c>
      <c r="CF153" s="230">
        <v>586650</v>
      </c>
      <c r="CG153" s="230">
        <v>221325</v>
      </c>
      <c r="CH153" s="230">
        <v>365325</v>
      </c>
      <c r="CI153" s="229">
        <v>1.6506000000000001</v>
      </c>
      <c r="CJ153" s="230">
        <v>11175</v>
      </c>
      <c r="CK153" s="230">
        <v>12300</v>
      </c>
      <c r="CL153" s="230">
        <v>-1125</v>
      </c>
      <c r="CM153" s="229">
        <v>-9.1499999999999998E-2</v>
      </c>
      <c r="CN153" s="230">
        <v>1450425</v>
      </c>
      <c r="CO153" s="230">
        <v>1185525</v>
      </c>
      <c r="CP153" s="230">
        <v>264900</v>
      </c>
      <c r="CQ153" s="229">
        <v>0.22339999999999999</v>
      </c>
      <c r="CR153" s="230">
        <v>1372050</v>
      </c>
      <c r="CS153" s="230">
        <v>1007025</v>
      </c>
      <c r="CT153" s="230">
        <v>365025</v>
      </c>
      <c r="CU153" s="229">
        <v>0.36249999999999999</v>
      </c>
      <c r="CV153" s="230">
        <v>4451625</v>
      </c>
      <c r="CW153" s="230">
        <v>3895350</v>
      </c>
      <c r="CX153" s="230">
        <v>556275</v>
      </c>
      <c r="CY153" s="229">
        <v>0.14280000000000001</v>
      </c>
      <c r="CZ153" s="228">
        <v>38.5</v>
      </c>
      <c r="DA153" s="228">
        <v>56.82</v>
      </c>
      <c r="DB153" s="228">
        <v>-18.32</v>
      </c>
      <c r="DC153" s="228">
        <v>-18.32</v>
      </c>
      <c r="DD153" s="228">
        <v>41.31</v>
      </c>
      <c r="DE153" s="228">
        <v>40.090000000000003</v>
      </c>
      <c r="DF153" s="228">
        <v>-2.81</v>
      </c>
      <c r="DG153" s="228">
        <v>1.22</v>
      </c>
      <c r="DH153" s="228">
        <v>38.229999999999997</v>
      </c>
      <c r="DI153" s="228">
        <v>56.18</v>
      </c>
      <c r="DJ153" s="228">
        <v>-17.95</v>
      </c>
      <c r="DK153" s="228">
        <v>-17.95</v>
      </c>
      <c r="DL153" s="228">
        <v>39.26</v>
      </c>
      <c r="DM153" s="228">
        <v>57.74</v>
      </c>
      <c r="DN153" s="228">
        <v>-18.48</v>
      </c>
      <c r="DO153" s="228">
        <v>-18.48</v>
      </c>
      <c r="DP153" s="228">
        <v>0.95</v>
      </c>
      <c r="DQ153" s="228">
        <v>0.85</v>
      </c>
      <c r="DR153" s="228">
        <v>0.1</v>
      </c>
      <c r="DS153" s="229">
        <v>0.1176</v>
      </c>
      <c r="DT153" s="231">
        <v>9000</v>
      </c>
      <c r="DU153" s="231">
        <v>8000</v>
      </c>
      <c r="DV153" s="228">
        <v>0.37</v>
      </c>
      <c r="DW153" s="228">
        <v>0.69</v>
      </c>
      <c r="DX153" s="228">
        <v>-0.32</v>
      </c>
      <c r="DY153" s="229">
        <v>-0.46379999999999999</v>
      </c>
      <c r="DZ153" s="229">
        <v>0.36699999999999999</v>
      </c>
      <c r="EA153" s="230">
        <v>233625</v>
      </c>
      <c r="EB153" s="229">
        <v>-1.14E-2</v>
      </c>
      <c r="EC153" s="229">
        <v>0.36699999999999999</v>
      </c>
      <c r="ED153" s="228">
        <v>-52.34</v>
      </c>
      <c r="EE153" s="229">
        <v>-6.1000000000000004E-3</v>
      </c>
      <c r="EF153" s="230">
        <v>457575</v>
      </c>
      <c r="EG153" s="230">
        <v>139488</v>
      </c>
      <c r="EH153" s="229">
        <v>2.2804000000000002</v>
      </c>
      <c r="EI153" s="229">
        <v>0.16250000000000001</v>
      </c>
      <c r="EJ153" s="231">
        <v>2160372.7799999998</v>
      </c>
      <c r="EK153" s="231">
        <v>726812.82</v>
      </c>
      <c r="EL153" s="231">
        <v>263284.59999999998</v>
      </c>
      <c r="EM153" s="231">
        <v>7054</v>
      </c>
      <c r="EN153" s="231">
        <v>3150470.2</v>
      </c>
      <c r="EO153" s="231">
        <v>695179.09</v>
      </c>
      <c r="EP153" s="231">
        <v>2455291.11</v>
      </c>
      <c r="EQ153" s="229">
        <v>3.5318999999999998</v>
      </c>
      <c r="ER153" s="231">
        <v>124956</v>
      </c>
      <c r="ES153" s="231">
        <v>107302</v>
      </c>
      <c r="ET153" s="231">
        <v>142482</v>
      </c>
      <c r="EU153" s="231">
        <v>3594855</v>
      </c>
      <c r="EV153" s="231">
        <v>374740</v>
      </c>
      <c r="EW153" s="231">
        <v>310224</v>
      </c>
      <c r="EX153" s="231">
        <v>64516</v>
      </c>
      <c r="EY153" s="229">
        <v>0.20799999999999999</v>
      </c>
      <c r="EZ153" s="229">
        <v>1.2383</v>
      </c>
      <c r="FA153" s="227" t="s">
        <v>693</v>
      </c>
      <c r="FB153" s="161">
        <f>BX232-CB232</f>
        <v>0</v>
      </c>
    </row>
    <row r="154" spans="1:158" ht="17.25" thickBot="1" x14ac:dyDescent="0.3">
      <c r="A154" s="226">
        <v>46135</v>
      </c>
      <c r="B154" s="227" t="s">
        <v>193</v>
      </c>
      <c r="C154" s="227" t="s">
        <v>586</v>
      </c>
      <c r="D154" s="228">
        <v>1400</v>
      </c>
      <c r="E154" s="228">
        <v>474.3</v>
      </c>
      <c r="F154" s="228">
        <v>471</v>
      </c>
      <c r="G154" s="228">
        <v>3.3</v>
      </c>
      <c r="H154" s="229">
        <v>7.0000000000000001E-3</v>
      </c>
      <c r="I154" s="228">
        <v>473.9</v>
      </c>
      <c r="J154" s="228">
        <v>469.75</v>
      </c>
      <c r="K154" s="228">
        <v>4.1500000000000004</v>
      </c>
      <c r="L154" s="229">
        <v>8.8000000000000005E-3</v>
      </c>
      <c r="M154" s="228">
        <v>474.3</v>
      </c>
      <c r="N154" s="228">
        <v>471</v>
      </c>
      <c r="O154" s="228">
        <v>3.3</v>
      </c>
      <c r="P154" s="229">
        <v>7.0000000000000001E-3</v>
      </c>
      <c r="Q154" s="228">
        <v>472.1</v>
      </c>
      <c r="R154" s="228">
        <v>469.4</v>
      </c>
      <c r="S154" s="228">
        <v>2.7</v>
      </c>
      <c r="T154" s="229">
        <v>5.7999999999999996E-3</v>
      </c>
      <c r="U154" s="228">
        <v>471.15</v>
      </c>
      <c r="V154" s="228">
        <v>467.85</v>
      </c>
      <c r="W154" s="228">
        <v>3.3</v>
      </c>
      <c r="X154" s="229">
        <v>7.1000000000000004E-3</v>
      </c>
      <c r="Y154" s="228">
        <v>0.4</v>
      </c>
      <c r="Z154" s="228">
        <v>1.25</v>
      </c>
      <c r="AA154" s="228">
        <v>-0.85</v>
      </c>
      <c r="AB154" s="229">
        <v>8.0000000000000004E-4</v>
      </c>
      <c r="AC154" s="228">
        <v>0.4</v>
      </c>
      <c r="AD154" s="228">
        <v>1.25</v>
      </c>
      <c r="AE154" s="228">
        <v>-0.85</v>
      </c>
      <c r="AF154" s="229">
        <v>8.0000000000000004E-4</v>
      </c>
      <c r="AG154" s="228">
        <v>-1.8</v>
      </c>
      <c r="AH154" s="228">
        <v>-0.35</v>
      </c>
      <c r="AI154" s="228">
        <v>-1.45</v>
      </c>
      <c r="AJ154" s="229">
        <v>-3.8E-3</v>
      </c>
      <c r="AK154" s="228">
        <v>-2.75</v>
      </c>
      <c r="AL154" s="228">
        <v>-1.9</v>
      </c>
      <c r="AM154" s="228">
        <v>-0.85</v>
      </c>
      <c r="AN154" s="229">
        <v>-5.7999999999999996E-3</v>
      </c>
      <c r="AO154" s="228">
        <v>475.77</v>
      </c>
      <c r="AP154" s="228">
        <v>473.17</v>
      </c>
      <c r="AQ154" s="228">
        <v>0</v>
      </c>
      <c r="AR154" s="230">
        <v>14595000</v>
      </c>
      <c r="AS154" s="230">
        <v>3925600</v>
      </c>
      <c r="AT154" s="230">
        <v>10669400</v>
      </c>
      <c r="AU154" s="229">
        <v>2.7179000000000002</v>
      </c>
      <c r="AV154" s="230">
        <v>7366800</v>
      </c>
      <c r="AW154" s="230">
        <v>2767800</v>
      </c>
      <c r="AX154" s="230">
        <v>4599000</v>
      </c>
      <c r="AY154" s="229">
        <v>1.6616</v>
      </c>
      <c r="AZ154" s="230">
        <v>7151200</v>
      </c>
      <c r="BA154" s="230">
        <v>1138200</v>
      </c>
      <c r="BB154" s="230">
        <v>6013000</v>
      </c>
      <c r="BC154" s="229">
        <v>5.2828999999999997</v>
      </c>
      <c r="BD154" s="230">
        <v>77000</v>
      </c>
      <c r="BE154" s="230">
        <v>19600</v>
      </c>
      <c r="BF154" s="230">
        <v>57400</v>
      </c>
      <c r="BG154" s="229">
        <v>2.9285999999999999</v>
      </c>
      <c r="BH154" s="230">
        <v>23550800</v>
      </c>
      <c r="BI154" s="230">
        <v>10418800</v>
      </c>
      <c r="BJ154" s="230">
        <v>13132000</v>
      </c>
      <c r="BK154" s="229">
        <v>1.2604</v>
      </c>
      <c r="BL154" s="230">
        <v>4886000</v>
      </c>
      <c r="BM154" s="230">
        <v>2765000</v>
      </c>
      <c r="BN154" s="230">
        <v>2121000</v>
      </c>
      <c r="BO154" s="229">
        <v>0.7671</v>
      </c>
      <c r="BP154" s="230">
        <v>43031800</v>
      </c>
      <c r="BQ154" s="230">
        <v>17109400</v>
      </c>
      <c r="BR154" s="230">
        <v>25922400</v>
      </c>
      <c r="BS154" s="229">
        <v>1.5150999999999999</v>
      </c>
      <c r="BT154" s="230">
        <v>5034999</v>
      </c>
      <c r="BU154" s="230">
        <v>6070392</v>
      </c>
      <c r="BV154" s="230">
        <v>-1035393</v>
      </c>
      <c r="BW154" s="229">
        <v>-0.1706</v>
      </c>
      <c r="BX154" s="230">
        <v>19679800</v>
      </c>
      <c r="BY154" s="230">
        <v>20459600</v>
      </c>
      <c r="BZ154" s="230">
        <v>-779800</v>
      </c>
      <c r="CA154" s="229">
        <v>-3.8100000000000002E-2</v>
      </c>
      <c r="CB154" s="230">
        <v>13855800</v>
      </c>
      <c r="CC154" s="230">
        <v>18599000</v>
      </c>
      <c r="CD154" s="230">
        <v>-4743200</v>
      </c>
      <c r="CE154" s="229">
        <v>-0.255</v>
      </c>
      <c r="CF154" s="230">
        <v>5658800</v>
      </c>
      <c r="CG154" s="230">
        <v>1685600</v>
      </c>
      <c r="CH154" s="230">
        <v>3973200</v>
      </c>
      <c r="CI154" s="229">
        <v>2.3571</v>
      </c>
      <c r="CJ154" s="230">
        <v>165200</v>
      </c>
      <c r="CK154" s="230">
        <v>175000</v>
      </c>
      <c r="CL154" s="230">
        <v>-9800</v>
      </c>
      <c r="CM154" s="229">
        <v>-5.6000000000000001E-2</v>
      </c>
      <c r="CN154" s="230">
        <v>10406200</v>
      </c>
      <c r="CO154" s="230">
        <v>10372600</v>
      </c>
      <c r="CP154" s="230">
        <v>33600</v>
      </c>
      <c r="CQ154" s="229">
        <v>3.2000000000000002E-3</v>
      </c>
      <c r="CR154" s="230">
        <v>4902800</v>
      </c>
      <c r="CS154" s="230">
        <v>4517800</v>
      </c>
      <c r="CT154" s="230">
        <v>385000</v>
      </c>
      <c r="CU154" s="229">
        <v>8.5199999999999998E-2</v>
      </c>
      <c r="CV154" s="230">
        <v>34988800</v>
      </c>
      <c r="CW154" s="230">
        <v>35350000</v>
      </c>
      <c r="CX154" s="230">
        <v>-361200</v>
      </c>
      <c r="CY154" s="229">
        <v>-1.0200000000000001E-2</v>
      </c>
      <c r="CZ154" s="228">
        <v>35.26</v>
      </c>
      <c r="DA154" s="228">
        <v>29.86</v>
      </c>
      <c r="DB154" s="228">
        <v>5.4</v>
      </c>
      <c r="DC154" s="228">
        <v>5.4</v>
      </c>
      <c r="DD154" s="228">
        <v>41.3</v>
      </c>
      <c r="DE154" s="228">
        <v>41.39</v>
      </c>
      <c r="DF154" s="228">
        <v>-6.04</v>
      </c>
      <c r="DG154" s="228">
        <v>-0.09</v>
      </c>
      <c r="DH154" s="228">
        <v>35.56</v>
      </c>
      <c r="DI154" s="228">
        <v>30.02</v>
      </c>
      <c r="DJ154" s="228">
        <v>5.54</v>
      </c>
      <c r="DK154" s="228">
        <v>5.54</v>
      </c>
      <c r="DL154" s="228">
        <v>34.590000000000003</v>
      </c>
      <c r="DM154" s="228">
        <v>29.27</v>
      </c>
      <c r="DN154" s="228">
        <v>5.32</v>
      </c>
      <c r="DO154" s="228">
        <v>5.32</v>
      </c>
      <c r="DP154" s="228">
        <v>0.47</v>
      </c>
      <c r="DQ154" s="228">
        <v>0.44</v>
      </c>
      <c r="DR154" s="228">
        <v>0.03</v>
      </c>
      <c r="DS154" s="229">
        <v>6.8199999999999997E-2</v>
      </c>
      <c r="DT154" s="228">
        <v>500</v>
      </c>
      <c r="DU154" s="228">
        <v>470</v>
      </c>
      <c r="DV154" s="228">
        <v>0.21</v>
      </c>
      <c r="DW154" s="228">
        <v>0.27</v>
      </c>
      <c r="DX154" s="228">
        <v>-0.06</v>
      </c>
      <c r="DY154" s="229">
        <v>-0.22220000000000001</v>
      </c>
      <c r="DZ154" s="229">
        <v>0.2959</v>
      </c>
      <c r="EA154" s="230">
        <v>1860600</v>
      </c>
      <c r="EB154" s="229">
        <v>-4.5999999999999999E-3</v>
      </c>
      <c r="EC154" s="229">
        <v>0.2959</v>
      </c>
      <c r="ED154" s="228">
        <v>-2.6</v>
      </c>
      <c r="EE154" s="229">
        <v>-5.4999999999999997E-3</v>
      </c>
      <c r="EF154" s="230">
        <v>1942358</v>
      </c>
      <c r="EG154" s="230">
        <v>3540234</v>
      </c>
      <c r="EH154" s="229">
        <v>-0.45129999999999998</v>
      </c>
      <c r="EI154" s="229">
        <v>0.38579999999999998</v>
      </c>
      <c r="EJ154" s="231">
        <v>115715.69</v>
      </c>
      <c r="EK154" s="231">
        <v>23031.64</v>
      </c>
      <c r="EL154" s="231">
        <v>69250.820000000007</v>
      </c>
      <c r="EM154" s="231">
        <v>2062</v>
      </c>
      <c r="EN154" s="231">
        <v>207998.15</v>
      </c>
      <c r="EO154" s="231">
        <v>82027.16</v>
      </c>
      <c r="EP154" s="231">
        <v>125970.99</v>
      </c>
      <c r="EQ154" s="229">
        <v>1.5357000000000001</v>
      </c>
      <c r="ER154" s="231">
        <v>52081</v>
      </c>
      <c r="ES154" s="231">
        <v>22559</v>
      </c>
      <c r="ET154" s="231">
        <v>93212</v>
      </c>
      <c r="EU154" s="231">
        <v>105756420</v>
      </c>
      <c r="EV154" s="231">
        <v>167851</v>
      </c>
      <c r="EW154" s="231">
        <v>169029</v>
      </c>
      <c r="EX154" s="231">
        <v>-1178</v>
      </c>
      <c r="EY154" s="229">
        <v>-7.0000000000000001E-3</v>
      </c>
      <c r="EZ154" s="229">
        <v>0.33079999999999998</v>
      </c>
      <c r="FA154" s="227" t="s">
        <v>693</v>
      </c>
      <c r="FB154" s="161">
        <f t="shared" si="3"/>
        <v>0</v>
      </c>
    </row>
    <row r="155" spans="1:158" ht="17.25" thickBot="1" x14ac:dyDescent="0.3">
      <c r="A155" s="226">
        <v>46135</v>
      </c>
      <c r="B155" s="227" t="s">
        <v>193</v>
      </c>
      <c r="C155" s="227" t="s">
        <v>269</v>
      </c>
      <c r="D155" s="228">
        <v>2250</v>
      </c>
      <c r="E155" s="228">
        <v>286.64999999999998</v>
      </c>
      <c r="F155" s="228">
        <v>284.5</v>
      </c>
      <c r="G155" s="228">
        <v>2.15</v>
      </c>
      <c r="H155" s="229">
        <v>7.6E-3</v>
      </c>
      <c r="I155" s="228">
        <v>286.25</v>
      </c>
      <c r="J155" s="228">
        <v>283.64999999999998</v>
      </c>
      <c r="K155" s="228">
        <v>2.6</v>
      </c>
      <c r="L155" s="229">
        <v>9.1999999999999998E-3</v>
      </c>
      <c r="M155" s="228">
        <v>286.64999999999998</v>
      </c>
      <c r="N155" s="228">
        <v>284.5</v>
      </c>
      <c r="O155" s="228">
        <v>2.15</v>
      </c>
      <c r="P155" s="229">
        <v>7.6E-3</v>
      </c>
      <c r="Q155" s="228">
        <v>288.2</v>
      </c>
      <c r="R155" s="228">
        <v>285.75</v>
      </c>
      <c r="S155" s="228">
        <v>2.4500000000000002</v>
      </c>
      <c r="T155" s="229">
        <v>8.6E-3</v>
      </c>
      <c r="U155" s="228">
        <v>290.05</v>
      </c>
      <c r="V155" s="228">
        <v>287.5</v>
      </c>
      <c r="W155" s="228">
        <v>2.5499999999999998</v>
      </c>
      <c r="X155" s="229">
        <v>8.8999999999999999E-3</v>
      </c>
      <c r="Y155" s="228">
        <v>0.4</v>
      </c>
      <c r="Z155" s="228">
        <v>0.85</v>
      </c>
      <c r="AA155" s="228">
        <v>-0.45</v>
      </c>
      <c r="AB155" s="229">
        <v>1.4E-3</v>
      </c>
      <c r="AC155" s="228">
        <v>0.4</v>
      </c>
      <c r="AD155" s="228">
        <v>0.85</v>
      </c>
      <c r="AE155" s="228">
        <v>-0.45</v>
      </c>
      <c r="AF155" s="229">
        <v>1.4E-3</v>
      </c>
      <c r="AG155" s="228">
        <v>1.95</v>
      </c>
      <c r="AH155" s="228">
        <v>2.1</v>
      </c>
      <c r="AI155" s="228">
        <v>-0.15</v>
      </c>
      <c r="AJ155" s="229">
        <v>6.7999999999999996E-3</v>
      </c>
      <c r="AK155" s="228">
        <v>3.8</v>
      </c>
      <c r="AL155" s="228">
        <v>3.85</v>
      </c>
      <c r="AM155" s="228">
        <v>-0.05</v>
      </c>
      <c r="AN155" s="229">
        <v>1.3299999999999999E-2</v>
      </c>
      <c r="AO155" s="228">
        <v>286.76</v>
      </c>
      <c r="AP155" s="228">
        <v>288.2</v>
      </c>
      <c r="AQ155" s="228">
        <v>0</v>
      </c>
      <c r="AR155" s="230">
        <v>55023750</v>
      </c>
      <c r="AS155" s="230">
        <v>9713250</v>
      </c>
      <c r="AT155" s="230">
        <v>45310500</v>
      </c>
      <c r="AU155" s="229">
        <v>4.6647999999999996</v>
      </c>
      <c r="AV155" s="230">
        <v>28775250</v>
      </c>
      <c r="AW155" s="230">
        <v>6682500</v>
      </c>
      <c r="AX155" s="230">
        <v>22092750</v>
      </c>
      <c r="AY155" s="229">
        <v>3.3060999999999998</v>
      </c>
      <c r="AZ155" s="230">
        <v>24813000</v>
      </c>
      <c r="BA155" s="230">
        <v>2787750</v>
      </c>
      <c r="BB155" s="230">
        <v>22025250</v>
      </c>
      <c r="BC155" s="229">
        <v>7.9006999999999996</v>
      </c>
      <c r="BD155" s="230">
        <v>1435500</v>
      </c>
      <c r="BE155" s="230">
        <v>243000</v>
      </c>
      <c r="BF155" s="230">
        <v>1192500</v>
      </c>
      <c r="BG155" s="229">
        <v>4.9074</v>
      </c>
      <c r="BH155" s="230">
        <v>140724000</v>
      </c>
      <c r="BI155" s="230">
        <v>57177000</v>
      </c>
      <c r="BJ155" s="230">
        <v>83547000</v>
      </c>
      <c r="BK155" s="229">
        <v>1.4612000000000001</v>
      </c>
      <c r="BL155" s="230">
        <v>45848250</v>
      </c>
      <c r="BM155" s="230">
        <v>22731750</v>
      </c>
      <c r="BN155" s="230">
        <v>23116500</v>
      </c>
      <c r="BO155" s="229">
        <v>1.0168999999999999</v>
      </c>
      <c r="BP155" s="230">
        <v>241596000</v>
      </c>
      <c r="BQ155" s="230">
        <v>89622000</v>
      </c>
      <c r="BR155" s="230">
        <v>151974000</v>
      </c>
      <c r="BS155" s="229">
        <v>1.6957</v>
      </c>
      <c r="BT155" s="230">
        <v>14316664</v>
      </c>
      <c r="BU155" s="230">
        <v>9605525</v>
      </c>
      <c r="BV155" s="230">
        <v>4711139</v>
      </c>
      <c r="BW155" s="229">
        <v>0.49049999999999999</v>
      </c>
      <c r="BX155" s="230">
        <v>103826250</v>
      </c>
      <c r="BY155" s="230">
        <v>102276000</v>
      </c>
      <c r="BZ155" s="230">
        <v>1550250</v>
      </c>
      <c r="CA155" s="229">
        <v>1.52E-2</v>
      </c>
      <c r="CB155" s="230">
        <v>65432250</v>
      </c>
      <c r="CC155" s="230">
        <v>86337000</v>
      </c>
      <c r="CD155" s="230">
        <v>-20904750</v>
      </c>
      <c r="CE155" s="229">
        <v>-0.24210000000000001</v>
      </c>
      <c r="CF155" s="230">
        <v>29376000</v>
      </c>
      <c r="CG155" s="230">
        <v>8217000</v>
      </c>
      <c r="CH155" s="230">
        <v>21159000</v>
      </c>
      <c r="CI155" s="229">
        <v>2.5750000000000002</v>
      </c>
      <c r="CJ155" s="230">
        <v>9018000</v>
      </c>
      <c r="CK155" s="230">
        <v>7722000</v>
      </c>
      <c r="CL155" s="230">
        <v>1296000</v>
      </c>
      <c r="CM155" s="229">
        <v>0.1678</v>
      </c>
      <c r="CN155" s="230">
        <v>96165000</v>
      </c>
      <c r="CO155" s="230">
        <v>93924000</v>
      </c>
      <c r="CP155" s="230">
        <v>2241000</v>
      </c>
      <c r="CQ155" s="229">
        <v>2.3900000000000001E-2</v>
      </c>
      <c r="CR155" s="230">
        <v>37170000</v>
      </c>
      <c r="CS155" s="230">
        <v>37667250</v>
      </c>
      <c r="CT155" s="230">
        <v>-497250</v>
      </c>
      <c r="CU155" s="229">
        <v>-1.32E-2</v>
      </c>
      <c r="CV155" s="230">
        <v>237161250</v>
      </c>
      <c r="CW155" s="230">
        <v>233867250</v>
      </c>
      <c r="CX155" s="230">
        <v>3294000</v>
      </c>
      <c r="CY155" s="229">
        <v>1.41E-2</v>
      </c>
      <c r="CZ155" s="228">
        <v>28.21</v>
      </c>
      <c r="DA155" s="228">
        <v>23.47</v>
      </c>
      <c r="DB155" s="228">
        <v>4.74</v>
      </c>
      <c r="DC155" s="228">
        <v>4.74</v>
      </c>
      <c r="DD155" s="228">
        <v>31.44</v>
      </c>
      <c r="DE155" s="228">
        <v>31.5</v>
      </c>
      <c r="DF155" s="228">
        <v>-3.23</v>
      </c>
      <c r="DG155" s="228">
        <v>-0.06</v>
      </c>
      <c r="DH155" s="228">
        <v>27.84</v>
      </c>
      <c r="DI155" s="228">
        <v>22.03</v>
      </c>
      <c r="DJ155" s="228">
        <v>5.81</v>
      </c>
      <c r="DK155" s="228">
        <v>5.81</v>
      </c>
      <c r="DL155" s="228">
        <v>29.81</v>
      </c>
      <c r="DM155" s="228">
        <v>27.09</v>
      </c>
      <c r="DN155" s="228">
        <v>2.72</v>
      </c>
      <c r="DO155" s="228">
        <v>2.72</v>
      </c>
      <c r="DP155" s="228">
        <v>0.39</v>
      </c>
      <c r="DQ155" s="228">
        <v>0.4</v>
      </c>
      <c r="DR155" s="228">
        <v>-0.01</v>
      </c>
      <c r="DS155" s="229">
        <v>-2.5000000000000001E-2</v>
      </c>
      <c r="DT155" s="228">
        <v>290</v>
      </c>
      <c r="DU155" s="228">
        <v>270</v>
      </c>
      <c r="DV155" s="228">
        <v>0.33</v>
      </c>
      <c r="DW155" s="228">
        <v>0.4</v>
      </c>
      <c r="DX155" s="228">
        <v>-7.0000000000000007E-2</v>
      </c>
      <c r="DY155" s="229">
        <v>-0.17499999999999999</v>
      </c>
      <c r="DZ155" s="229">
        <v>0.36980000000000002</v>
      </c>
      <c r="EA155" s="230">
        <v>15939000</v>
      </c>
      <c r="EB155" s="229">
        <v>5.4000000000000003E-3</v>
      </c>
      <c r="EC155" s="229">
        <v>0.36980000000000002</v>
      </c>
      <c r="ED155" s="228">
        <v>1.44</v>
      </c>
      <c r="EE155" s="229">
        <v>5.0000000000000001E-3</v>
      </c>
      <c r="EF155" s="230">
        <v>6884920</v>
      </c>
      <c r="EG155" s="230">
        <v>6120927</v>
      </c>
      <c r="EH155" s="229">
        <v>0.12479999999999999</v>
      </c>
      <c r="EI155" s="229">
        <v>0.48089999999999999</v>
      </c>
      <c r="EJ155" s="231">
        <v>413575.48</v>
      </c>
      <c r="EK155" s="231">
        <v>128915.78</v>
      </c>
      <c r="EL155" s="231">
        <v>158194.21</v>
      </c>
      <c r="EM155" s="231">
        <v>4978</v>
      </c>
      <c r="EN155" s="231">
        <v>700685.47</v>
      </c>
      <c r="EO155" s="231">
        <v>258541.69</v>
      </c>
      <c r="EP155" s="231">
        <v>442143.78</v>
      </c>
      <c r="EQ155" s="229">
        <v>1.7101</v>
      </c>
      <c r="ER155" s="231">
        <v>283752</v>
      </c>
      <c r="ES155" s="231">
        <v>101222</v>
      </c>
      <c r="ET155" s="231">
        <v>298380</v>
      </c>
      <c r="EU155" s="231">
        <v>711370982</v>
      </c>
      <c r="EV155" s="231">
        <v>683353</v>
      </c>
      <c r="EW155" s="231">
        <v>670960</v>
      </c>
      <c r="EX155" s="231">
        <v>12393</v>
      </c>
      <c r="EY155" s="229">
        <v>1.8499999999999999E-2</v>
      </c>
      <c r="EZ155" s="229">
        <v>0.33339999999999997</v>
      </c>
      <c r="FA155" s="227" t="s">
        <v>555</v>
      </c>
      <c r="FB155" s="161">
        <f t="shared" si="3"/>
        <v>0</v>
      </c>
    </row>
    <row r="156" spans="1:158" ht="17.25" thickBot="1" x14ac:dyDescent="0.3">
      <c r="A156" s="226">
        <v>46135</v>
      </c>
      <c r="B156" s="227" t="s">
        <v>197</v>
      </c>
      <c r="C156" s="227" t="s">
        <v>270</v>
      </c>
      <c r="D156" s="228">
        <v>15</v>
      </c>
      <c r="E156" s="231">
        <v>37995</v>
      </c>
      <c r="F156" s="231">
        <v>37985</v>
      </c>
      <c r="G156" s="228">
        <v>10</v>
      </c>
      <c r="H156" s="229">
        <v>2.9999999999999997E-4</v>
      </c>
      <c r="I156" s="231">
        <v>37965</v>
      </c>
      <c r="J156" s="231">
        <v>37855</v>
      </c>
      <c r="K156" s="228">
        <v>110</v>
      </c>
      <c r="L156" s="229">
        <v>2.8999999999999998E-3</v>
      </c>
      <c r="M156" s="231">
        <v>37995</v>
      </c>
      <c r="N156" s="231">
        <v>37985</v>
      </c>
      <c r="O156" s="228">
        <v>10</v>
      </c>
      <c r="P156" s="229">
        <v>2.9999999999999997E-4</v>
      </c>
      <c r="Q156" s="231">
        <v>38195</v>
      </c>
      <c r="R156" s="231">
        <v>37975</v>
      </c>
      <c r="S156" s="228">
        <v>220</v>
      </c>
      <c r="T156" s="229">
        <v>5.7999999999999996E-3</v>
      </c>
      <c r="U156" s="231">
        <v>38010</v>
      </c>
      <c r="V156" s="231">
        <v>37855</v>
      </c>
      <c r="W156" s="228">
        <v>155</v>
      </c>
      <c r="X156" s="229">
        <v>4.1000000000000003E-3</v>
      </c>
      <c r="Y156" s="228">
        <v>30</v>
      </c>
      <c r="Z156" s="228">
        <v>130</v>
      </c>
      <c r="AA156" s="228">
        <v>-100</v>
      </c>
      <c r="AB156" s="229">
        <v>8.0000000000000004E-4</v>
      </c>
      <c r="AC156" s="228">
        <v>30</v>
      </c>
      <c r="AD156" s="228">
        <v>130</v>
      </c>
      <c r="AE156" s="228">
        <v>-100</v>
      </c>
      <c r="AF156" s="229">
        <v>8.0000000000000004E-4</v>
      </c>
      <c r="AG156" s="228">
        <v>230</v>
      </c>
      <c r="AH156" s="228">
        <v>120</v>
      </c>
      <c r="AI156" s="228">
        <v>110</v>
      </c>
      <c r="AJ156" s="229">
        <v>6.1000000000000004E-3</v>
      </c>
      <c r="AK156" s="228">
        <v>45</v>
      </c>
      <c r="AL156" s="228">
        <v>0</v>
      </c>
      <c r="AM156" s="228">
        <v>45</v>
      </c>
      <c r="AN156" s="229">
        <v>1.1999999999999999E-3</v>
      </c>
      <c r="AO156" s="231">
        <v>37745.97</v>
      </c>
      <c r="AP156" s="231">
        <v>37816.6</v>
      </c>
      <c r="AQ156" s="228">
        <v>0</v>
      </c>
      <c r="AR156" s="230">
        <v>258180</v>
      </c>
      <c r="AS156" s="230">
        <v>33105</v>
      </c>
      <c r="AT156" s="230">
        <v>225075</v>
      </c>
      <c r="AU156" s="229">
        <v>6.7988</v>
      </c>
      <c r="AV156" s="230">
        <v>130395</v>
      </c>
      <c r="AW156" s="230">
        <v>23040</v>
      </c>
      <c r="AX156" s="230">
        <v>107355</v>
      </c>
      <c r="AY156" s="229">
        <v>4.6595000000000004</v>
      </c>
      <c r="AZ156" s="230">
        <v>127410</v>
      </c>
      <c r="BA156" s="230">
        <v>9795</v>
      </c>
      <c r="BB156" s="230">
        <v>117615</v>
      </c>
      <c r="BC156" s="229">
        <v>12.0077</v>
      </c>
      <c r="BD156" s="228">
        <v>375</v>
      </c>
      <c r="BE156" s="228">
        <v>270</v>
      </c>
      <c r="BF156" s="228">
        <v>105</v>
      </c>
      <c r="BG156" s="229">
        <v>0.38890000000000002</v>
      </c>
      <c r="BH156" s="230">
        <v>51915</v>
      </c>
      <c r="BI156" s="230">
        <v>37425</v>
      </c>
      <c r="BJ156" s="230">
        <v>14490</v>
      </c>
      <c r="BK156" s="229">
        <v>0.38719999999999999</v>
      </c>
      <c r="BL156" s="230">
        <v>110700</v>
      </c>
      <c r="BM156" s="230">
        <v>55785</v>
      </c>
      <c r="BN156" s="230">
        <v>54915</v>
      </c>
      <c r="BO156" s="229">
        <v>0.98440000000000005</v>
      </c>
      <c r="BP156" s="230">
        <v>420795</v>
      </c>
      <c r="BQ156" s="230">
        <v>126315</v>
      </c>
      <c r="BR156" s="230">
        <v>294480</v>
      </c>
      <c r="BS156" s="229">
        <v>2.3313000000000001</v>
      </c>
      <c r="BT156" s="230">
        <v>30602</v>
      </c>
      <c r="BU156" s="230">
        <v>42323</v>
      </c>
      <c r="BV156" s="230">
        <v>-11721</v>
      </c>
      <c r="BW156" s="229">
        <v>-0.27689999999999998</v>
      </c>
      <c r="BX156" s="230">
        <v>358215</v>
      </c>
      <c r="BY156" s="230">
        <v>355110</v>
      </c>
      <c r="BZ156" s="230">
        <v>3105</v>
      </c>
      <c r="CA156" s="229">
        <v>8.6999999999999994E-3</v>
      </c>
      <c r="CB156" s="230">
        <v>231495</v>
      </c>
      <c r="CC156" s="230">
        <v>331875</v>
      </c>
      <c r="CD156" s="230">
        <v>-100380</v>
      </c>
      <c r="CE156" s="229">
        <v>-0.30249999999999999</v>
      </c>
      <c r="CF156" s="230">
        <v>125400</v>
      </c>
      <c r="CG156" s="230">
        <v>21840</v>
      </c>
      <c r="CH156" s="230">
        <v>103560</v>
      </c>
      <c r="CI156" s="229">
        <v>4.7417999999999996</v>
      </c>
      <c r="CJ156" s="230">
        <v>1320</v>
      </c>
      <c r="CK156" s="230">
        <v>1395</v>
      </c>
      <c r="CL156" s="228">
        <v>-75</v>
      </c>
      <c r="CM156" s="229">
        <v>-5.3800000000000001E-2</v>
      </c>
      <c r="CN156" s="230">
        <v>68220</v>
      </c>
      <c r="CO156" s="230">
        <v>69120</v>
      </c>
      <c r="CP156" s="228">
        <v>-900</v>
      </c>
      <c r="CQ156" s="229">
        <v>-1.2999999999999999E-2</v>
      </c>
      <c r="CR156" s="230">
        <v>63795</v>
      </c>
      <c r="CS156" s="230">
        <v>74490</v>
      </c>
      <c r="CT156" s="230">
        <v>-10695</v>
      </c>
      <c r="CU156" s="229">
        <v>-0.14360000000000001</v>
      </c>
      <c r="CV156" s="230">
        <v>490230</v>
      </c>
      <c r="CW156" s="230">
        <v>498720</v>
      </c>
      <c r="CX156" s="230">
        <v>-8490</v>
      </c>
      <c r="CY156" s="229">
        <v>-1.7000000000000001E-2</v>
      </c>
      <c r="CZ156" s="228">
        <v>31.2</v>
      </c>
      <c r="DA156" s="228">
        <v>32.4</v>
      </c>
      <c r="DB156" s="228">
        <v>-1.2</v>
      </c>
      <c r="DC156" s="228">
        <v>-1.2</v>
      </c>
      <c r="DD156" s="228">
        <v>28.74</v>
      </c>
      <c r="DE156" s="228">
        <v>28.81</v>
      </c>
      <c r="DF156" s="228">
        <v>2.46</v>
      </c>
      <c r="DG156" s="228">
        <v>-7.0000000000000007E-2</v>
      </c>
      <c r="DH156" s="228">
        <v>29.63</v>
      </c>
      <c r="DI156" s="228">
        <v>28.04</v>
      </c>
      <c r="DJ156" s="228">
        <v>1.59</v>
      </c>
      <c r="DK156" s="228">
        <v>1.59</v>
      </c>
      <c r="DL156" s="228">
        <v>37.090000000000003</v>
      </c>
      <c r="DM156" s="228">
        <v>35.33</v>
      </c>
      <c r="DN156" s="228">
        <v>1.76</v>
      </c>
      <c r="DO156" s="228">
        <v>1.76</v>
      </c>
      <c r="DP156" s="228">
        <v>0.94</v>
      </c>
      <c r="DQ156" s="228">
        <v>1.08</v>
      </c>
      <c r="DR156" s="228">
        <v>-0.14000000000000001</v>
      </c>
      <c r="DS156" s="229">
        <v>-0.12959999999999999</v>
      </c>
      <c r="DT156" s="231">
        <v>33000</v>
      </c>
      <c r="DU156" s="231">
        <v>32000</v>
      </c>
      <c r="DV156" s="228">
        <v>2.13</v>
      </c>
      <c r="DW156" s="228">
        <v>1.49</v>
      </c>
      <c r="DX156" s="228">
        <v>0.64</v>
      </c>
      <c r="DY156" s="229">
        <v>0.42949999999999999</v>
      </c>
      <c r="DZ156" s="229">
        <v>0.3538</v>
      </c>
      <c r="EA156" s="230">
        <v>23235</v>
      </c>
      <c r="EB156" s="229">
        <v>5.3E-3</v>
      </c>
      <c r="EC156" s="229">
        <v>0.3538</v>
      </c>
      <c r="ED156" s="228">
        <v>70.63</v>
      </c>
      <c r="EE156" s="229">
        <v>1.9E-3</v>
      </c>
      <c r="EF156" s="230">
        <v>17052</v>
      </c>
      <c r="EG156" s="230">
        <v>32230</v>
      </c>
      <c r="EH156" s="229">
        <v>-0.47089999999999999</v>
      </c>
      <c r="EI156" s="229">
        <v>0.55720000000000003</v>
      </c>
      <c r="EJ156" s="231">
        <v>20399.68</v>
      </c>
      <c r="EK156" s="231">
        <v>36927.07</v>
      </c>
      <c r="EL156" s="231">
        <v>97542.17</v>
      </c>
      <c r="EM156" s="231">
        <v>3254</v>
      </c>
      <c r="EN156" s="231">
        <v>154868.92000000001</v>
      </c>
      <c r="EO156" s="231">
        <v>46711.54</v>
      </c>
      <c r="EP156" s="231">
        <v>108157.38</v>
      </c>
      <c r="EQ156" s="229">
        <v>2.3153999999999999</v>
      </c>
      <c r="ER156" s="231">
        <v>24820</v>
      </c>
      <c r="ES156" s="231">
        <v>22058</v>
      </c>
      <c r="ET156" s="231">
        <v>136355</v>
      </c>
      <c r="EU156" s="231">
        <v>955549</v>
      </c>
      <c r="EV156" s="231">
        <v>183233</v>
      </c>
      <c r="EW156" s="231">
        <v>185786</v>
      </c>
      <c r="EX156" s="231">
        <v>-2553</v>
      </c>
      <c r="EY156" s="229">
        <v>-1.37E-2</v>
      </c>
      <c r="EZ156" s="229">
        <v>0.51300000000000001</v>
      </c>
      <c r="FA156" s="227" t="s">
        <v>555</v>
      </c>
      <c r="FB156" s="161">
        <f t="shared" si="3"/>
        <v>0</v>
      </c>
    </row>
    <row r="157" spans="1:158" ht="17.25" thickBot="1" x14ac:dyDescent="0.3">
      <c r="A157" s="226">
        <v>46135</v>
      </c>
      <c r="B157" s="227" t="s">
        <v>168</v>
      </c>
      <c r="C157" s="227" t="s">
        <v>664</v>
      </c>
      <c r="D157" s="228">
        <v>900</v>
      </c>
      <c r="E157" s="228">
        <v>468.1</v>
      </c>
      <c r="F157" s="228">
        <v>470.9</v>
      </c>
      <c r="G157" s="228">
        <v>-2.8</v>
      </c>
      <c r="H157" s="229">
        <v>-5.8999999999999999E-3</v>
      </c>
      <c r="I157" s="228">
        <v>469.25</v>
      </c>
      <c r="J157" s="228">
        <v>472.1</v>
      </c>
      <c r="K157" s="228">
        <v>-2.85</v>
      </c>
      <c r="L157" s="229">
        <v>-6.0000000000000001E-3</v>
      </c>
      <c r="M157" s="228">
        <v>468.1</v>
      </c>
      <c r="N157" s="228">
        <v>470.9</v>
      </c>
      <c r="O157" s="228">
        <v>-2.8</v>
      </c>
      <c r="P157" s="229">
        <v>-5.8999999999999999E-3</v>
      </c>
      <c r="Q157" s="228">
        <v>470.5</v>
      </c>
      <c r="R157" s="228">
        <v>473.15</v>
      </c>
      <c r="S157" s="228">
        <v>-2.65</v>
      </c>
      <c r="T157" s="229">
        <v>-5.5999999999999999E-3</v>
      </c>
      <c r="U157" s="228">
        <v>474.2</v>
      </c>
      <c r="V157" s="228">
        <v>476.05</v>
      </c>
      <c r="W157" s="228">
        <v>-1.85</v>
      </c>
      <c r="X157" s="229">
        <v>-3.8999999999999998E-3</v>
      </c>
      <c r="Y157" s="228">
        <v>-1.1499999999999999</v>
      </c>
      <c r="Z157" s="228">
        <v>-1.2</v>
      </c>
      <c r="AA157" s="228">
        <v>0.05</v>
      </c>
      <c r="AB157" s="229">
        <v>-2.5000000000000001E-3</v>
      </c>
      <c r="AC157" s="228">
        <v>-1.1499999999999999</v>
      </c>
      <c r="AD157" s="228">
        <v>-1.2</v>
      </c>
      <c r="AE157" s="228">
        <v>0.05</v>
      </c>
      <c r="AF157" s="229">
        <v>-2.5000000000000001E-3</v>
      </c>
      <c r="AG157" s="228">
        <v>1.25</v>
      </c>
      <c r="AH157" s="228">
        <v>1.05</v>
      </c>
      <c r="AI157" s="228">
        <v>0.2</v>
      </c>
      <c r="AJ157" s="229">
        <v>2.7000000000000001E-3</v>
      </c>
      <c r="AK157" s="228">
        <v>4.95</v>
      </c>
      <c r="AL157" s="228">
        <v>3.95</v>
      </c>
      <c r="AM157" s="228">
        <v>1</v>
      </c>
      <c r="AN157" s="229">
        <v>1.0500000000000001E-2</v>
      </c>
      <c r="AO157" s="228">
        <v>467.92</v>
      </c>
      <c r="AP157" s="228">
        <v>469.98</v>
      </c>
      <c r="AQ157" s="228">
        <v>0</v>
      </c>
      <c r="AR157" s="230">
        <v>15125400</v>
      </c>
      <c r="AS157" s="230">
        <v>5722200</v>
      </c>
      <c r="AT157" s="230">
        <v>9403200</v>
      </c>
      <c r="AU157" s="229">
        <v>1.6433</v>
      </c>
      <c r="AV157" s="230">
        <v>7715700</v>
      </c>
      <c r="AW157" s="230">
        <v>3984300</v>
      </c>
      <c r="AX157" s="230">
        <v>3731400</v>
      </c>
      <c r="AY157" s="229">
        <v>0.9365</v>
      </c>
      <c r="AZ157" s="230">
        <v>7400700</v>
      </c>
      <c r="BA157" s="230">
        <v>1712700</v>
      </c>
      <c r="BB157" s="230">
        <v>5688000</v>
      </c>
      <c r="BC157" s="229">
        <v>3.3210999999999999</v>
      </c>
      <c r="BD157" s="230">
        <v>9000</v>
      </c>
      <c r="BE157" s="230">
        <v>25200</v>
      </c>
      <c r="BF157" s="230">
        <v>-16200</v>
      </c>
      <c r="BG157" s="229">
        <v>-0.64290000000000003</v>
      </c>
      <c r="BH157" s="230">
        <v>6849900</v>
      </c>
      <c r="BI157" s="230">
        <v>10800000</v>
      </c>
      <c r="BJ157" s="230">
        <v>-3950100</v>
      </c>
      <c r="BK157" s="229">
        <v>-0.36580000000000001</v>
      </c>
      <c r="BL157" s="230">
        <v>1227600</v>
      </c>
      <c r="BM157" s="230">
        <v>2504700</v>
      </c>
      <c r="BN157" s="230">
        <v>-1277100</v>
      </c>
      <c r="BO157" s="229">
        <v>-0.50990000000000002</v>
      </c>
      <c r="BP157" s="230">
        <v>23202900</v>
      </c>
      <c r="BQ157" s="230">
        <v>19026900</v>
      </c>
      <c r="BR157" s="230">
        <v>4176000</v>
      </c>
      <c r="BS157" s="229">
        <v>0.2195</v>
      </c>
      <c r="BT157" s="230">
        <v>820450</v>
      </c>
      <c r="BU157" s="230">
        <v>1946855</v>
      </c>
      <c r="BV157" s="230">
        <v>-1126405</v>
      </c>
      <c r="BW157" s="229">
        <v>-0.5786</v>
      </c>
      <c r="BX157" s="230">
        <v>36183600</v>
      </c>
      <c r="BY157" s="230">
        <v>36494100</v>
      </c>
      <c r="BZ157" s="230">
        <v>-310500</v>
      </c>
      <c r="CA157" s="229">
        <v>-8.5000000000000006E-3</v>
      </c>
      <c r="CB157" s="230">
        <v>28779300</v>
      </c>
      <c r="CC157" s="230">
        <v>34622100</v>
      </c>
      <c r="CD157" s="230">
        <v>-5842800</v>
      </c>
      <c r="CE157" s="229">
        <v>-0.16880000000000001</v>
      </c>
      <c r="CF157" s="230">
        <v>7310700</v>
      </c>
      <c r="CG157" s="230">
        <v>1784700</v>
      </c>
      <c r="CH157" s="230">
        <v>5526000</v>
      </c>
      <c r="CI157" s="229">
        <v>3.0962999999999998</v>
      </c>
      <c r="CJ157" s="230">
        <v>93600</v>
      </c>
      <c r="CK157" s="230">
        <v>87300</v>
      </c>
      <c r="CL157" s="230">
        <v>6300</v>
      </c>
      <c r="CM157" s="229">
        <v>7.22E-2</v>
      </c>
      <c r="CN157" s="230">
        <v>5669100</v>
      </c>
      <c r="CO157" s="230">
        <v>6555600</v>
      </c>
      <c r="CP157" s="230">
        <v>-886500</v>
      </c>
      <c r="CQ157" s="229">
        <v>-0.13519999999999999</v>
      </c>
      <c r="CR157" s="230">
        <v>3841200</v>
      </c>
      <c r="CS157" s="230">
        <v>3714300</v>
      </c>
      <c r="CT157" s="230">
        <v>126900</v>
      </c>
      <c r="CU157" s="229">
        <v>3.4200000000000001E-2</v>
      </c>
      <c r="CV157" s="230">
        <v>45693900</v>
      </c>
      <c r="CW157" s="230">
        <v>46764000</v>
      </c>
      <c r="CX157" s="230">
        <v>-1070100</v>
      </c>
      <c r="CY157" s="229">
        <v>-2.29E-2</v>
      </c>
      <c r="CZ157" s="228">
        <v>34.04</v>
      </c>
      <c r="DA157" s="228">
        <v>30.08</v>
      </c>
      <c r="DB157" s="228">
        <v>3.96</v>
      </c>
      <c r="DC157" s="228">
        <v>3.96</v>
      </c>
      <c r="DD157" s="228">
        <v>32.15</v>
      </c>
      <c r="DE157" s="228">
        <v>32.22</v>
      </c>
      <c r="DF157" s="228">
        <v>1.89</v>
      </c>
      <c r="DG157" s="228">
        <v>-7.0000000000000007E-2</v>
      </c>
      <c r="DH157" s="228">
        <v>33.83</v>
      </c>
      <c r="DI157" s="228">
        <v>30.41</v>
      </c>
      <c r="DJ157" s="228">
        <v>3.42</v>
      </c>
      <c r="DK157" s="228">
        <v>3.42</v>
      </c>
      <c r="DL157" s="228">
        <v>34.96</v>
      </c>
      <c r="DM157" s="228">
        <v>28.63</v>
      </c>
      <c r="DN157" s="228">
        <v>6.33</v>
      </c>
      <c r="DO157" s="228">
        <v>6.33</v>
      </c>
      <c r="DP157" s="228">
        <v>0.68</v>
      </c>
      <c r="DQ157" s="228">
        <v>0.56999999999999995</v>
      </c>
      <c r="DR157" s="228">
        <v>0.11</v>
      </c>
      <c r="DS157" s="229">
        <v>0.193</v>
      </c>
      <c r="DT157" s="228">
        <v>480</v>
      </c>
      <c r="DU157" s="228">
        <v>510</v>
      </c>
      <c r="DV157" s="228">
        <v>0.18</v>
      </c>
      <c r="DW157" s="228">
        <v>0.23</v>
      </c>
      <c r="DX157" s="228">
        <v>-0.05</v>
      </c>
      <c r="DY157" s="229">
        <v>-0.21740000000000001</v>
      </c>
      <c r="DZ157" s="229">
        <v>0.2046</v>
      </c>
      <c r="EA157" s="230">
        <v>1872000</v>
      </c>
      <c r="EB157" s="229">
        <v>5.1000000000000004E-3</v>
      </c>
      <c r="EC157" s="229">
        <v>0.2046</v>
      </c>
      <c r="ED157" s="228">
        <v>2.06</v>
      </c>
      <c r="EE157" s="229">
        <v>4.4000000000000003E-3</v>
      </c>
      <c r="EF157" s="230">
        <v>295337</v>
      </c>
      <c r="EG157" s="230">
        <v>741325</v>
      </c>
      <c r="EH157" s="229">
        <v>-0.60160000000000002</v>
      </c>
      <c r="EI157" s="229">
        <v>0.36</v>
      </c>
      <c r="EJ157" s="231">
        <v>33325.69</v>
      </c>
      <c r="EK157" s="231">
        <v>5758.71</v>
      </c>
      <c r="EL157" s="231">
        <v>70927.44</v>
      </c>
      <c r="EM157" s="231">
        <v>5732</v>
      </c>
      <c r="EN157" s="231">
        <v>110011.84</v>
      </c>
      <c r="EO157" s="231">
        <v>91427.97</v>
      </c>
      <c r="EP157" s="231">
        <v>18583.87</v>
      </c>
      <c r="EQ157" s="229">
        <v>0.20330000000000001</v>
      </c>
      <c r="ER157" s="231">
        <v>27672</v>
      </c>
      <c r="ES157" s="231">
        <v>18393</v>
      </c>
      <c r="ET157" s="231">
        <v>169557</v>
      </c>
      <c r="EU157" s="231">
        <v>51786533</v>
      </c>
      <c r="EV157" s="231">
        <v>215621</v>
      </c>
      <c r="EW157" s="231">
        <v>221686</v>
      </c>
      <c r="EX157" s="231">
        <v>-6065</v>
      </c>
      <c r="EY157" s="229">
        <v>-2.7400000000000001E-2</v>
      </c>
      <c r="EZ157" s="229">
        <v>0.88239999999999996</v>
      </c>
      <c r="FA157" s="227" t="s">
        <v>567</v>
      </c>
      <c r="FB157" s="161">
        <f t="shared" si="3"/>
        <v>0</v>
      </c>
    </row>
    <row r="158" spans="1:158" ht="17.25" thickBot="1" x14ac:dyDescent="0.3">
      <c r="A158" s="226">
        <v>46135</v>
      </c>
      <c r="B158" s="227" t="s">
        <v>614</v>
      </c>
      <c r="C158" s="227" t="s">
        <v>574</v>
      </c>
      <c r="D158" s="228">
        <v>725</v>
      </c>
      <c r="E158" s="231">
        <v>1157.05</v>
      </c>
      <c r="F158" s="231">
        <v>1163.7</v>
      </c>
      <c r="G158" s="228">
        <v>-6.65</v>
      </c>
      <c r="H158" s="229">
        <v>-5.7000000000000002E-3</v>
      </c>
      <c r="I158" s="231">
        <v>1159.55</v>
      </c>
      <c r="J158" s="231">
        <v>1162.1500000000001</v>
      </c>
      <c r="K158" s="228">
        <v>-2.6</v>
      </c>
      <c r="L158" s="229">
        <v>-2.2000000000000001E-3</v>
      </c>
      <c r="M158" s="231">
        <v>1157.05</v>
      </c>
      <c r="N158" s="231">
        <v>1163.7</v>
      </c>
      <c r="O158" s="228">
        <v>-6.65</v>
      </c>
      <c r="P158" s="229">
        <v>-5.7000000000000002E-3</v>
      </c>
      <c r="Q158" s="231">
        <v>1162.7</v>
      </c>
      <c r="R158" s="231">
        <v>1169.45</v>
      </c>
      <c r="S158" s="228">
        <v>-6.75</v>
      </c>
      <c r="T158" s="229">
        <v>-5.7999999999999996E-3</v>
      </c>
      <c r="U158" s="231">
        <v>1166.0999999999999</v>
      </c>
      <c r="V158" s="231">
        <v>1176.95</v>
      </c>
      <c r="W158" s="228">
        <v>-10.85</v>
      </c>
      <c r="X158" s="229">
        <v>-9.1999999999999998E-3</v>
      </c>
      <c r="Y158" s="228">
        <v>-2.5</v>
      </c>
      <c r="Z158" s="228">
        <v>1.55</v>
      </c>
      <c r="AA158" s="228">
        <v>-4.05</v>
      </c>
      <c r="AB158" s="229">
        <v>-2.2000000000000001E-3</v>
      </c>
      <c r="AC158" s="228">
        <v>-2.5</v>
      </c>
      <c r="AD158" s="228">
        <v>1.55</v>
      </c>
      <c r="AE158" s="228">
        <v>-4.05</v>
      </c>
      <c r="AF158" s="229">
        <v>-2.2000000000000001E-3</v>
      </c>
      <c r="AG158" s="228">
        <v>3.15</v>
      </c>
      <c r="AH158" s="228">
        <v>7.3</v>
      </c>
      <c r="AI158" s="228">
        <v>-4.1500000000000004</v>
      </c>
      <c r="AJ158" s="229">
        <v>2.7000000000000001E-3</v>
      </c>
      <c r="AK158" s="228">
        <v>6.55</v>
      </c>
      <c r="AL158" s="228">
        <v>14.8</v>
      </c>
      <c r="AM158" s="228">
        <v>-8.25</v>
      </c>
      <c r="AN158" s="229">
        <v>5.5999999999999999E-3</v>
      </c>
      <c r="AO158" s="231">
        <v>1151.72</v>
      </c>
      <c r="AP158" s="231">
        <v>1157.5999999999999</v>
      </c>
      <c r="AQ158" s="228">
        <v>0</v>
      </c>
      <c r="AR158" s="230">
        <v>8098250</v>
      </c>
      <c r="AS158" s="230">
        <v>3359650</v>
      </c>
      <c r="AT158" s="230">
        <v>4738600</v>
      </c>
      <c r="AU158" s="229">
        <v>1.4104000000000001</v>
      </c>
      <c r="AV158" s="230">
        <v>4232550</v>
      </c>
      <c r="AW158" s="230">
        <v>2058275</v>
      </c>
      <c r="AX158" s="230">
        <v>2174275</v>
      </c>
      <c r="AY158" s="229">
        <v>1.0564</v>
      </c>
      <c r="AZ158" s="230">
        <v>3854100</v>
      </c>
      <c r="BA158" s="230">
        <v>1252075</v>
      </c>
      <c r="BB158" s="230">
        <v>2602025</v>
      </c>
      <c r="BC158" s="229">
        <v>2.0781999999999998</v>
      </c>
      <c r="BD158" s="230">
        <v>11600</v>
      </c>
      <c r="BE158" s="230">
        <v>49300</v>
      </c>
      <c r="BF158" s="230">
        <v>-37700</v>
      </c>
      <c r="BG158" s="229">
        <v>-0.76470000000000005</v>
      </c>
      <c r="BH158" s="230">
        <v>5593375</v>
      </c>
      <c r="BI158" s="230">
        <v>5015550</v>
      </c>
      <c r="BJ158" s="230">
        <v>577825</v>
      </c>
      <c r="BK158" s="229">
        <v>0.1152</v>
      </c>
      <c r="BL158" s="230">
        <v>3487250</v>
      </c>
      <c r="BM158" s="230">
        <v>5939200</v>
      </c>
      <c r="BN158" s="230">
        <v>-2451950</v>
      </c>
      <c r="BO158" s="229">
        <v>-0.4128</v>
      </c>
      <c r="BP158" s="230">
        <v>17178875</v>
      </c>
      <c r="BQ158" s="230">
        <v>14314400</v>
      </c>
      <c r="BR158" s="230">
        <v>2864475</v>
      </c>
      <c r="BS158" s="229">
        <v>0.2001</v>
      </c>
      <c r="BT158" s="230">
        <v>1178146</v>
      </c>
      <c r="BU158" s="230">
        <v>976125</v>
      </c>
      <c r="BV158" s="230">
        <v>202021</v>
      </c>
      <c r="BW158" s="229">
        <v>0.20699999999999999</v>
      </c>
      <c r="BX158" s="230">
        <v>15219925</v>
      </c>
      <c r="BY158" s="230">
        <v>15288800</v>
      </c>
      <c r="BZ158" s="230">
        <v>-68875</v>
      </c>
      <c r="CA158" s="229">
        <v>-4.4999999999999997E-3</v>
      </c>
      <c r="CB158" s="230">
        <v>9349600</v>
      </c>
      <c r="CC158" s="230">
        <v>12512775</v>
      </c>
      <c r="CD158" s="230">
        <v>-3163175</v>
      </c>
      <c r="CE158" s="229">
        <v>-0.25280000000000002</v>
      </c>
      <c r="CF158" s="230">
        <v>5778975</v>
      </c>
      <c r="CG158" s="230">
        <v>2688300</v>
      </c>
      <c r="CH158" s="230">
        <v>3090675</v>
      </c>
      <c r="CI158" s="229">
        <v>1.1496999999999999</v>
      </c>
      <c r="CJ158" s="230">
        <v>91350</v>
      </c>
      <c r="CK158" s="230">
        <v>87725</v>
      </c>
      <c r="CL158" s="230">
        <v>3625</v>
      </c>
      <c r="CM158" s="229">
        <v>4.1300000000000003E-2</v>
      </c>
      <c r="CN158" s="230">
        <v>6399575</v>
      </c>
      <c r="CO158" s="230">
        <v>6741050</v>
      </c>
      <c r="CP158" s="230">
        <v>-341475</v>
      </c>
      <c r="CQ158" s="229">
        <v>-5.0700000000000002E-2</v>
      </c>
      <c r="CR158" s="230">
        <v>5021350</v>
      </c>
      <c r="CS158" s="230">
        <v>5473750</v>
      </c>
      <c r="CT158" s="230">
        <v>-452400</v>
      </c>
      <c r="CU158" s="229">
        <v>-8.2600000000000007E-2</v>
      </c>
      <c r="CV158" s="230">
        <v>26640850</v>
      </c>
      <c r="CW158" s="230">
        <v>27503600</v>
      </c>
      <c r="CX158" s="230">
        <v>-862750</v>
      </c>
      <c r="CY158" s="229">
        <v>-3.1399999999999997E-2</v>
      </c>
      <c r="CZ158" s="228">
        <v>40.04</v>
      </c>
      <c r="DA158" s="228">
        <v>36.78</v>
      </c>
      <c r="DB158" s="228">
        <v>3.26</v>
      </c>
      <c r="DC158" s="228">
        <v>3.26</v>
      </c>
      <c r="DD158" s="228">
        <v>52.23</v>
      </c>
      <c r="DE158" s="228">
        <v>52.35</v>
      </c>
      <c r="DF158" s="228">
        <v>-12.19</v>
      </c>
      <c r="DG158" s="228">
        <v>-0.12</v>
      </c>
      <c r="DH158" s="228">
        <v>39.19</v>
      </c>
      <c r="DI158" s="228">
        <v>32.869999999999997</v>
      </c>
      <c r="DJ158" s="228">
        <v>6.32</v>
      </c>
      <c r="DK158" s="228">
        <v>6.32</v>
      </c>
      <c r="DL158" s="228">
        <v>41.5</v>
      </c>
      <c r="DM158" s="228">
        <v>40.07</v>
      </c>
      <c r="DN158" s="228">
        <v>1.43</v>
      </c>
      <c r="DO158" s="228">
        <v>1.43</v>
      </c>
      <c r="DP158" s="228">
        <v>0.78</v>
      </c>
      <c r="DQ158" s="228">
        <v>0.81</v>
      </c>
      <c r="DR158" s="228">
        <v>-0.03</v>
      </c>
      <c r="DS158" s="229">
        <v>-3.6999999999999998E-2</v>
      </c>
      <c r="DT158" s="231">
        <v>1100</v>
      </c>
      <c r="DU158" s="231">
        <v>1100</v>
      </c>
      <c r="DV158" s="228">
        <v>0.62</v>
      </c>
      <c r="DW158" s="228">
        <v>1.18</v>
      </c>
      <c r="DX158" s="228">
        <v>-0.56000000000000005</v>
      </c>
      <c r="DY158" s="229">
        <v>-0.47460000000000002</v>
      </c>
      <c r="DZ158" s="229">
        <v>0.38569999999999999</v>
      </c>
      <c r="EA158" s="230">
        <v>2776025</v>
      </c>
      <c r="EB158" s="229">
        <v>4.8999999999999998E-3</v>
      </c>
      <c r="EC158" s="229">
        <v>0.38569999999999999</v>
      </c>
      <c r="ED158" s="228">
        <v>5.88</v>
      </c>
      <c r="EE158" s="229">
        <v>5.1000000000000004E-3</v>
      </c>
      <c r="EF158" s="230">
        <v>419557</v>
      </c>
      <c r="EG158" s="230">
        <v>364054</v>
      </c>
      <c r="EH158" s="229">
        <v>0.1525</v>
      </c>
      <c r="EI158" s="229">
        <v>0.35610000000000003</v>
      </c>
      <c r="EJ158" s="231">
        <v>66528.179999999993</v>
      </c>
      <c r="EK158" s="231">
        <v>39403.160000000003</v>
      </c>
      <c r="EL158" s="231">
        <v>93497.36</v>
      </c>
      <c r="EM158" s="231">
        <v>3679</v>
      </c>
      <c r="EN158" s="231">
        <v>199428.7</v>
      </c>
      <c r="EO158" s="231">
        <v>165625.60999999999</v>
      </c>
      <c r="EP158" s="231">
        <v>33803.089999999997</v>
      </c>
      <c r="EQ158" s="229">
        <v>0.2041</v>
      </c>
      <c r="ER158" s="231">
        <v>72536</v>
      </c>
      <c r="ES158" s="231">
        <v>53656</v>
      </c>
      <c r="ET158" s="231">
        <v>176437</v>
      </c>
      <c r="EU158" s="231">
        <v>95930888</v>
      </c>
      <c r="EV158" s="231">
        <v>302629</v>
      </c>
      <c r="EW158" s="231">
        <v>313237</v>
      </c>
      <c r="EX158" s="231">
        <v>-10608</v>
      </c>
      <c r="EY158" s="229">
        <v>-3.39E-2</v>
      </c>
      <c r="EZ158" s="229">
        <v>0.2777</v>
      </c>
      <c r="FA158" s="227" t="s">
        <v>567</v>
      </c>
      <c r="FB158" s="161">
        <f t="shared" si="3"/>
        <v>0</v>
      </c>
    </row>
    <row r="159" spans="1:158" ht="17.25" thickBot="1" x14ac:dyDescent="0.3">
      <c r="A159" s="226">
        <v>46135</v>
      </c>
      <c r="B159" s="227" t="s">
        <v>221</v>
      </c>
      <c r="C159" s="227" t="s">
        <v>529</v>
      </c>
      <c r="D159" s="228">
        <v>100</v>
      </c>
      <c r="E159" s="231">
        <v>5068.8</v>
      </c>
      <c r="F159" s="231">
        <v>5091.8</v>
      </c>
      <c r="G159" s="228">
        <v>-23</v>
      </c>
      <c r="H159" s="229">
        <v>-4.4999999999999997E-3</v>
      </c>
      <c r="I159" s="231">
        <v>5065.2</v>
      </c>
      <c r="J159" s="231">
        <v>5073.3</v>
      </c>
      <c r="K159" s="228">
        <v>-8.1</v>
      </c>
      <c r="L159" s="229">
        <v>-1.6000000000000001E-3</v>
      </c>
      <c r="M159" s="231">
        <v>5068.8</v>
      </c>
      <c r="N159" s="231">
        <v>5091.8</v>
      </c>
      <c r="O159" s="228">
        <v>-23</v>
      </c>
      <c r="P159" s="229">
        <v>-4.4999999999999997E-3</v>
      </c>
      <c r="Q159" s="231">
        <v>4991</v>
      </c>
      <c r="R159" s="231">
        <v>5032.2</v>
      </c>
      <c r="S159" s="228">
        <v>-41.2</v>
      </c>
      <c r="T159" s="229">
        <v>-8.2000000000000007E-3</v>
      </c>
      <c r="U159" s="231">
        <v>4947.5</v>
      </c>
      <c r="V159" s="231">
        <v>5022</v>
      </c>
      <c r="W159" s="228">
        <v>-74.5</v>
      </c>
      <c r="X159" s="229">
        <v>-1.4800000000000001E-2</v>
      </c>
      <c r="Y159" s="228">
        <v>3.6</v>
      </c>
      <c r="Z159" s="228">
        <v>18.5</v>
      </c>
      <c r="AA159" s="228">
        <v>-14.9</v>
      </c>
      <c r="AB159" s="229">
        <v>6.9999999999999999E-4</v>
      </c>
      <c r="AC159" s="228">
        <v>3.6</v>
      </c>
      <c r="AD159" s="228">
        <v>18.5</v>
      </c>
      <c r="AE159" s="228">
        <v>-14.9</v>
      </c>
      <c r="AF159" s="229">
        <v>6.9999999999999999E-4</v>
      </c>
      <c r="AG159" s="228">
        <v>-74.2</v>
      </c>
      <c r="AH159" s="228">
        <v>-41.1</v>
      </c>
      <c r="AI159" s="228">
        <v>-33.1</v>
      </c>
      <c r="AJ159" s="229">
        <v>-1.46E-2</v>
      </c>
      <c r="AK159" s="228">
        <v>-117.7</v>
      </c>
      <c r="AL159" s="228">
        <v>-51.3</v>
      </c>
      <c r="AM159" s="228">
        <v>-66.400000000000006</v>
      </c>
      <c r="AN159" s="229">
        <v>-2.3199999999999998E-2</v>
      </c>
      <c r="AO159" s="231">
        <v>5069.2700000000004</v>
      </c>
      <c r="AP159" s="231">
        <v>4992.28</v>
      </c>
      <c r="AQ159" s="228">
        <v>0</v>
      </c>
      <c r="AR159" s="230">
        <v>4265200</v>
      </c>
      <c r="AS159" s="230">
        <v>3106300</v>
      </c>
      <c r="AT159" s="230">
        <v>1158900</v>
      </c>
      <c r="AU159" s="229">
        <v>0.37309999999999999</v>
      </c>
      <c r="AV159" s="230">
        <v>2190500</v>
      </c>
      <c r="AW159" s="230">
        <v>2225500</v>
      </c>
      <c r="AX159" s="230">
        <v>-35000</v>
      </c>
      <c r="AY159" s="229">
        <v>-1.5699999999999999E-2</v>
      </c>
      <c r="AZ159" s="230">
        <v>2057300</v>
      </c>
      <c r="BA159" s="230">
        <v>847600</v>
      </c>
      <c r="BB159" s="230">
        <v>1209700</v>
      </c>
      <c r="BC159" s="229">
        <v>1.4272</v>
      </c>
      <c r="BD159" s="230">
        <v>17400</v>
      </c>
      <c r="BE159" s="230">
        <v>33200</v>
      </c>
      <c r="BF159" s="230">
        <v>-15800</v>
      </c>
      <c r="BG159" s="229">
        <v>-0.47589999999999999</v>
      </c>
      <c r="BH159" s="230">
        <v>5670900</v>
      </c>
      <c r="BI159" s="230">
        <v>11025200</v>
      </c>
      <c r="BJ159" s="230">
        <v>-5354300</v>
      </c>
      <c r="BK159" s="229">
        <v>-0.48559999999999998</v>
      </c>
      <c r="BL159" s="230">
        <v>2675400</v>
      </c>
      <c r="BM159" s="230">
        <v>8026000</v>
      </c>
      <c r="BN159" s="230">
        <v>-5350600</v>
      </c>
      <c r="BO159" s="229">
        <v>-0.66669999999999996</v>
      </c>
      <c r="BP159" s="230">
        <v>12611500</v>
      </c>
      <c r="BQ159" s="230">
        <v>22157500</v>
      </c>
      <c r="BR159" s="230">
        <v>-9546000</v>
      </c>
      <c r="BS159" s="229">
        <v>-0.43080000000000002</v>
      </c>
      <c r="BT159" s="230">
        <v>636821</v>
      </c>
      <c r="BU159" s="230">
        <v>2345900</v>
      </c>
      <c r="BV159" s="230">
        <v>-1709079</v>
      </c>
      <c r="BW159" s="229">
        <v>-0.72850000000000004</v>
      </c>
      <c r="BX159" s="230">
        <v>5644200</v>
      </c>
      <c r="BY159" s="230">
        <v>6350300</v>
      </c>
      <c r="BZ159" s="230">
        <v>-706100</v>
      </c>
      <c r="CA159" s="229">
        <v>-0.11119999999999999</v>
      </c>
      <c r="CB159" s="230">
        <v>3236700</v>
      </c>
      <c r="CC159" s="230">
        <v>4809700</v>
      </c>
      <c r="CD159" s="230">
        <v>-1573000</v>
      </c>
      <c r="CE159" s="229">
        <v>-0.32700000000000001</v>
      </c>
      <c r="CF159" s="230">
        <v>2341900</v>
      </c>
      <c r="CG159" s="230">
        <v>1481500</v>
      </c>
      <c r="CH159" s="230">
        <v>860400</v>
      </c>
      <c r="CI159" s="229">
        <v>0.58079999999999998</v>
      </c>
      <c r="CJ159" s="230">
        <v>65600</v>
      </c>
      <c r="CK159" s="230">
        <v>59100</v>
      </c>
      <c r="CL159" s="230">
        <v>6500</v>
      </c>
      <c r="CM159" s="229">
        <v>0.11</v>
      </c>
      <c r="CN159" s="230">
        <v>2607600</v>
      </c>
      <c r="CO159" s="230">
        <v>2833100</v>
      </c>
      <c r="CP159" s="230">
        <v>-225500</v>
      </c>
      <c r="CQ159" s="229">
        <v>-7.9600000000000004E-2</v>
      </c>
      <c r="CR159" s="230">
        <v>1381900</v>
      </c>
      <c r="CS159" s="230">
        <v>1452300</v>
      </c>
      <c r="CT159" s="230">
        <v>-70400</v>
      </c>
      <c r="CU159" s="229">
        <v>-4.8500000000000001E-2</v>
      </c>
      <c r="CV159" s="230">
        <v>9633700</v>
      </c>
      <c r="CW159" s="230">
        <v>10635700</v>
      </c>
      <c r="CX159" s="230">
        <v>-1002000</v>
      </c>
      <c r="CY159" s="229">
        <v>-9.4200000000000006E-2</v>
      </c>
      <c r="CZ159" s="228">
        <v>38.950000000000003</v>
      </c>
      <c r="DA159" s="228">
        <v>46.04</v>
      </c>
      <c r="DB159" s="228">
        <v>-7.09</v>
      </c>
      <c r="DC159" s="228">
        <v>-7.09</v>
      </c>
      <c r="DD159" s="228">
        <v>40.369999999999997</v>
      </c>
      <c r="DE159" s="228">
        <v>40.47</v>
      </c>
      <c r="DF159" s="228">
        <v>-1.42</v>
      </c>
      <c r="DG159" s="228">
        <v>-0.1</v>
      </c>
      <c r="DH159" s="228">
        <v>38.9</v>
      </c>
      <c r="DI159" s="228">
        <v>47.1</v>
      </c>
      <c r="DJ159" s="228">
        <v>-8.1999999999999993</v>
      </c>
      <c r="DK159" s="228">
        <v>-8.1999999999999993</v>
      </c>
      <c r="DL159" s="228">
        <v>39.049999999999997</v>
      </c>
      <c r="DM159" s="228">
        <v>44.59</v>
      </c>
      <c r="DN159" s="228">
        <v>-5.54</v>
      </c>
      <c r="DO159" s="228">
        <v>-5.54</v>
      </c>
      <c r="DP159" s="228">
        <v>0.53</v>
      </c>
      <c r="DQ159" s="228">
        <v>0.51</v>
      </c>
      <c r="DR159" s="228">
        <v>0.02</v>
      </c>
      <c r="DS159" s="229">
        <v>3.9199999999999999E-2</v>
      </c>
      <c r="DT159" s="231">
        <v>5500</v>
      </c>
      <c r="DU159" s="231">
        <v>5000</v>
      </c>
      <c r="DV159" s="228">
        <v>0.47</v>
      </c>
      <c r="DW159" s="228">
        <v>0.73</v>
      </c>
      <c r="DX159" s="228">
        <v>-0.26</v>
      </c>
      <c r="DY159" s="229">
        <v>-0.35620000000000002</v>
      </c>
      <c r="DZ159" s="229">
        <v>0.42649999999999999</v>
      </c>
      <c r="EA159" s="230">
        <v>1540600</v>
      </c>
      <c r="EB159" s="229">
        <v>-1.5299999999999999E-2</v>
      </c>
      <c r="EC159" s="229">
        <v>0.42649999999999999</v>
      </c>
      <c r="ED159" s="228">
        <v>-76.989999999999995</v>
      </c>
      <c r="EE159" s="229">
        <v>-1.52E-2</v>
      </c>
      <c r="EF159" s="230">
        <v>188490</v>
      </c>
      <c r="EG159" s="230">
        <v>1078092</v>
      </c>
      <c r="EH159" s="229">
        <v>-0.82520000000000004</v>
      </c>
      <c r="EI159" s="229">
        <v>0.29599999999999999</v>
      </c>
      <c r="EJ159" s="231">
        <v>304284.11</v>
      </c>
      <c r="EK159" s="231">
        <v>134453.6</v>
      </c>
      <c r="EL159" s="231">
        <v>214614.42</v>
      </c>
      <c r="EM159" s="231">
        <v>19339</v>
      </c>
      <c r="EN159" s="231">
        <v>653352.13</v>
      </c>
      <c r="EO159" s="231">
        <v>1170307.8899999999</v>
      </c>
      <c r="EP159" s="231">
        <v>-516955.76</v>
      </c>
      <c r="EQ159" s="229">
        <v>-0.44169999999999998</v>
      </c>
      <c r="ER159" s="231">
        <v>141338</v>
      </c>
      <c r="ES159" s="231">
        <v>68555</v>
      </c>
      <c r="ET159" s="231">
        <v>284192</v>
      </c>
      <c r="EU159" s="231">
        <v>16286398</v>
      </c>
      <c r="EV159" s="231">
        <v>494085</v>
      </c>
      <c r="EW159" s="231">
        <v>548251</v>
      </c>
      <c r="EX159" s="231">
        <v>-54166</v>
      </c>
      <c r="EY159" s="229">
        <v>-9.8799999999999999E-2</v>
      </c>
      <c r="EZ159" s="229">
        <v>0.59150000000000003</v>
      </c>
      <c r="FA159" s="227" t="s">
        <v>567</v>
      </c>
      <c r="FB159" s="161">
        <f t="shared" si="3"/>
        <v>0</v>
      </c>
    </row>
    <row r="160" spans="1:158" ht="17.25" thickBot="1" x14ac:dyDescent="0.3">
      <c r="A160" s="226">
        <v>46135</v>
      </c>
      <c r="B160" s="227" t="s">
        <v>193</v>
      </c>
      <c r="C160" s="227" t="s">
        <v>272</v>
      </c>
      <c r="D160" s="228">
        <v>1900</v>
      </c>
      <c r="E160" s="228">
        <v>275.60000000000002</v>
      </c>
      <c r="F160" s="228">
        <v>279.64</v>
      </c>
      <c r="G160" s="228">
        <v>-4.04</v>
      </c>
      <c r="H160" s="229">
        <v>-1.44E-2</v>
      </c>
      <c r="I160" s="228">
        <v>275.81</v>
      </c>
      <c r="J160" s="228">
        <v>279.55</v>
      </c>
      <c r="K160" s="228">
        <v>-3.74</v>
      </c>
      <c r="L160" s="229">
        <v>-1.34E-2</v>
      </c>
      <c r="M160" s="228">
        <v>275.60000000000002</v>
      </c>
      <c r="N160" s="228">
        <v>279.64</v>
      </c>
      <c r="O160" s="228">
        <v>-4.04</v>
      </c>
      <c r="P160" s="229">
        <v>-1.44E-2</v>
      </c>
      <c r="Q160" s="228">
        <v>274.32</v>
      </c>
      <c r="R160" s="228">
        <v>279.05</v>
      </c>
      <c r="S160" s="228">
        <v>-4.7300000000000004</v>
      </c>
      <c r="T160" s="229">
        <v>-1.7000000000000001E-2</v>
      </c>
      <c r="U160" s="228">
        <v>274.77</v>
      </c>
      <c r="V160" s="228">
        <v>279.81</v>
      </c>
      <c r="W160" s="228">
        <v>-5.04</v>
      </c>
      <c r="X160" s="229">
        <v>-1.7999999999999999E-2</v>
      </c>
      <c r="Y160" s="228">
        <v>-0.21</v>
      </c>
      <c r="Z160" s="228">
        <v>0.09</v>
      </c>
      <c r="AA160" s="228">
        <v>-0.3</v>
      </c>
      <c r="AB160" s="229">
        <v>-8.0000000000000004E-4</v>
      </c>
      <c r="AC160" s="228">
        <v>-0.21</v>
      </c>
      <c r="AD160" s="228">
        <v>0.09</v>
      </c>
      <c r="AE160" s="228">
        <v>-0.3</v>
      </c>
      <c r="AF160" s="229">
        <v>-8.0000000000000004E-4</v>
      </c>
      <c r="AG160" s="228">
        <v>-1.49</v>
      </c>
      <c r="AH160" s="228">
        <v>-0.5</v>
      </c>
      <c r="AI160" s="228">
        <v>-0.99</v>
      </c>
      <c r="AJ160" s="229">
        <v>-5.4000000000000003E-3</v>
      </c>
      <c r="AK160" s="228">
        <v>-1.04</v>
      </c>
      <c r="AL160" s="228">
        <v>0.26</v>
      </c>
      <c r="AM160" s="228">
        <v>-1.3</v>
      </c>
      <c r="AN160" s="229">
        <v>-3.8E-3</v>
      </c>
      <c r="AO160" s="228">
        <v>276.23</v>
      </c>
      <c r="AP160" s="228">
        <v>274.54000000000002</v>
      </c>
      <c r="AQ160" s="228">
        <v>0</v>
      </c>
      <c r="AR160" s="230">
        <v>29959200</v>
      </c>
      <c r="AS160" s="230">
        <v>4713900</v>
      </c>
      <c r="AT160" s="230">
        <v>25245300</v>
      </c>
      <c r="AU160" s="229">
        <v>5.3555000000000001</v>
      </c>
      <c r="AV160" s="230">
        <v>15184800</v>
      </c>
      <c r="AW160" s="230">
        <v>3059000</v>
      </c>
      <c r="AX160" s="230">
        <v>12125800</v>
      </c>
      <c r="AY160" s="229">
        <v>3.964</v>
      </c>
      <c r="AZ160" s="230">
        <v>14679400</v>
      </c>
      <c r="BA160" s="230">
        <v>1628300</v>
      </c>
      <c r="BB160" s="230">
        <v>13051100</v>
      </c>
      <c r="BC160" s="229">
        <v>8.0152000000000001</v>
      </c>
      <c r="BD160" s="230">
        <v>95000</v>
      </c>
      <c r="BE160" s="230">
        <v>26600</v>
      </c>
      <c r="BF160" s="230">
        <v>68400</v>
      </c>
      <c r="BG160" s="229">
        <v>2.5714000000000001</v>
      </c>
      <c r="BH160" s="230">
        <v>11097900</v>
      </c>
      <c r="BI160" s="230">
        <v>11909200</v>
      </c>
      <c r="BJ160" s="230">
        <v>-811300</v>
      </c>
      <c r="BK160" s="229">
        <v>-6.8099999999999994E-2</v>
      </c>
      <c r="BL160" s="230">
        <v>5817800</v>
      </c>
      <c r="BM160" s="230">
        <v>4419400</v>
      </c>
      <c r="BN160" s="230">
        <v>1398400</v>
      </c>
      <c r="BO160" s="229">
        <v>0.31640000000000001</v>
      </c>
      <c r="BP160" s="230">
        <v>46874900</v>
      </c>
      <c r="BQ160" s="230">
        <v>21042500</v>
      </c>
      <c r="BR160" s="230">
        <v>25832400</v>
      </c>
      <c r="BS160" s="229">
        <v>1.2276</v>
      </c>
      <c r="BT160" s="230">
        <v>2297691</v>
      </c>
      <c r="BU160" s="230">
        <v>1250491</v>
      </c>
      <c r="BV160" s="230">
        <v>1047200</v>
      </c>
      <c r="BW160" s="229">
        <v>0.83740000000000003</v>
      </c>
      <c r="BX160" s="230">
        <v>35397000</v>
      </c>
      <c r="BY160" s="230">
        <v>36979700</v>
      </c>
      <c r="BZ160" s="230">
        <v>-1582700</v>
      </c>
      <c r="CA160" s="229">
        <v>-4.2799999999999998E-2</v>
      </c>
      <c r="CB160" s="230">
        <v>23056500</v>
      </c>
      <c r="CC160" s="230">
        <v>34300700</v>
      </c>
      <c r="CD160" s="230">
        <v>-11244200</v>
      </c>
      <c r="CE160" s="229">
        <v>-0.32779999999999998</v>
      </c>
      <c r="CF160" s="230">
        <v>12158100</v>
      </c>
      <c r="CG160" s="230">
        <v>2521300</v>
      </c>
      <c r="CH160" s="230">
        <v>9636800</v>
      </c>
      <c r="CI160" s="229">
        <v>3.8222</v>
      </c>
      <c r="CJ160" s="230">
        <v>182400</v>
      </c>
      <c r="CK160" s="230">
        <v>157700</v>
      </c>
      <c r="CL160" s="230">
        <v>24700</v>
      </c>
      <c r="CM160" s="229">
        <v>0.15659999999999999</v>
      </c>
      <c r="CN160" s="230">
        <v>15397600</v>
      </c>
      <c r="CO160" s="230">
        <v>16435000</v>
      </c>
      <c r="CP160" s="230">
        <v>-1037400</v>
      </c>
      <c r="CQ160" s="229">
        <v>-6.3100000000000003E-2</v>
      </c>
      <c r="CR160" s="230">
        <v>10740700</v>
      </c>
      <c r="CS160" s="230">
        <v>10486100</v>
      </c>
      <c r="CT160" s="230">
        <v>254600</v>
      </c>
      <c r="CU160" s="229">
        <v>2.4299999999999999E-2</v>
      </c>
      <c r="CV160" s="230">
        <v>61535300</v>
      </c>
      <c r="CW160" s="230">
        <v>63900800</v>
      </c>
      <c r="CX160" s="230">
        <v>-2365500</v>
      </c>
      <c r="CY160" s="229">
        <v>-3.6999999999999998E-2</v>
      </c>
      <c r="CZ160" s="228">
        <v>33.79</v>
      </c>
      <c r="DA160" s="228">
        <v>37.549999999999997</v>
      </c>
      <c r="DB160" s="228">
        <v>-3.76</v>
      </c>
      <c r="DC160" s="228">
        <v>-3.76</v>
      </c>
      <c r="DD160" s="228">
        <v>38.93</v>
      </c>
      <c r="DE160" s="228">
        <v>38.979999999999997</v>
      </c>
      <c r="DF160" s="228">
        <v>-5.14</v>
      </c>
      <c r="DG160" s="228">
        <v>-0.05</v>
      </c>
      <c r="DH160" s="228">
        <v>34.17</v>
      </c>
      <c r="DI160" s="228">
        <v>36.6</v>
      </c>
      <c r="DJ160" s="228">
        <v>-2.4300000000000002</v>
      </c>
      <c r="DK160" s="228">
        <v>-2.4300000000000002</v>
      </c>
      <c r="DL160" s="228">
        <v>33.33</v>
      </c>
      <c r="DM160" s="228">
        <v>40.11</v>
      </c>
      <c r="DN160" s="228">
        <v>-6.78</v>
      </c>
      <c r="DO160" s="228">
        <v>-6.78</v>
      </c>
      <c r="DP160" s="228">
        <v>0.7</v>
      </c>
      <c r="DQ160" s="228">
        <v>0.64</v>
      </c>
      <c r="DR160" s="228">
        <v>0.06</v>
      </c>
      <c r="DS160" s="229">
        <v>9.3700000000000006E-2</v>
      </c>
      <c r="DT160" s="228">
        <v>300</v>
      </c>
      <c r="DU160" s="228">
        <v>250</v>
      </c>
      <c r="DV160" s="228">
        <v>0.52</v>
      </c>
      <c r="DW160" s="228">
        <v>0.37</v>
      </c>
      <c r="DX160" s="228">
        <v>0.15</v>
      </c>
      <c r="DY160" s="229">
        <v>0.40539999999999998</v>
      </c>
      <c r="DZ160" s="229">
        <v>0.34860000000000002</v>
      </c>
      <c r="EA160" s="230">
        <v>2679000</v>
      </c>
      <c r="EB160" s="229">
        <v>-4.5999999999999999E-3</v>
      </c>
      <c r="EC160" s="229">
        <v>0.34860000000000002</v>
      </c>
      <c r="ED160" s="228">
        <v>-1.69</v>
      </c>
      <c r="EE160" s="229">
        <v>-6.1000000000000004E-3</v>
      </c>
      <c r="EF160" s="230">
        <v>1112478</v>
      </c>
      <c r="EG160" s="230">
        <v>512326</v>
      </c>
      <c r="EH160" s="229">
        <v>1.1714</v>
      </c>
      <c r="EI160" s="229">
        <v>0.48420000000000002</v>
      </c>
      <c r="EJ160" s="231">
        <v>32157.16</v>
      </c>
      <c r="EK160" s="231">
        <v>15582.92</v>
      </c>
      <c r="EL160" s="231">
        <v>82508.399999999994</v>
      </c>
      <c r="EM160" s="231">
        <v>1856</v>
      </c>
      <c r="EN160" s="231">
        <v>130248.48</v>
      </c>
      <c r="EO160" s="231">
        <v>59395.99</v>
      </c>
      <c r="EP160" s="231">
        <v>70852.490000000005</v>
      </c>
      <c r="EQ160" s="229">
        <v>1.1929000000000001</v>
      </c>
      <c r="ER160" s="231">
        <v>43394</v>
      </c>
      <c r="ES160" s="231">
        <v>27745</v>
      </c>
      <c r="ET160" s="231">
        <v>97397</v>
      </c>
      <c r="EU160" s="231">
        <v>112500013</v>
      </c>
      <c r="EV160" s="231">
        <v>168536</v>
      </c>
      <c r="EW160" s="231">
        <v>176880</v>
      </c>
      <c r="EX160" s="231">
        <v>-8344</v>
      </c>
      <c r="EY160" s="229">
        <v>-4.7199999999999999E-2</v>
      </c>
      <c r="EZ160" s="229">
        <v>0.54700000000000004</v>
      </c>
      <c r="FA160" s="227" t="s">
        <v>567</v>
      </c>
      <c r="FB160" s="161">
        <f t="shared" si="3"/>
        <v>0</v>
      </c>
    </row>
    <row r="161" spans="1:158" ht="17.25" thickBot="1" x14ac:dyDescent="0.3">
      <c r="A161" s="226">
        <v>46135</v>
      </c>
      <c r="B161" s="227" t="s">
        <v>175</v>
      </c>
      <c r="C161" s="227" t="s">
        <v>273</v>
      </c>
      <c r="D161" s="228">
        <v>1300</v>
      </c>
      <c r="E161" s="228">
        <v>469</v>
      </c>
      <c r="F161" s="228">
        <v>470.85</v>
      </c>
      <c r="G161" s="228">
        <v>-1.85</v>
      </c>
      <c r="H161" s="229">
        <v>-3.8999999999999998E-3</v>
      </c>
      <c r="I161" s="228">
        <v>469.8</v>
      </c>
      <c r="J161" s="228">
        <v>470.3</v>
      </c>
      <c r="K161" s="228">
        <v>-0.5</v>
      </c>
      <c r="L161" s="229">
        <v>-1.1000000000000001E-3</v>
      </c>
      <c r="M161" s="228">
        <v>469</v>
      </c>
      <c r="N161" s="228">
        <v>470.85</v>
      </c>
      <c r="O161" s="228">
        <v>-1.85</v>
      </c>
      <c r="P161" s="229">
        <v>-3.8999999999999998E-3</v>
      </c>
      <c r="Q161" s="228">
        <v>470</v>
      </c>
      <c r="R161" s="228">
        <v>473.55</v>
      </c>
      <c r="S161" s="228">
        <v>-3.55</v>
      </c>
      <c r="T161" s="229">
        <v>-7.4999999999999997E-3</v>
      </c>
      <c r="U161" s="228">
        <v>472.05</v>
      </c>
      <c r="V161" s="228">
        <v>475.75</v>
      </c>
      <c r="W161" s="228">
        <v>-3.7</v>
      </c>
      <c r="X161" s="229">
        <v>-7.7999999999999996E-3</v>
      </c>
      <c r="Y161" s="228">
        <v>-0.8</v>
      </c>
      <c r="Z161" s="228">
        <v>0.55000000000000004</v>
      </c>
      <c r="AA161" s="228">
        <v>-1.35</v>
      </c>
      <c r="AB161" s="229">
        <v>-1.6999999999999999E-3</v>
      </c>
      <c r="AC161" s="228">
        <v>-0.8</v>
      </c>
      <c r="AD161" s="228">
        <v>0.55000000000000004</v>
      </c>
      <c r="AE161" s="228">
        <v>-1.35</v>
      </c>
      <c r="AF161" s="229">
        <v>-1.6999999999999999E-3</v>
      </c>
      <c r="AG161" s="228">
        <v>0.2</v>
      </c>
      <c r="AH161" s="228">
        <v>3.25</v>
      </c>
      <c r="AI161" s="228">
        <v>-3.05</v>
      </c>
      <c r="AJ161" s="229">
        <v>4.0000000000000002E-4</v>
      </c>
      <c r="AK161" s="228">
        <v>2.25</v>
      </c>
      <c r="AL161" s="228">
        <v>5.45</v>
      </c>
      <c r="AM161" s="228">
        <v>-3.2</v>
      </c>
      <c r="AN161" s="229">
        <v>4.7999999999999996E-3</v>
      </c>
      <c r="AO161" s="228">
        <v>469.31</v>
      </c>
      <c r="AP161" s="228">
        <v>470.93</v>
      </c>
      <c r="AQ161" s="228">
        <v>0</v>
      </c>
      <c r="AR161" s="230">
        <v>29833700</v>
      </c>
      <c r="AS161" s="230">
        <v>12140700</v>
      </c>
      <c r="AT161" s="230">
        <v>17693000</v>
      </c>
      <c r="AU161" s="229">
        <v>1.4573</v>
      </c>
      <c r="AV161" s="230">
        <v>15841800</v>
      </c>
      <c r="AW161" s="230">
        <v>7883200</v>
      </c>
      <c r="AX161" s="230">
        <v>7958600</v>
      </c>
      <c r="AY161" s="229">
        <v>1.0096000000000001</v>
      </c>
      <c r="AZ161" s="230">
        <v>13798200</v>
      </c>
      <c r="BA161" s="230">
        <v>4069000</v>
      </c>
      <c r="BB161" s="230">
        <v>9729200</v>
      </c>
      <c r="BC161" s="229">
        <v>2.3910999999999998</v>
      </c>
      <c r="BD161" s="230">
        <v>193700</v>
      </c>
      <c r="BE161" s="230">
        <v>188500</v>
      </c>
      <c r="BF161" s="230">
        <v>5200</v>
      </c>
      <c r="BG161" s="229">
        <v>2.76E-2</v>
      </c>
      <c r="BH161" s="230">
        <v>26044200</v>
      </c>
      <c r="BI161" s="230">
        <v>28670200</v>
      </c>
      <c r="BJ161" s="230">
        <v>-2626000</v>
      </c>
      <c r="BK161" s="229">
        <v>-9.1600000000000001E-2</v>
      </c>
      <c r="BL161" s="230">
        <v>12008100</v>
      </c>
      <c r="BM161" s="230">
        <v>15063100</v>
      </c>
      <c r="BN161" s="230">
        <v>-3055000</v>
      </c>
      <c r="BO161" s="229">
        <v>-0.20280000000000001</v>
      </c>
      <c r="BP161" s="230">
        <v>67886000</v>
      </c>
      <c r="BQ161" s="230">
        <v>55874000</v>
      </c>
      <c r="BR161" s="230">
        <v>12012000</v>
      </c>
      <c r="BS161" s="229">
        <v>0.215</v>
      </c>
      <c r="BT161" s="230">
        <v>6830073</v>
      </c>
      <c r="BU161" s="230">
        <v>5366987</v>
      </c>
      <c r="BV161" s="230">
        <v>1463086</v>
      </c>
      <c r="BW161" s="229">
        <v>0.27260000000000001</v>
      </c>
      <c r="BX161" s="230">
        <v>59117500</v>
      </c>
      <c r="BY161" s="230">
        <v>60179600</v>
      </c>
      <c r="BZ161" s="230">
        <v>-1062100</v>
      </c>
      <c r="CA161" s="229">
        <v>-1.7600000000000001E-2</v>
      </c>
      <c r="CB161" s="230">
        <v>34167900</v>
      </c>
      <c r="CC161" s="230">
        <v>45995300</v>
      </c>
      <c r="CD161" s="230">
        <v>-11827400</v>
      </c>
      <c r="CE161" s="229">
        <v>-0.2571</v>
      </c>
      <c r="CF161" s="230">
        <v>24246300</v>
      </c>
      <c r="CG161" s="230">
        <v>13561600</v>
      </c>
      <c r="CH161" s="230">
        <v>10684700</v>
      </c>
      <c r="CI161" s="229">
        <v>0.78790000000000004</v>
      </c>
      <c r="CJ161" s="230">
        <v>703300</v>
      </c>
      <c r="CK161" s="230">
        <v>622700</v>
      </c>
      <c r="CL161" s="230">
        <v>80600</v>
      </c>
      <c r="CM161" s="229">
        <v>0.12939999999999999</v>
      </c>
      <c r="CN161" s="230">
        <v>26456300</v>
      </c>
      <c r="CO161" s="230">
        <v>26780000</v>
      </c>
      <c r="CP161" s="230">
        <v>-323700</v>
      </c>
      <c r="CQ161" s="229">
        <v>-1.21E-2</v>
      </c>
      <c r="CR161" s="230">
        <v>20494500</v>
      </c>
      <c r="CS161" s="230">
        <v>20722000</v>
      </c>
      <c r="CT161" s="230">
        <v>-227500</v>
      </c>
      <c r="CU161" s="229">
        <v>-1.0999999999999999E-2</v>
      </c>
      <c r="CV161" s="230">
        <v>106068300</v>
      </c>
      <c r="CW161" s="230">
        <v>107681600</v>
      </c>
      <c r="CX161" s="230">
        <v>-1613300</v>
      </c>
      <c r="CY161" s="229">
        <v>-1.4999999999999999E-2</v>
      </c>
      <c r="CZ161" s="228">
        <v>34.340000000000003</v>
      </c>
      <c r="DA161" s="228">
        <v>32.97</v>
      </c>
      <c r="DB161" s="228">
        <v>1.37</v>
      </c>
      <c r="DC161" s="228">
        <v>1.37</v>
      </c>
      <c r="DD161" s="228">
        <v>42.01</v>
      </c>
      <c r="DE161" s="228">
        <v>42.11</v>
      </c>
      <c r="DF161" s="228">
        <v>-7.67</v>
      </c>
      <c r="DG161" s="228">
        <v>-0.1</v>
      </c>
      <c r="DH161" s="228">
        <v>34.549999999999997</v>
      </c>
      <c r="DI161" s="228">
        <v>31.35</v>
      </c>
      <c r="DJ161" s="228">
        <v>3.2</v>
      </c>
      <c r="DK161" s="228">
        <v>3.2</v>
      </c>
      <c r="DL161" s="228">
        <v>33.9</v>
      </c>
      <c r="DM161" s="228">
        <v>36.04</v>
      </c>
      <c r="DN161" s="228">
        <v>-2.14</v>
      </c>
      <c r="DO161" s="228">
        <v>-2.14</v>
      </c>
      <c r="DP161" s="228">
        <v>0.77</v>
      </c>
      <c r="DQ161" s="228">
        <v>0.77</v>
      </c>
      <c r="DR161" s="228">
        <v>0</v>
      </c>
      <c r="DS161" s="229">
        <v>0</v>
      </c>
      <c r="DT161" s="228">
        <v>480</v>
      </c>
      <c r="DU161" s="228">
        <v>450</v>
      </c>
      <c r="DV161" s="228">
        <v>0.46</v>
      </c>
      <c r="DW161" s="228">
        <v>0.53</v>
      </c>
      <c r="DX161" s="228">
        <v>-7.0000000000000007E-2</v>
      </c>
      <c r="DY161" s="229">
        <v>-0.1321</v>
      </c>
      <c r="DZ161" s="229">
        <v>0.42199999999999999</v>
      </c>
      <c r="EA161" s="230">
        <v>14184300</v>
      </c>
      <c r="EB161" s="229">
        <v>2.0999999999999999E-3</v>
      </c>
      <c r="EC161" s="229">
        <v>0.42199999999999999</v>
      </c>
      <c r="ED161" s="228">
        <v>1.62</v>
      </c>
      <c r="EE161" s="229">
        <v>3.5000000000000001E-3</v>
      </c>
      <c r="EF161" s="230">
        <v>4086986</v>
      </c>
      <c r="EG161" s="230">
        <v>2680091</v>
      </c>
      <c r="EH161" s="229">
        <v>0.52490000000000003</v>
      </c>
      <c r="EI161" s="229">
        <v>0.59840000000000004</v>
      </c>
      <c r="EJ161" s="231">
        <v>126417.5</v>
      </c>
      <c r="EK161" s="231">
        <v>55341.120000000003</v>
      </c>
      <c r="EL161" s="231">
        <v>140244.79</v>
      </c>
      <c r="EM161" s="231">
        <v>11084</v>
      </c>
      <c r="EN161" s="231">
        <v>322003.40999999997</v>
      </c>
      <c r="EO161" s="231">
        <v>266356.99</v>
      </c>
      <c r="EP161" s="231">
        <v>55646.42</v>
      </c>
      <c r="EQ161" s="229">
        <v>0.2089</v>
      </c>
      <c r="ER161" s="231">
        <v>120168</v>
      </c>
      <c r="ES161" s="231">
        <v>88072</v>
      </c>
      <c r="ET161" s="231">
        <v>277525</v>
      </c>
      <c r="EU161" s="231">
        <v>217835555</v>
      </c>
      <c r="EV161" s="231">
        <v>485766</v>
      </c>
      <c r="EW161" s="231">
        <v>494031</v>
      </c>
      <c r="EX161" s="231">
        <v>-8265</v>
      </c>
      <c r="EY161" s="229">
        <v>-1.67E-2</v>
      </c>
      <c r="EZ161" s="229">
        <v>0.4869</v>
      </c>
      <c r="FA161" s="227" t="s">
        <v>567</v>
      </c>
      <c r="FB161" s="161">
        <f t="shared" si="3"/>
        <v>0</v>
      </c>
    </row>
    <row r="162" spans="1:158" ht="17.25" thickBot="1" x14ac:dyDescent="0.3">
      <c r="A162" s="226">
        <v>46135</v>
      </c>
      <c r="B162" s="227" t="s">
        <v>184</v>
      </c>
      <c r="C162" s="227" t="s">
        <v>678</v>
      </c>
      <c r="D162" s="228">
        <v>950</v>
      </c>
      <c r="E162" s="228">
        <v>552.15</v>
      </c>
      <c r="F162" s="228">
        <v>570.75</v>
      </c>
      <c r="G162" s="228">
        <v>-18.600000000000001</v>
      </c>
      <c r="H162" s="229">
        <v>-3.2599999999999997E-2</v>
      </c>
      <c r="I162" s="228">
        <v>550.5</v>
      </c>
      <c r="J162" s="228">
        <v>568.65</v>
      </c>
      <c r="K162" s="228">
        <v>-18.149999999999999</v>
      </c>
      <c r="L162" s="229">
        <v>-3.1899999999999998E-2</v>
      </c>
      <c r="M162" s="228">
        <v>552.15</v>
      </c>
      <c r="N162" s="228">
        <v>570.75</v>
      </c>
      <c r="O162" s="228">
        <v>-18.600000000000001</v>
      </c>
      <c r="P162" s="229">
        <v>-3.2599999999999997E-2</v>
      </c>
      <c r="Q162" s="228">
        <v>547.45000000000005</v>
      </c>
      <c r="R162" s="228">
        <v>562.4</v>
      </c>
      <c r="S162" s="228">
        <v>-14.95</v>
      </c>
      <c r="T162" s="229">
        <v>-2.6599999999999999E-2</v>
      </c>
      <c r="U162" s="228">
        <v>545.1</v>
      </c>
      <c r="V162" s="228">
        <v>560.9</v>
      </c>
      <c r="W162" s="228">
        <v>-15.8</v>
      </c>
      <c r="X162" s="229">
        <v>-2.8199999999999999E-2</v>
      </c>
      <c r="Y162" s="228">
        <v>1.65</v>
      </c>
      <c r="Z162" s="228">
        <v>2.1</v>
      </c>
      <c r="AA162" s="228">
        <v>-0.45</v>
      </c>
      <c r="AB162" s="229">
        <v>3.0000000000000001E-3</v>
      </c>
      <c r="AC162" s="228">
        <v>1.65</v>
      </c>
      <c r="AD162" s="228">
        <v>2.1</v>
      </c>
      <c r="AE162" s="228">
        <v>-0.45</v>
      </c>
      <c r="AF162" s="229">
        <v>3.0000000000000001E-3</v>
      </c>
      <c r="AG162" s="228">
        <v>-3.05</v>
      </c>
      <c r="AH162" s="228">
        <v>-6.25</v>
      </c>
      <c r="AI162" s="228">
        <v>3.2</v>
      </c>
      <c r="AJ162" s="229">
        <v>-5.4999999999999997E-3</v>
      </c>
      <c r="AK162" s="228">
        <v>-5.4</v>
      </c>
      <c r="AL162" s="228">
        <v>-7.75</v>
      </c>
      <c r="AM162" s="228">
        <v>2.35</v>
      </c>
      <c r="AN162" s="229">
        <v>-9.7999999999999997E-3</v>
      </c>
      <c r="AO162" s="228">
        <v>556.07000000000005</v>
      </c>
      <c r="AP162" s="228">
        <v>548.07000000000005</v>
      </c>
      <c r="AQ162" s="228">
        <v>0</v>
      </c>
      <c r="AR162" s="230">
        <v>14170200</v>
      </c>
      <c r="AS162" s="230">
        <v>5246850</v>
      </c>
      <c r="AT162" s="230">
        <v>8923350</v>
      </c>
      <c r="AU162" s="229">
        <v>1.7007000000000001</v>
      </c>
      <c r="AV162" s="230">
        <v>7195300</v>
      </c>
      <c r="AW162" s="230">
        <v>3579600</v>
      </c>
      <c r="AX162" s="230">
        <v>3615700</v>
      </c>
      <c r="AY162" s="229">
        <v>1.0101</v>
      </c>
      <c r="AZ162" s="230">
        <v>6846650</v>
      </c>
      <c r="BA162" s="230">
        <v>1482950</v>
      </c>
      <c r="BB162" s="230">
        <v>5363700</v>
      </c>
      <c r="BC162" s="229">
        <v>3.6168999999999998</v>
      </c>
      <c r="BD162" s="230">
        <v>128250</v>
      </c>
      <c r="BE162" s="230">
        <v>184300</v>
      </c>
      <c r="BF162" s="230">
        <v>-56050</v>
      </c>
      <c r="BG162" s="229">
        <v>-0.30409999999999998</v>
      </c>
      <c r="BH162" s="230">
        <v>11557700</v>
      </c>
      <c r="BI162" s="230">
        <v>13442500</v>
      </c>
      <c r="BJ162" s="230">
        <v>-1884800</v>
      </c>
      <c r="BK162" s="229">
        <v>-0.14019999999999999</v>
      </c>
      <c r="BL162" s="230">
        <v>11550100</v>
      </c>
      <c r="BM162" s="230">
        <v>9353700</v>
      </c>
      <c r="BN162" s="230">
        <v>2196400</v>
      </c>
      <c r="BO162" s="229">
        <v>0.23480000000000001</v>
      </c>
      <c r="BP162" s="230">
        <v>37278000</v>
      </c>
      <c r="BQ162" s="230">
        <v>28043050</v>
      </c>
      <c r="BR162" s="230">
        <v>9234950</v>
      </c>
      <c r="BS162" s="229">
        <v>0.32929999999999998</v>
      </c>
      <c r="BT162" s="230">
        <v>3107621</v>
      </c>
      <c r="BU162" s="230">
        <v>3345964</v>
      </c>
      <c r="BV162" s="230">
        <v>-238343</v>
      </c>
      <c r="BW162" s="229">
        <v>-7.1199999999999999E-2</v>
      </c>
      <c r="BX162" s="230">
        <v>15640800</v>
      </c>
      <c r="BY162" s="230">
        <v>16723800</v>
      </c>
      <c r="BZ162" s="230">
        <v>-1083000</v>
      </c>
      <c r="CA162" s="229">
        <v>-6.4799999999999996E-2</v>
      </c>
      <c r="CB162" s="230">
        <v>9817300</v>
      </c>
      <c r="CC162" s="230">
        <v>13566000</v>
      </c>
      <c r="CD162" s="230">
        <v>-3748700</v>
      </c>
      <c r="CE162" s="229">
        <v>-0.27629999999999999</v>
      </c>
      <c r="CF162" s="230">
        <v>5291500</v>
      </c>
      <c r="CG162" s="230">
        <v>2672350</v>
      </c>
      <c r="CH162" s="230">
        <v>2619150</v>
      </c>
      <c r="CI162" s="229">
        <v>0.98009999999999997</v>
      </c>
      <c r="CJ162" s="230">
        <v>532000</v>
      </c>
      <c r="CK162" s="230">
        <v>485450</v>
      </c>
      <c r="CL162" s="230">
        <v>46550</v>
      </c>
      <c r="CM162" s="229">
        <v>9.5899999999999999E-2</v>
      </c>
      <c r="CN162" s="230">
        <v>8474950</v>
      </c>
      <c r="CO162" s="230">
        <v>8428400</v>
      </c>
      <c r="CP162" s="230">
        <v>46550</v>
      </c>
      <c r="CQ162" s="229">
        <v>5.4999999999999997E-3</v>
      </c>
      <c r="CR162" s="230">
        <v>8277350</v>
      </c>
      <c r="CS162" s="230">
        <v>8848300</v>
      </c>
      <c r="CT162" s="230">
        <v>-570950</v>
      </c>
      <c r="CU162" s="229">
        <v>-6.4500000000000002E-2</v>
      </c>
      <c r="CV162" s="230">
        <v>32393100</v>
      </c>
      <c r="CW162" s="230">
        <v>34000500</v>
      </c>
      <c r="CX162" s="230">
        <v>-1607400</v>
      </c>
      <c r="CY162" s="229">
        <v>-4.7300000000000002E-2</v>
      </c>
      <c r="CZ162" s="228">
        <v>58.47</v>
      </c>
      <c r="DA162" s="228">
        <v>42.79</v>
      </c>
      <c r="DB162" s="228">
        <v>15.68</v>
      </c>
      <c r="DC162" s="228">
        <v>15.68</v>
      </c>
      <c r="DD162" s="228">
        <v>67.709999999999994</v>
      </c>
      <c r="DE162" s="228">
        <v>67.73</v>
      </c>
      <c r="DF162" s="228">
        <v>-9.24</v>
      </c>
      <c r="DG162" s="228">
        <v>-0.02</v>
      </c>
      <c r="DH162" s="228">
        <v>58.49</v>
      </c>
      <c r="DI162" s="228">
        <v>40.369999999999997</v>
      </c>
      <c r="DJ162" s="228">
        <v>18.12</v>
      </c>
      <c r="DK162" s="228">
        <v>18.12</v>
      </c>
      <c r="DL162" s="228">
        <v>58.42</v>
      </c>
      <c r="DM162" s="228">
        <v>46.28</v>
      </c>
      <c r="DN162" s="228">
        <v>12.14</v>
      </c>
      <c r="DO162" s="228">
        <v>12.14</v>
      </c>
      <c r="DP162" s="228">
        <v>0.98</v>
      </c>
      <c r="DQ162" s="228">
        <v>1.05</v>
      </c>
      <c r="DR162" s="228">
        <v>-7.0000000000000007E-2</v>
      </c>
      <c r="DS162" s="229">
        <v>-6.6699999999999995E-2</v>
      </c>
      <c r="DT162" s="228">
        <v>560</v>
      </c>
      <c r="DU162" s="228">
        <v>540</v>
      </c>
      <c r="DV162" s="228">
        <v>1</v>
      </c>
      <c r="DW162" s="228">
        <v>0.7</v>
      </c>
      <c r="DX162" s="228">
        <v>0.3</v>
      </c>
      <c r="DY162" s="229">
        <v>0.42859999999999998</v>
      </c>
      <c r="DZ162" s="229">
        <v>0.37230000000000002</v>
      </c>
      <c r="EA162" s="230">
        <v>3157800</v>
      </c>
      <c r="EB162" s="229">
        <v>-8.5000000000000006E-3</v>
      </c>
      <c r="EC162" s="229">
        <v>0.37230000000000002</v>
      </c>
      <c r="ED162" s="228">
        <v>-8</v>
      </c>
      <c r="EE162" s="229">
        <v>-1.44E-2</v>
      </c>
      <c r="EF162" s="230">
        <v>942796</v>
      </c>
      <c r="EG162" s="230">
        <v>1431423</v>
      </c>
      <c r="EH162" s="229">
        <v>-0.34139999999999998</v>
      </c>
      <c r="EI162" s="229">
        <v>0.3034</v>
      </c>
      <c r="EJ162" s="231">
        <v>67576.899999999994</v>
      </c>
      <c r="EK162" s="231">
        <v>61611.44</v>
      </c>
      <c r="EL162" s="231">
        <v>78236.02</v>
      </c>
      <c r="EM162" s="231">
        <v>4714</v>
      </c>
      <c r="EN162" s="231">
        <v>207424.36</v>
      </c>
      <c r="EO162" s="231">
        <v>159596.5</v>
      </c>
      <c r="EP162" s="231">
        <v>47827.86</v>
      </c>
      <c r="EQ162" s="229">
        <v>0.29970000000000002</v>
      </c>
      <c r="ER162" s="231">
        <v>45847</v>
      </c>
      <c r="ES162" s="231">
        <v>40813</v>
      </c>
      <c r="ET162" s="231">
        <v>86074</v>
      </c>
      <c r="EU162" s="231">
        <v>24101986</v>
      </c>
      <c r="EV162" s="231">
        <v>172734</v>
      </c>
      <c r="EW162" s="231">
        <v>184458</v>
      </c>
      <c r="EX162" s="231">
        <v>-11724</v>
      </c>
      <c r="EY162" s="229">
        <v>-6.3600000000000004E-2</v>
      </c>
      <c r="EZ162" s="229">
        <v>1.3440000000000001</v>
      </c>
      <c r="FA162" s="227" t="s">
        <v>567</v>
      </c>
      <c r="FB162" s="161">
        <f t="shared" ref="FB162:FB194" si="4">BX233-CB233</f>
        <v>0</v>
      </c>
    </row>
    <row r="163" spans="1:158" ht="17.25" thickBot="1" x14ac:dyDescent="0.3">
      <c r="A163" s="226">
        <v>46135</v>
      </c>
      <c r="B163" s="227" t="s">
        <v>206</v>
      </c>
      <c r="C163" s="227" t="s">
        <v>644</v>
      </c>
      <c r="D163" s="228">
        <v>350</v>
      </c>
      <c r="E163" s="231">
        <v>1786.2</v>
      </c>
      <c r="F163" s="231">
        <v>1810.4</v>
      </c>
      <c r="G163" s="228">
        <v>-24.2</v>
      </c>
      <c r="H163" s="229">
        <v>-1.34E-2</v>
      </c>
      <c r="I163" s="231">
        <v>1785.3</v>
      </c>
      <c r="J163" s="231">
        <v>1809.4</v>
      </c>
      <c r="K163" s="228">
        <v>-24.1</v>
      </c>
      <c r="L163" s="229">
        <v>-1.3299999999999999E-2</v>
      </c>
      <c r="M163" s="231">
        <v>1786.2</v>
      </c>
      <c r="N163" s="231">
        <v>1810.4</v>
      </c>
      <c r="O163" s="228">
        <v>-24.2</v>
      </c>
      <c r="P163" s="229">
        <v>-1.34E-2</v>
      </c>
      <c r="Q163" s="231">
        <v>1796.4</v>
      </c>
      <c r="R163" s="231">
        <v>1819.8</v>
      </c>
      <c r="S163" s="228">
        <v>-23.4</v>
      </c>
      <c r="T163" s="229">
        <v>-1.29E-2</v>
      </c>
      <c r="U163" s="231">
        <v>1809</v>
      </c>
      <c r="V163" s="231">
        <v>1801.7</v>
      </c>
      <c r="W163" s="228">
        <v>7.3</v>
      </c>
      <c r="X163" s="229">
        <v>4.1000000000000003E-3</v>
      </c>
      <c r="Y163" s="228">
        <v>0.9</v>
      </c>
      <c r="Z163" s="228">
        <v>1</v>
      </c>
      <c r="AA163" s="228">
        <v>-0.1</v>
      </c>
      <c r="AB163" s="229">
        <v>5.0000000000000001E-4</v>
      </c>
      <c r="AC163" s="228">
        <v>0.9</v>
      </c>
      <c r="AD163" s="228">
        <v>1</v>
      </c>
      <c r="AE163" s="228">
        <v>-0.1</v>
      </c>
      <c r="AF163" s="229">
        <v>5.0000000000000001E-4</v>
      </c>
      <c r="AG163" s="228">
        <v>11.1</v>
      </c>
      <c r="AH163" s="228">
        <v>10.4</v>
      </c>
      <c r="AI163" s="228">
        <v>0.7</v>
      </c>
      <c r="AJ163" s="229">
        <v>6.1999999999999998E-3</v>
      </c>
      <c r="AK163" s="228">
        <v>23.7</v>
      </c>
      <c r="AL163" s="228">
        <v>-7.7</v>
      </c>
      <c r="AM163" s="228">
        <v>31.4</v>
      </c>
      <c r="AN163" s="229">
        <v>1.3299999999999999E-2</v>
      </c>
      <c r="AO163" s="231">
        <v>1794.14</v>
      </c>
      <c r="AP163" s="231">
        <v>1804.21</v>
      </c>
      <c r="AQ163" s="228">
        <v>0</v>
      </c>
      <c r="AR163" s="230">
        <v>2472050</v>
      </c>
      <c r="AS163" s="230">
        <v>281750</v>
      </c>
      <c r="AT163" s="230">
        <v>2190300</v>
      </c>
      <c r="AU163" s="229">
        <v>7.7739000000000003</v>
      </c>
      <c r="AV163" s="230">
        <v>1231650</v>
      </c>
      <c r="AW163" s="230">
        <v>212450</v>
      </c>
      <c r="AX163" s="230">
        <v>1019200</v>
      </c>
      <c r="AY163" s="229">
        <v>4.7973999999999997</v>
      </c>
      <c r="AZ163" s="230">
        <v>1240050</v>
      </c>
      <c r="BA163" s="230">
        <v>69300</v>
      </c>
      <c r="BB163" s="230">
        <v>1170750</v>
      </c>
      <c r="BC163" s="229">
        <v>16.893899999999999</v>
      </c>
      <c r="BD163" s="228">
        <v>350</v>
      </c>
      <c r="BE163" s="228">
        <v>0</v>
      </c>
      <c r="BF163" s="228">
        <v>350</v>
      </c>
      <c r="BG163" s="229">
        <v>0</v>
      </c>
      <c r="BH163" s="230">
        <v>870100</v>
      </c>
      <c r="BI163" s="230">
        <v>911750</v>
      </c>
      <c r="BJ163" s="230">
        <v>-41650</v>
      </c>
      <c r="BK163" s="229">
        <v>-4.5699999999999998E-2</v>
      </c>
      <c r="BL163" s="230">
        <v>1977500</v>
      </c>
      <c r="BM163" s="230">
        <v>325500</v>
      </c>
      <c r="BN163" s="230">
        <v>1652000</v>
      </c>
      <c r="BO163" s="229">
        <v>5.0753000000000004</v>
      </c>
      <c r="BP163" s="230">
        <v>5319650</v>
      </c>
      <c r="BQ163" s="230">
        <v>1519000</v>
      </c>
      <c r="BR163" s="230">
        <v>3800650</v>
      </c>
      <c r="BS163" s="229">
        <v>2.5021</v>
      </c>
      <c r="BT163" s="230">
        <v>494738</v>
      </c>
      <c r="BU163" s="230">
        <v>166344</v>
      </c>
      <c r="BV163" s="230">
        <v>328394</v>
      </c>
      <c r="BW163" s="229">
        <v>1.9742</v>
      </c>
      <c r="BX163" s="230">
        <v>4018000</v>
      </c>
      <c r="BY163" s="230">
        <v>3962350</v>
      </c>
      <c r="BZ163" s="230">
        <v>55650</v>
      </c>
      <c r="CA163" s="229">
        <v>1.4E-2</v>
      </c>
      <c r="CB163" s="230">
        <v>2528400</v>
      </c>
      <c r="CC163" s="230">
        <v>3403400</v>
      </c>
      <c r="CD163" s="230">
        <v>-875000</v>
      </c>
      <c r="CE163" s="229">
        <v>-0.2571</v>
      </c>
      <c r="CF163" s="230">
        <v>1136450</v>
      </c>
      <c r="CG163" s="230">
        <v>206150</v>
      </c>
      <c r="CH163" s="230">
        <v>930300</v>
      </c>
      <c r="CI163" s="229">
        <v>4.5126999999999997</v>
      </c>
      <c r="CJ163" s="230">
        <v>353150</v>
      </c>
      <c r="CK163" s="230">
        <v>352800</v>
      </c>
      <c r="CL163" s="228">
        <v>350</v>
      </c>
      <c r="CM163" s="229">
        <v>1E-3</v>
      </c>
      <c r="CN163" s="230">
        <v>1347150</v>
      </c>
      <c r="CO163" s="230">
        <v>1261750</v>
      </c>
      <c r="CP163" s="230">
        <v>85400</v>
      </c>
      <c r="CQ163" s="229">
        <v>6.7699999999999996E-2</v>
      </c>
      <c r="CR163" s="230">
        <v>1070300</v>
      </c>
      <c r="CS163" s="230">
        <v>995400</v>
      </c>
      <c r="CT163" s="230">
        <v>74900</v>
      </c>
      <c r="CU163" s="229">
        <v>7.5200000000000003E-2</v>
      </c>
      <c r="CV163" s="230">
        <v>6435450</v>
      </c>
      <c r="CW163" s="230">
        <v>6219500</v>
      </c>
      <c r="CX163" s="230">
        <v>215950</v>
      </c>
      <c r="CY163" s="229">
        <v>3.4700000000000002E-2</v>
      </c>
      <c r="CZ163" s="228">
        <v>32.33</v>
      </c>
      <c r="DA163" s="228">
        <v>34.130000000000003</v>
      </c>
      <c r="DB163" s="228">
        <v>-1.8</v>
      </c>
      <c r="DC163" s="228">
        <v>-1.8</v>
      </c>
      <c r="DD163" s="228">
        <v>39.82</v>
      </c>
      <c r="DE163" s="228">
        <v>39.880000000000003</v>
      </c>
      <c r="DF163" s="228">
        <v>-7.49</v>
      </c>
      <c r="DG163" s="228">
        <v>-0.06</v>
      </c>
      <c r="DH163" s="228">
        <v>30.97</v>
      </c>
      <c r="DI163" s="228">
        <v>32.549999999999997</v>
      </c>
      <c r="DJ163" s="228">
        <v>-1.58</v>
      </c>
      <c r="DK163" s="228">
        <v>-1.58</v>
      </c>
      <c r="DL163" s="228">
        <v>36.659999999999997</v>
      </c>
      <c r="DM163" s="228">
        <v>38.549999999999997</v>
      </c>
      <c r="DN163" s="228">
        <v>-1.89</v>
      </c>
      <c r="DO163" s="228">
        <v>-1.89</v>
      </c>
      <c r="DP163" s="228">
        <v>0.79</v>
      </c>
      <c r="DQ163" s="228">
        <v>0.79</v>
      </c>
      <c r="DR163" s="228">
        <v>0</v>
      </c>
      <c r="DS163" s="229">
        <v>0</v>
      </c>
      <c r="DT163" s="231">
        <v>1900</v>
      </c>
      <c r="DU163" s="231">
        <v>1500</v>
      </c>
      <c r="DV163" s="228">
        <v>2.27</v>
      </c>
      <c r="DW163" s="228">
        <v>0.36</v>
      </c>
      <c r="DX163" s="228">
        <v>1.91</v>
      </c>
      <c r="DY163" s="229">
        <v>5.3056000000000001</v>
      </c>
      <c r="DZ163" s="229">
        <v>0.37069999999999997</v>
      </c>
      <c r="EA163" s="230">
        <v>558950</v>
      </c>
      <c r="EB163" s="229">
        <v>5.7000000000000002E-3</v>
      </c>
      <c r="EC163" s="229">
        <v>0.37069999999999997</v>
      </c>
      <c r="ED163" s="228">
        <v>10.07</v>
      </c>
      <c r="EE163" s="229">
        <v>5.5999999999999999E-3</v>
      </c>
      <c r="EF163" s="230">
        <v>340334</v>
      </c>
      <c r="EG163" s="230">
        <v>85875</v>
      </c>
      <c r="EH163" s="229">
        <v>2.9630999999999998</v>
      </c>
      <c r="EI163" s="229">
        <v>0.68789999999999996</v>
      </c>
      <c r="EJ163" s="231">
        <v>16167.51</v>
      </c>
      <c r="EK163" s="231">
        <v>31072.43</v>
      </c>
      <c r="EL163" s="231">
        <v>44477.04</v>
      </c>
      <c r="EM163" s="231">
        <v>1622</v>
      </c>
      <c r="EN163" s="231">
        <v>91716.98</v>
      </c>
      <c r="EO163" s="231">
        <v>27933.31</v>
      </c>
      <c r="EP163" s="231">
        <v>63783.67</v>
      </c>
      <c r="EQ163" s="229">
        <v>2.2833999999999999</v>
      </c>
      <c r="ER163" s="231">
        <v>24261</v>
      </c>
      <c r="ES163" s="231">
        <v>17434</v>
      </c>
      <c r="ET163" s="231">
        <v>71966</v>
      </c>
      <c r="EU163" s="231">
        <v>21502901</v>
      </c>
      <c r="EV163" s="231">
        <v>113661</v>
      </c>
      <c r="EW163" s="231">
        <v>110591</v>
      </c>
      <c r="EX163" s="231">
        <v>3070</v>
      </c>
      <c r="EY163" s="229">
        <v>2.7799999999999998E-2</v>
      </c>
      <c r="EZ163" s="229">
        <v>0.29930000000000001</v>
      </c>
      <c r="FA163" s="227" t="s">
        <v>566</v>
      </c>
      <c r="FB163" s="161">
        <f t="shared" si="4"/>
        <v>0</v>
      </c>
    </row>
    <row r="164" spans="1:158" ht="17.25" thickBot="1" x14ac:dyDescent="0.3">
      <c r="A164" s="226">
        <v>46135</v>
      </c>
      <c r="B164" s="227" t="s">
        <v>168</v>
      </c>
      <c r="C164" s="227" t="s">
        <v>274</v>
      </c>
      <c r="D164" s="228">
        <v>500</v>
      </c>
      <c r="E164" s="231">
        <v>1400.9</v>
      </c>
      <c r="F164" s="231">
        <v>1420.8</v>
      </c>
      <c r="G164" s="228">
        <v>-19.899999999999999</v>
      </c>
      <c r="H164" s="229">
        <v>-1.4E-2</v>
      </c>
      <c r="I164" s="231">
        <v>1402.1</v>
      </c>
      <c r="J164" s="231">
        <v>1419</v>
      </c>
      <c r="K164" s="228">
        <v>-16.899999999999999</v>
      </c>
      <c r="L164" s="229">
        <v>-1.1900000000000001E-2</v>
      </c>
      <c r="M164" s="231">
        <v>1400.9</v>
      </c>
      <c r="N164" s="231">
        <v>1420.8</v>
      </c>
      <c r="O164" s="228">
        <v>-19.899999999999999</v>
      </c>
      <c r="P164" s="229">
        <v>-1.4E-2</v>
      </c>
      <c r="Q164" s="231">
        <v>1406.8</v>
      </c>
      <c r="R164" s="231">
        <v>1426.2</v>
      </c>
      <c r="S164" s="228">
        <v>-19.399999999999999</v>
      </c>
      <c r="T164" s="229">
        <v>-1.3599999999999999E-2</v>
      </c>
      <c r="U164" s="231">
        <v>1415</v>
      </c>
      <c r="V164" s="231">
        <v>1431.9</v>
      </c>
      <c r="W164" s="228">
        <v>-16.899999999999999</v>
      </c>
      <c r="X164" s="229">
        <v>-1.18E-2</v>
      </c>
      <c r="Y164" s="228">
        <v>-1.2</v>
      </c>
      <c r="Z164" s="228">
        <v>1.8</v>
      </c>
      <c r="AA164" s="228">
        <v>-3</v>
      </c>
      <c r="AB164" s="229">
        <v>-8.9999999999999998E-4</v>
      </c>
      <c r="AC164" s="228">
        <v>-1.2</v>
      </c>
      <c r="AD164" s="228">
        <v>1.8</v>
      </c>
      <c r="AE164" s="228">
        <v>-3</v>
      </c>
      <c r="AF164" s="229">
        <v>-8.9999999999999998E-4</v>
      </c>
      <c r="AG164" s="228">
        <v>4.7</v>
      </c>
      <c r="AH164" s="228">
        <v>7.2</v>
      </c>
      <c r="AI164" s="228">
        <v>-2.5</v>
      </c>
      <c r="AJ164" s="229">
        <v>3.3999999999999998E-3</v>
      </c>
      <c r="AK164" s="228">
        <v>12.9</v>
      </c>
      <c r="AL164" s="228">
        <v>12.9</v>
      </c>
      <c r="AM164" s="228">
        <v>0</v>
      </c>
      <c r="AN164" s="229">
        <v>9.1999999999999998E-3</v>
      </c>
      <c r="AO164" s="231">
        <v>1404.45</v>
      </c>
      <c r="AP164" s="231">
        <v>1409.86</v>
      </c>
      <c r="AQ164" s="228">
        <v>0</v>
      </c>
      <c r="AR164" s="230">
        <v>6005000</v>
      </c>
      <c r="AS164" s="230">
        <v>1030000</v>
      </c>
      <c r="AT164" s="230">
        <v>4975000</v>
      </c>
      <c r="AU164" s="229">
        <v>4.8300999999999998</v>
      </c>
      <c r="AV164" s="230">
        <v>3126500</v>
      </c>
      <c r="AW164" s="230">
        <v>864000</v>
      </c>
      <c r="AX164" s="230">
        <v>2262500</v>
      </c>
      <c r="AY164" s="229">
        <v>2.6185999999999998</v>
      </c>
      <c r="AZ164" s="230">
        <v>2873000</v>
      </c>
      <c r="BA164" s="230">
        <v>159500</v>
      </c>
      <c r="BB164" s="230">
        <v>2713500</v>
      </c>
      <c r="BC164" s="229">
        <v>17.012499999999999</v>
      </c>
      <c r="BD164" s="230">
        <v>5500</v>
      </c>
      <c r="BE164" s="230">
        <v>6500</v>
      </c>
      <c r="BF164" s="230">
        <v>-1000</v>
      </c>
      <c r="BG164" s="229">
        <v>-0.15379999999999999</v>
      </c>
      <c r="BH164" s="230">
        <v>1410000</v>
      </c>
      <c r="BI164" s="230">
        <v>1907000</v>
      </c>
      <c r="BJ164" s="230">
        <v>-497000</v>
      </c>
      <c r="BK164" s="229">
        <v>-0.2606</v>
      </c>
      <c r="BL164" s="230">
        <v>965500</v>
      </c>
      <c r="BM164" s="230">
        <v>1125500</v>
      </c>
      <c r="BN164" s="230">
        <v>-160000</v>
      </c>
      <c r="BO164" s="229">
        <v>-0.14219999999999999</v>
      </c>
      <c r="BP164" s="230">
        <v>8380500</v>
      </c>
      <c r="BQ164" s="230">
        <v>4062500</v>
      </c>
      <c r="BR164" s="230">
        <v>4318000</v>
      </c>
      <c r="BS164" s="229">
        <v>1.0629</v>
      </c>
      <c r="BT164" s="230">
        <v>342878</v>
      </c>
      <c r="BU164" s="230">
        <v>643125</v>
      </c>
      <c r="BV164" s="230">
        <v>-300247</v>
      </c>
      <c r="BW164" s="229">
        <v>-0.46689999999999998</v>
      </c>
      <c r="BX164" s="230">
        <v>8063500</v>
      </c>
      <c r="BY164" s="230">
        <v>8310000</v>
      </c>
      <c r="BZ164" s="230">
        <v>-246500</v>
      </c>
      <c r="CA164" s="229">
        <v>-2.9700000000000001E-2</v>
      </c>
      <c r="CB164" s="230">
        <v>5316000</v>
      </c>
      <c r="CC164" s="230">
        <v>7890000</v>
      </c>
      <c r="CD164" s="230">
        <v>-2574000</v>
      </c>
      <c r="CE164" s="229">
        <v>-0.32619999999999999</v>
      </c>
      <c r="CF164" s="230">
        <v>2717000</v>
      </c>
      <c r="CG164" s="230">
        <v>394000</v>
      </c>
      <c r="CH164" s="230">
        <v>2323000</v>
      </c>
      <c r="CI164" s="229">
        <v>5.8959000000000001</v>
      </c>
      <c r="CJ164" s="230">
        <v>30500</v>
      </c>
      <c r="CK164" s="230">
        <v>26000</v>
      </c>
      <c r="CL164" s="230">
        <v>4500</v>
      </c>
      <c r="CM164" s="229">
        <v>0.1731</v>
      </c>
      <c r="CN164" s="230">
        <v>1737000</v>
      </c>
      <c r="CO164" s="230">
        <v>1743500</v>
      </c>
      <c r="CP164" s="230">
        <v>-6500</v>
      </c>
      <c r="CQ164" s="229">
        <v>-3.7000000000000002E-3</v>
      </c>
      <c r="CR164" s="230">
        <v>1365500</v>
      </c>
      <c r="CS164" s="230">
        <v>1340000</v>
      </c>
      <c r="CT164" s="230">
        <v>25500</v>
      </c>
      <c r="CU164" s="229">
        <v>1.9E-2</v>
      </c>
      <c r="CV164" s="230">
        <v>11166000</v>
      </c>
      <c r="CW164" s="230">
        <v>11393500</v>
      </c>
      <c r="CX164" s="230">
        <v>-227500</v>
      </c>
      <c r="CY164" s="229">
        <v>-0.02</v>
      </c>
      <c r="CZ164" s="228">
        <v>25.22</v>
      </c>
      <c r="DA164" s="228">
        <v>26.66</v>
      </c>
      <c r="DB164" s="228">
        <v>-1.44</v>
      </c>
      <c r="DC164" s="228">
        <v>-1.44</v>
      </c>
      <c r="DD164" s="228">
        <v>26.1</v>
      </c>
      <c r="DE164" s="228">
        <v>26.1</v>
      </c>
      <c r="DF164" s="228">
        <v>-0.88</v>
      </c>
      <c r="DG164" s="228">
        <v>0</v>
      </c>
      <c r="DH164" s="228">
        <v>25.48</v>
      </c>
      <c r="DI164" s="228">
        <v>25.53</v>
      </c>
      <c r="DJ164" s="228">
        <v>-0.05</v>
      </c>
      <c r="DK164" s="228">
        <v>-0.05</v>
      </c>
      <c r="DL164" s="228">
        <v>24.89</v>
      </c>
      <c r="DM164" s="228">
        <v>28.58</v>
      </c>
      <c r="DN164" s="228">
        <v>-3.69</v>
      </c>
      <c r="DO164" s="228">
        <v>-3.69</v>
      </c>
      <c r="DP164" s="228">
        <v>0.79</v>
      </c>
      <c r="DQ164" s="228">
        <v>0.77</v>
      </c>
      <c r="DR164" s="228">
        <v>0.02</v>
      </c>
      <c r="DS164" s="229">
        <v>2.5999999999999999E-2</v>
      </c>
      <c r="DT164" s="231">
        <v>1460</v>
      </c>
      <c r="DU164" s="231">
        <v>1340</v>
      </c>
      <c r="DV164" s="228">
        <v>0.68</v>
      </c>
      <c r="DW164" s="228">
        <v>0.59</v>
      </c>
      <c r="DX164" s="228">
        <v>0.09</v>
      </c>
      <c r="DY164" s="229">
        <v>0.1525</v>
      </c>
      <c r="DZ164" s="229">
        <v>0.3407</v>
      </c>
      <c r="EA164" s="230">
        <v>420000</v>
      </c>
      <c r="EB164" s="229">
        <v>4.1999999999999997E-3</v>
      </c>
      <c r="EC164" s="229">
        <v>0.3407</v>
      </c>
      <c r="ED164" s="228">
        <v>5.41</v>
      </c>
      <c r="EE164" s="229">
        <v>3.8999999999999998E-3</v>
      </c>
      <c r="EF164" s="230">
        <v>175128</v>
      </c>
      <c r="EG164" s="230">
        <v>290110</v>
      </c>
      <c r="EH164" s="229">
        <v>-0.39629999999999999</v>
      </c>
      <c r="EI164" s="229">
        <v>0.51080000000000003</v>
      </c>
      <c r="EJ164" s="231">
        <v>20430.419999999998</v>
      </c>
      <c r="EK164" s="231">
        <v>13325.52</v>
      </c>
      <c r="EL164" s="231">
        <v>84493.440000000002</v>
      </c>
      <c r="EM164" s="231">
        <v>3320</v>
      </c>
      <c r="EN164" s="231">
        <v>118249.38</v>
      </c>
      <c r="EO164" s="231">
        <v>57716.66</v>
      </c>
      <c r="EP164" s="231">
        <v>60532.72</v>
      </c>
      <c r="EQ164" s="229">
        <v>1.0488</v>
      </c>
      <c r="ER164" s="231">
        <v>24698</v>
      </c>
      <c r="ES164" s="231">
        <v>18186</v>
      </c>
      <c r="ET164" s="231">
        <v>113126</v>
      </c>
      <c r="EU164" s="231">
        <v>31214205</v>
      </c>
      <c r="EV164" s="231">
        <v>156010</v>
      </c>
      <c r="EW164" s="231">
        <v>160689</v>
      </c>
      <c r="EX164" s="231">
        <v>-4679</v>
      </c>
      <c r="EY164" s="229">
        <v>-2.9100000000000001E-2</v>
      </c>
      <c r="EZ164" s="229">
        <v>0.35770000000000002</v>
      </c>
      <c r="FA164" s="227" t="s">
        <v>567</v>
      </c>
      <c r="FB164" s="161">
        <f t="shared" si="4"/>
        <v>0</v>
      </c>
    </row>
    <row r="165" spans="1:158" ht="17.25" thickBot="1" x14ac:dyDescent="0.3">
      <c r="A165" s="226">
        <v>46135</v>
      </c>
      <c r="B165" s="227" t="s">
        <v>498</v>
      </c>
      <c r="C165" s="227" t="s">
        <v>483</v>
      </c>
      <c r="D165" s="228">
        <v>175</v>
      </c>
      <c r="E165" s="231">
        <v>3077.9</v>
      </c>
      <c r="F165" s="231">
        <v>3068.1</v>
      </c>
      <c r="G165" s="228">
        <v>9.8000000000000007</v>
      </c>
      <c r="H165" s="229">
        <v>3.2000000000000002E-3</v>
      </c>
      <c r="I165" s="231">
        <v>3069.6</v>
      </c>
      <c r="J165" s="231">
        <v>3057.3</v>
      </c>
      <c r="K165" s="228">
        <v>12.3</v>
      </c>
      <c r="L165" s="229">
        <v>4.0000000000000001E-3</v>
      </c>
      <c r="M165" s="231">
        <v>3077.9</v>
      </c>
      <c r="N165" s="231">
        <v>3068.1</v>
      </c>
      <c r="O165" s="228">
        <v>9.8000000000000007</v>
      </c>
      <c r="P165" s="229">
        <v>3.2000000000000002E-3</v>
      </c>
      <c r="Q165" s="231">
        <v>3039.4</v>
      </c>
      <c r="R165" s="231">
        <v>3045</v>
      </c>
      <c r="S165" s="228">
        <v>-5.6</v>
      </c>
      <c r="T165" s="229">
        <v>-1.8E-3</v>
      </c>
      <c r="U165" s="231">
        <v>3027.5</v>
      </c>
      <c r="V165" s="231">
        <v>3039.7</v>
      </c>
      <c r="W165" s="228">
        <v>-12.2</v>
      </c>
      <c r="X165" s="229">
        <v>-4.0000000000000001E-3</v>
      </c>
      <c r="Y165" s="228">
        <v>8.3000000000000007</v>
      </c>
      <c r="Z165" s="228">
        <v>10.8</v>
      </c>
      <c r="AA165" s="228">
        <v>-2.5</v>
      </c>
      <c r="AB165" s="229">
        <v>2.7000000000000001E-3</v>
      </c>
      <c r="AC165" s="228">
        <v>8.3000000000000007</v>
      </c>
      <c r="AD165" s="228">
        <v>10.8</v>
      </c>
      <c r="AE165" s="228">
        <v>-2.5</v>
      </c>
      <c r="AF165" s="229">
        <v>2.7000000000000001E-3</v>
      </c>
      <c r="AG165" s="228">
        <v>-30.2</v>
      </c>
      <c r="AH165" s="228">
        <v>-12.3</v>
      </c>
      <c r="AI165" s="228">
        <v>-17.899999999999999</v>
      </c>
      <c r="AJ165" s="229">
        <v>-9.7999999999999997E-3</v>
      </c>
      <c r="AK165" s="228">
        <v>-42.1</v>
      </c>
      <c r="AL165" s="228">
        <v>-17.600000000000001</v>
      </c>
      <c r="AM165" s="228">
        <v>-24.5</v>
      </c>
      <c r="AN165" s="229">
        <v>-1.37E-2</v>
      </c>
      <c r="AO165" s="231">
        <v>3082.5</v>
      </c>
      <c r="AP165" s="231">
        <v>3045.43</v>
      </c>
      <c r="AQ165" s="228">
        <v>0</v>
      </c>
      <c r="AR165" s="230">
        <v>2209025</v>
      </c>
      <c r="AS165" s="230">
        <v>362425</v>
      </c>
      <c r="AT165" s="230">
        <v>1846600</v>
      </c>
      <c r="AU165" s="229">
        <v>5.0951000000000004</v>
      </c>
      <c r="AV165" s="230">
        <v>1146250</v>
      </c>
      <c r="AW165" s="230">
        <v>243775</v>
      </c>
      <c r="AX165" s="230">
        <v>902475</v>
      </c>
      <c r="AY165" s="229">
        <v>3.7021000000000002</v>
      </c>
      <c r="AZ165" s="230">
        <v>1057700</v>
      </c>
      <c r="BA165" s="230">
        <v>114100</v>
      </c>
      <c r="BB165" s="230">
        <v>943600</v>
      </c>
      <c r="BC165" s="229">
        <v>8.2698999999999998</v>
      </c>
      <c r="BD165" s="230">
        <v>5075</v>
      </c>
      <c r="BE165" s="230">
        <v>4550</v>
      </c>
      <c r="BF165" s="228">
        <v>525</v>
      </c>
      <c r="BG165" s="229">
        <v>0.1154</v>
      </c>
      <c r="BH165" s="230">
        <v>1169700</v>
      </c>
      <c r="BI165" s="230">
        <v>751975</v>
      </c>
      <c r="BJ165" s="230">
        <v>417725</v>
      </c>
      <c r="BK165" s="229">
        <v>0.55549999999999999</v>
      </c>
      <c r="BL165" s="230">
        <v>550025</v>
      </c>
      <c r="BM165" s="230">
        <v>363125</v>
      </c>
      <c r="BN165" s="230">
        <v>186900</v>
      </c>
      <c r="BO165" s="229">
        <v>0.51470000000000005</v>
      </c>
      <c r="BP165" s="230">
        <v>3928750</v>
      </c>
      <c r="BQ165" s="230">
        <v>1477525</v>
      </c>
      <c r="BR165" s="230">
        <v>2451225</v>
      </c>
      <c r="BS165" s="229">
        <v>1.659</v>
      </c>
      <c r="BT165" s="230">
        <v>150161</v>
      </c>
      <c r="BU165" s="230">
        <v>231526</v>
      </c>
      <c r="BV165" s="230">
        <v>-81365</v>
      </c>
      <c r="BW165" s="229">
        <v>-0.35139999999999999</v>
      </c>
      <c r="BX165" s="230">
        <v>2616075</v>
      </c>
      <c r="BY165" s="230">
        <v>2801750</v>
      </c>
      <c r="BZ165" s="230">
        <v>-185675</v>
      </c>
      <c r="CA165" s="229">
        <v>-6.6299999999999998E-2</v>
      </c>
      <c r="CB165" s="230">
        <v>1656375</v>
      </c>
      <c r="CC165" s="230">
        <v>2487975</v>
      </c>
      <c r="CD165" s="230">
        <v>-831600</v>
      </c>
      <c r="CE165" s="229">
        <v>-0.3342</v>
      </c>
      <c r="CF165" s="230">
        <v>931525</v>
      </c>
      <c r="CG165" s="230">
        <v>288225</v>
      </c>
      <c r="CH165" s="230">
        <v>643300</v>
      </c>
      <c r="CI165" s="229">
        <v>2.2319</v>
      </c>
      <c r="CJ165" s="230">
        <v>28175</v>
      </c>
      <c r="CK165" s="230">
        <v>25550</v>
      </c>
      <c r="CL165" s="230">
        <v>2625</v>
      </c>
      <c r="CM165" s="229">
        <v>0.1027</v>
      </c>
      <c r="CN165" s="230">
        <v>903700</v>
      </c>
      <c r="CO165" s="230">
        <v>777000</v>
      </c>
      <c r="CP165" s="230">
        <v>126700</v>
      </c>
      <c r="CQ165" s="229">
        <v>0.16309999999999999</v>
      </c>
      <c r="CR165" s="230">
        <v>676375</v>
      </c>
      <c r="CS165" s="230">
        <v>634375</v>
      </c>
      <c r="CT165" s="230">
        <v>42000</v>
      </c>
      <c r="CU165" s="229">
        <v>6.6199999999999995E-2</v>
      </c>
      <c r="CV165" s="230">
        <v>4196150</v>
      </c>
      <c r="CW165" s="230">
        <v>4213125</v>
      </c>
      <c r="CX165" s="230">
        <v>-16975</v>
      </c>
      <c r="CY165" s="229">
        <v>-4.0000000000000001E-3</v>
      </c>
      <c r="CZ165" s="228">
        <v>34.76</v>
      </c>
      <c r="DA165" s="228">
        <v>30.1</v>
      </c>
      <c r="DB165" s="228">
        <v>4.66</v>
      </c>
      <c r="DC165" s="228">
        <v>4.66</v>
      </c>
      <c r="DD165" s="228">
        <v>31.64</v>
      </c>
      <c r="DE165" s="228">
        <v>31.71</v>
      </c>
      <c r="DF165" s="228">
        <v>3.12</v>
      </c>
      <c r="DG165" s="228">
        <v>-7.0000000000000007E-2</v>
      </c>
      <c r="DH165" s="228">
        <v>34.590000000000003</v>
      </c>
      <c r="DI165" s="228">
        <v>28.16</v>
      </c>
      <c r="DJ165" s="228">
        <v>6.43</v>
      </c>
      <c r="DK165" s="228">
        <v>6.43</v>
      </c>
      <c r="DL165" s="228">
        <v>34.97</v>
      </c>
      <c r="DM165" s="228">
        <v>34.130000000000003</v>
      </c>
      <c r="DN165" s="228">
        <v>0.84</v>
      </c>
      <c r="DO165" s="228">
        <v>0.84</v>
      </c>
      <c r="DP165" s="228">
        <v>0.75</v>
      </c>
      <c r="DQ165" s="228">
        <v>0.82</v>
      </c>
      <c r="DR165" s="228">
        <v>-7.0000000000000007E-2</v>
      </c>
      <c r="DS165" s="229">
        <v>-8.5400000000000004E-2</v>
      </c>
      <c r="DT165" s="231">
        <v>3100</v>
      </c>
      <c r="DU165" s="231">
        <v>2700</v>
      </c>
      <c r="DV165" s="228">
        <v>0.47</v>
      </c>
      <c r="DW165" s="228">
        <v>0.48</v>
      </c>
      <c r="DX165" s="228">
        <v>-0.01</v>
      </c>
      <c r="DY165" s="229">
        <v>-2.0799999999999999E-2</v>
      </c>
      <c r="DZ165" s="229">
        <v>0.36680000000000001</v>
      </c>
      <c r="EA165" s="230">
        <v>313775</v>
      </c>
      <c r="EB165" s="229">
        <v>-1.2500000000000001E-2</v>
      </c>
      <c r="EC165" s="229">
        <v>0.36680000000000001</v>
      </c>
      <c r="ED165" s="228">
        <v>-37.07</v>
      </c>
      <c r="EE165" s="229">
        <v>-1.2E-2</v>
      </c>
      <c r="EF165" s="230">
        <v>64152</v>
      </c>
      <c r="EG165" s="230">
        <v>103196</v>
      </c>
      <c r="EH165" s="229">
        <v>-0.37830000000000003</v>
      </c>
      <c r="EI165" s="229">
        <v>0.42720000000000002</v>
      </c>
      <c r="EJ165" s="231">
        <v>36945.67</v>
      </c>
      <c r="EK165" s="231">
        <v>16378.59</v>
      </c>
      <c r="EL165" s="231">
        <v>67698.3</v>
      </c>
      <c r="EM165" s="231">
        <v>2978</v>
      </c>
      <c r="EN165" s="231">
        <v>121022.56</v>
      </c>
      <c r="EO165" s="231">
        <v>45399.66</v>
      </c>
      <c r="EP165" s="231">
        <v>75622.899999999994</v>
      </c>
      <c r="EQ165" s="229">
        <v>1.6657</v>
      </c>
      <c r="ER165" s="231">
        <v>28084</v>
      </c>
      <c r="ES165" s="231">
        <v>19518</v>
      </c>
      <c r="ET165" s="231">
        <v>80147</v>
      </c>
      <c r="EU165" s="231">
        <v>8178275</v>
      </c>
      <c r="EV165" s="231">
        <v>127750</v>
      </c>
      <c r="EW165" s="231">
        <v>128229</v>
      </c>
      <c r="EX165" s="228">
        <v>-479</v>
      </c>
      <c r="EY165" s="229">
        <v>-3.7000000000000002E-3</v>
      </c>
      <c r="EZ165" s="229">
        <v>0.5131</v>
      </c>
      <c r="FA165" s="227" t="s">
        <v>693</v>
      </c>
      <c r="FB165" s="161">
        <f t="shared" si="4"/>
        <v>0</v>
      </c>
    </row>
    <row r="166" spans="1:158" ht="17.25" thickBot="1" x14ac:dyDescent="0.3">
      <c r="A166" s="226">
        <v>46135</v>
      </c>
      <c r="B166" s="227" t="s">
        <v>172</v>
      </c>
      <c r="C166" s="227" t="s">
        <v>275</v>
      </c>
      <c r="D166" s="228">
        <v>8000</v>
      </c>
      <c r="E166" s="228">
        <v>112.76</v>
      </c>
      <c r="F166" s="228">
        <v>114.68</v>
      </c>
      <c r="G166" s="228">
        <v>-1.92</v>
      </c>
      <c r="H166" s="229">
        <v>-1.67E-2</v>
      </c>
      <c r="I166" s="228">
        <v>112.71</v>
      </c>
      <c r="J166" s="228">
        <v>114.67</v>
      </c>
      <c r="K166" s="228">
        <v>-1.96</v>
      </c>
      <c r="L166" s="229">
        <v>-1.7100000000000001E-2</v>
      </c>
      <c r="M166" s="228">
        <v>112.76</v>
      </c>
      <c r="N166" s="228">
        <v>114.68</v>
      </c>
      <c r="O166" s="228">
        <v>-1.92</v>
      </c>
      <c r="P166" s="229">
        <v>-1.67E-2</v>
      </c>
      <c r="Q166" s="228">
        <v>113.33</v>
      </c>
      <c r="R166" s="228">
        <v>115.36</v>
      </c>
      <c r="S166" s="228">
        <v>-2.0299999999999998</v>
      </c>
      <c r="T166" s="229">
        <v>-1.7600000000000001E-2</v>
      </c>
      <c r="U166" s="228">
        <v>113.9</v>
      </c>
      <c r="V166" s="228">
        <v>116.04</v>
      </c>
      <c r="W166" s="228">
        <v>-2.14</v>
      </c>
      <c r="X166" s="229">
        <v>-1.84E-2</v>
      </c>
      <c r="Y166" s="228">
        <v>0.05</v>
      </c>
      <c r="Z166" s="228">
        <v>0.01</v>
      </c>
      <c r="AA166" s="228">
        <v>0.04</v>
      </c>
      <c r="AB166" s="229">
        <v>4.0000000000000002E-4</v>
      </c>
      <c r="AC166" s="228">
        <v>0.05</v>
      </c>
      <c r="AD166" s="228">
        <v>0.01</v>
      </c>
      <c r="AE166" s="228">
        <v>0.04</v>
      </c>
      <c r="AF166" s="229">
        <v>4.0000000000000002E-4</v>
      </c>
      <c r="AG166" s="228">
        <v>0.62</v>
      </c>
      <c r="AH166" s="228">
        <v>0.69</v>
      </c>
      <c r="AI166" s="228">
        <v>-7.0000000000000007E-2</v>
      </c>
      <c r="AJ166" s="229">
        <v>5.4999999999999997E-3</v>
      </c>
      <c r="AK166" s="228">
        <v>1.19</v>
      </c>
      <c r="AL166" s="228">
        <v>1.37</v>
      </c>
      <c r="AM166" s="228">
        <v>-0.18</v>
      </c>
      <c r="AN166" s="229">
        <v>1.06E-2</v>
      </c>
      <c r="AO166" s="228">
        <v>113.09</v>
      </c>
      <c r="AP166" s="228">
        <v>113.69</v>
      </c>
      <c r="AQ166" s="228">
        <v>0</v>
      </c>
      <c r="AR166" s="230">
        <v>135800000</v>
      </c>
      <c r="AS166" s="230">
        <v>49192000</v>
      </c>
      <c r="AT166" s="230">
        <v>86608000</v>
      </c>
      <c r="AU166" s="229">
        <v>1.7605999999999999</v>
      </c>
      <c r="AV166" s="230">
        <v>70328000</v>
      </c>
      <c r="AW166" s="230">
        <v>29088000</v>
      </c>
      <c r="AX166" s="230">
        <v>41240000</v>
      </c>
      <c r="AY166" s="229">
        <v>1.4177999999999999</v>
      </c>
      <c r="AZ166" s="230">
        <v>64040000</v>
      </c>
      <c r="BA166" s="230">
        <v>18616000</v>
      </c>
      <c r="BB166" s="230">
        <v>45424000</v>
      </c>
      <c r="BC166" s="229">
        <v>2.4401000000000002</v>
      </c>
      <c r="BD166" s="230">
        <v>1432000</v>
      </c>
      <c r="BE166" s="230">
        <v>1488000</v>
      </c>
      <c r="BF166" s="230">
        <v>-56000</v>
      </c>
      <c r="BG166" s="229">
        <v>-3.7600000000000001E-2</v>
      </c>
      <c r="BH166" s="230">
        <v>124624000</v>
      </c>
      <c r="BI166" s="230">
        <v>108400000</v>
      </c>
      <c r="BJ166" s="230">
        <v>16224000</v>
      </c>
      <c r="BK166" s="229">
        <v>0.1497</v>
      </c>
      <c r="BL166" s="230">
        <v>85624000</v>
      </c>
      <c r="BM166" s="230">
        <v>63504000</v>
      </c>
      <c r="BN166" s="230">
        <v>22120000</v>
      </c>
      <c r="BO166" s="229">
        <v>0.3483</v>
      </c>
      <c r="BP166" s="230">
        <v>346048000</v>
      </c>
      <c r="BQ166" s="230">
        <v>221096000</v>
      </c>
      <c r="BR166" s="230">
        <v>124952000</v>
      </c>
      <c r="BS166" s="229">
        <v>0.56510000000000005</v>
      </c>
      <c r="BT166" s="230">
        <v>18561887</v>
      </c>
      <c r="BU166" s="230">
        <v>21491484</v>
      </c>
      <c r="BV166" s="230">
        <v>-2929597</v>
      </c>
      <c r="BW166" s="229">
        <v>-0.1363</v>
      </c>
      <c r="BX166" s="230">
        <v>274376000</v>
      </c>
      <c r="BY166" s="230">
        <v>267944000</v>
      </c>
      <c r="BZ166" s="230">
        <v>6432000</v>
      </c>
      <c r="CA166" s="229">
        <v>2.4E-2</v>
      </c>
      <c r="CB166" s="230">
        <v>161952000</v>
      </c>
      <c r="CC166" s="230">
        <v>203616000</v>
      </c>
      <c r="CD166" s="230">
        <v>-41664000</v>
      </c>
      <c r="CE166" s="229">
        <v>-0.2046</v>
      </c>
      <c r="CF166" s="230">
        <v>100192000</v>
      </c>
      <c r="CG166" s="230">
        <v>52864000</v>
      </c>
      <c r="CH166" s="230">
        <v>47328000</v>
      </c>
      <c r="CI166" s="229">
        <v>0.89529999999999998</v>
      </c>
      <c r="CJ166" s="230">
        <v>12232000</v>
      </c>
      <c r="CK166" s="230">
        <v>11464000</v>
      </c>
      <c r="CL166" s="230">
        <v>768000</v>
      </c>
      <c r="CM166" s="229">
        <v>6.7000000000000004E-2</v>
      </c>
      <c r="CN166" s="230">
        <v>88024000</v>
      </c>
      <c r="CO166" s="230">
        <v>87776000</v>
      </c>
      <c r="CP166" s="230">
        <v>248000</v>
      </c>
      <c r="CQ166" s="229">
        <v>2.8E-3</v>
      </c>
      <c r="CR166" s="230">
        <v>77752000</v>
      </c>
      <c r="CS166" s="230">
        <v>79872000</v>
      </c>
      <c r="CT166" s="230">
        <v>-2120000</v>
      </c>
      <c r="CU166" s="229">
        <v>-2.6499999999999999E-2</v>
      </c>
      <c r="CV166" s="230">
        <v>440152000</v>
      </c>
      <c r="CW166" s="230">
        <v>435592000</v>
      </c>
      <c r="CX166" s="230">
        <v>4560000</v>
      </c>
      <c r="CY166" s="229">
        <v>1.0500000000000001E-2</v>
      </c>
      <c r="CZ166" s="228">
        <v>34.299999999999997</v>
      </c>
      <c r="DA166" s="228">
        <v>32.729999999999997</v>
      </c>
      <c r="DB166" s="228">
        <v>1.57</v>
      </c>
      <c r="DC166" s="228">
        <v>1.57</v>
      </c>
      <c r="DD166" s="228">
        <v>37.68</v>
      </c>
      <c r="DE166" s="228">
        <v>37.71</v>
      </c>
      <c r="DF166" s="228">
        <v>-3.38</v>
      </c>
      <c r="DG166" s="228">
        <v>-0.03</v>
      </c>
      <c r="DH166" s="228">
        <v>34.200000000000003</v>
      </c>
      <c r="DI166" s="228">
        <v>31.2</v>
      </c>
      <c r="DJ166" s="228">
        <v>3</v>
      </c>
      <c r="DK166" s="228">
        <v>3</v>
      </c>
      <c r="DL166" s="228">
        <v>34.450000000000003</v>
      </c>
      <c r="DM166" s="228">
        <v>35.33</v>
      </c>
      <c r="DN166" s="228">
        <v>-0.88</v>
      </c>
      <c r="DO166" s="228">
        <v>-0.88</v>
      </c>
      <c r="DP166" s="228">
        <v>0.88</v>
      </c>
      <c r="DQ166" s="228">
        <v>0.91</v>
      </c>
      <c r="DR166" s="228">
        <v>-0.03</v>
      </c>
      <c r="DS166" s="229">
        <v>-3.3000000000000002E-2</v>
      </c>
      <c r="DT166" s="228">
        <v>115</v>
      </c>
      <c r="DU166" s="228">
        <v>110</v>
      </c>
      <c r="DV166" s="228">
        <v>0.69</v>
      </c>
      <c r="DW166" s="228">
        <v>0.59</v>
      </c>
      <c r="DX166" s="228">
        <v>0.1</v>
      </c>
      <c r="DY166" s="229">
        <v>0.16950000000000001</v>
      </c>
      <c r="DZ166" s="229">
        <v>0.40970000000000001</v>
      </c>
      <c r="EA166" s="230">
        <v>64328000</v>
      </c>
      <c r="EB166" s="229">
        <v>5.1000000000000004E-3</v>
      </c>
      <c r="EC166" s="229">
        <v>0.40970000000000001</v>
      </c>
      <c r="ED166" s="228">
        <v>0.6</v>
      </c>
      <c r="EE166" s="229">
        <v>5.3E-3</v>
      </c>
      <c r="EF166" s="230">
        <v>7218854</v>
      </c>
      <c r="EG166" s="230">
        <v>10677944</v>
      </c>
      <c r="EH166" s="229">
        <v>-0.32390000000000002</v>
      </c>
      <c r="EI166" s="229">
        <v>0.38890000000000002</v>
      </c>
      <c r="EJ166" s="231">
        <v>146189.35</v>
      </c>
      <c r="EK166" s="231">
        <v>95538.72</v>
      </c>
      <c r="EL166" s="231">
        <v>153977.84</v>
      </c>
      <c r="EM166" s="231">
        <v>5990</v>
      </c>
      <c r="EN166" s="231">
        <v>395705.91</v>
      </c>
      <c r="EO166" s="231">
        <v>257826</v>
      </c>
      <c r="EP166" s="231">
        <v>137879.91</v>
      </c>
      <c r="EQ166" s="229">
        <v>0.53480000000000005</v>
      </c>
      <c r="ER166" s="231">
        <v>102543</v>
      </c>
      <c r="ES166" s="231">
        <v>85050</v>
      </c>
      <c r="ET166" s="231">
        <v>310097</v>
      </c>
      <c r="EU166" s="231">
        <v>515822637</v>
      </c>
      <c r="EV166" s="231">
        <v>497690</v>
      </c>
      <c r="EW166" s="231">
        <v>497669</v>
      </c>
      <c r="EX166" s="228">
        <v>21</v>
      </c>
      <c r="EY166" s="229">
        <v>0</v>
      </c>
      <c r="EZ166" s="229">
        <v>0.85329999999999995</v>
      </c>
      <c r="FA166" s="227" t="s">
        <v>566</v>
      </c>
      <c r="FB166" s="161">
        <f t="shared" si="4"/>
        <v>0</v>
      </c>
    </row>
    <row r="167" spans="1:158" ht="17.25" thickBot="1" x14ac:dyDescent="0.3">
      <c r="A167" s="226">
        <v>46135</v>
      </c>
      <c r="B167" s="227" t="s">
        <v>175</v>
      </c>
      <c r="C167" s="227" t="s">
        <v>668</v>
      </c>
      <c r="D167" s="228">
        <v>650</v>
      </c>
      <c r="E167" s="231">
        <v>1008.9</v>
      </c>
      <c r="F167" s="228">
        <v>992.45</v>
      </c>
      <c r="G167" s="228">
        <v>16.45</v>
      </c>
      <c r="H167" s="229">
        <v>1.66E-2</v>
      </c>
      <c r="I167" s="231">
        <v>1007.75</v>
      </c>
      <c r="J167" s="228">
        <v>990.25</v>
      </c>
      <c r="K167" s="228">
        <v>17.5</v>
      </c>
      <c r="L167" s="229">
        <v>1.77E-2</v>
      </c>
      <c r="M167" s="231">
        <v>1008.9</v>
      </c>
      <c r="N167" s="228">
        <v>992.45</v>
      </c>
      <c r="O167" s="228">
        <v>16.45</v>
      </c>
      <c r="P167" s="229">
        <v>1.66E-2</v>
      </c>
      <c r="Q167" s="231">
        <v>1014.2</v>
      </c>
      <c r="R167" s="228">
        <v>997.1</v>
      </c>
      <c r="S167" s="228">
        <v>17.100000000000001</v>
      </c>
      <c r="T167" s="229">
        <v>1.7100000000000001E-2</v>
      </c>
      <c r="U167" s="231">
        <v>1016.15</v>
      </c>
      <c r="V167" s="231">
        <v>1002.8</v>
      </c>
      <c r="W167" s="228">
        <v>13.35</v>
      </c>
      <c r="X167" s="229">
        <v>1.3299999999999999E-2</v>
      </c>
      <c r="Y167" s="228">
        <v>1.1499999999999999</v>
      </c>
      <c r="Z167" s="228">
        <v>2.2000000000000002</v>
      </c>
      <c r="AA167" s="228">
        <v>-1.05</v>
      </c>
      <c r="AB167" s="229">
        <v>1.1000000000000001E-3</v>
      </c>
      <c r="AC167" s="228">
        <v>1.1499999999999999</v>
      </c>
      <c r="AD167" s="228">
        <v>2.2000000000000002</v>
      </c>
      <c r="AE167" s="228">
        <v>-1.05</v>
      </c>
      <c r="AF167" s="229">
        <v>1.1000000000000001E-3</v>
      </c>
      <c r="AG167" s="228">
        <v>6.45</v>
      </c>
      <c r="AH167" s="228">
        <v>6.85</v>
      </c>
      <c r="AI167" s="228">
        <v>-0.4</v>
      </c>
      <c r="AJ167" s="229">
        <v>6.4000000000000003E-3</v>
      </c>
      <c r="AK167" s="228">
        <v>8.4</v>
      </c>
      <c r="AL167" s="228">
        <v>12.55</v>
      </c>
      <c r="AM167" s="228">
        <v>-4.1500000000000004</v>
      </c>
      <c r="AN167" s="229">
        <v>8.3000000000000001E-3</v>
      </c>
      <c r="AO167" s="231">
        <v>1001.51</v>
      </c>
      <c r="AP167" s="231">
        <v>1006.95</v>
      </c>
      <c r="AQ167" s="228">
        <v>0</v>
      </c>
      <c r="AR167" s="230">
        <v>10142600</v>
      </c>
      <c r="AS167" s="230">
        <v>5077800</v>
      </c>
      <c r="AT167" s="230">
        <v>5064800</v>
      </c>
      <c r="AU167" s="229">
        <v>0.99739999999999995</v>
      </c>
      <c r="AV167" s="230">
        <v>5564000</v>
      </c>
      <c r="AW167" s="230">
        <v>3620500</v>
      </c>
      <c r="AX167" s="230">
        <v>1943500</v>
      </c>
      <c r="AY167" s="229">
        <v>0.53680000000000005</v>
      </c>
      <c r="AZ167" s="230">
        <v>4561700</v>
      </c>
      <c r="BA167" s="230">
        <v>1441700</v>
      </c>
      <c r="BB167" s="230">
        <v>3120000</v>
      </c>
      <c r="BC167" s="229">
        <v>2.1640999999999999</v>
      </c>
      <c r="BD167" s="230">
        <v>16900</v>
      </c>
      <c r="BE167" s="230">
        <v>15600</v>
      </c>
      <c r="BF167" s="230">
        <v>1300</v>
      </c>
      <c r="BG167" s="229">
        <v>8.3299999999999999E-2</v>
      </c>
      <c r="BH167" s="230">
        <v>16130400</v>
      </c>
      <c r="BI167" s="230">
        <v>18620550</v>
      </c>
      <c r="BJ167" s="230">
        <v>-2490150</v>
      </c>
      <c r="BK167" s="229">
        <v>-0.13370000000000001</v>
      </c>
      <c r="BL167" s="230">
        <v>8883550</v>
      </c>
      <c r="BM167" s="230">
        <v>9364550</v>
      </c>
      <c r="BN167" s="230">
        <v>-481000</v>
      </c>
      <c r="BO167" s="229">
        <v>-5.1400000000000001E-2</v>
      </c>
      <c r="BP167" s="230">
        <v>35156550</v>
      </c>
      <c r="BQ167" s="230">
        <v>33062900</v>
      </c>
      <c r="BR167" s="230">
        <v>2093650</v>
      </c>
      <c r="BS167" s="229">
        <v>6.3299999999999995E-2</v>
      </c>
      <c r="BT167" s="230">
        <v>1773443</v>
      </c>
      <c r="BU167" s="230">
        <v>4095693</v>
      </c>
      <c r="BV167" s="230">
        <v>-2322250</v>
      </c>
      <c r="BW167" s="229">
        <v>-0.56699999999999995</v>
      </c>
      <c r="BX167" s="230">
        <v>12583350</v>
      </c>
      <c r="BY167" s="230">
        <v>12243400</v>
      </c>
      <c r="BZ167" s="230">
        <v>339950</v>
      </c>
      <c r="CA167" s="229">
        <v>2.7799999999999998E-2</v>
      </c>
      <c r="CB167" s="230">
        <v>7630350</v>
      </c>
      <c r="CC167" s="230">
        <v>10656750</v>
      </c>
      <c r="CD167" s="230">
        <v>-3026400</v>
      </c>
      <c r="CE167" s="229">
        <v>-0.28399999999999997</v>
      </c>
      <c r="CF167" s="230">
        <v>4915950</v>
      </c>
      <c r="CG167" s="230">
        <v>1548300</v>
      </c>
      <c r="CH167" s="230">
        <v>3367650</v>
      </c>
      <c r="CI167" s="229">
        <v>2.1751</v>
      </c>
      <c r="CJ167" s="230">
        <v>37050</v>
      </c>
      <c r="CK167" s="230">
        <v>38350</v>
      </c>
      <c r="CL167" s="230">
        <v>-1300</v>
      </c>
      <c r="CM167" s="229">
        <v>-3.39E-2</v>
      </c>
      <c r="CN167" s="230">
        <v>5424250</v>
      </c>
      <c r="CO167" s="230">
        <v>6273800</v>
      </c>
      <c r="CP167" s="230">
        <v>-849550</v>
      </c>
      <c r="CQ167" s="229">
        <v>-0.13539999999999999</v>
      </c>
      <c r="CR167" s="230">
        <v>5707000</v>
      </c>
      <c r="CS167" s="230">
        <v>5483400</v>
      </c>
      <c r="CT167" s="230">
        <v>223600</v>
      </c>
      <c r="CU167" s="229">
        <v>4.0800000000000003E-2</v>
      </c>
      <c r="CV167" s="230">
        <v>23714600</v>
      </c>
      <c r="CW167" s="230">
        <v>24000600</v>
      </c>
      <c r="CX167" s="230">
        <v>-286000</v>
      </c>
      <c r="CY167" s="229">
        <v>-1.1900000000000001E-2</v>
      </c>
      <c r="CZ167" s="228">
        <v>34.159999999999997</v>
      </c>
      <c r="DA167" s="228">
        <v>37.86</v>
      </c>
      <c r="DB167" s="228">
        <v>-3.7</v>
      </c>
      <c r="DC167" s="228">
        <v>-3.7</v>
      </c>
      <c r="DD167" s="228">
        <v>48.06</v>
      </c>
      <c r="DE167" s="228">
        <v>48.13</v>
      </c>
      <c r="DF167" s="228">
        <v>-13.9</v>
      </c>
      <c r="DG167" s="228">
        <v>-7.0000000000000007E-2</v>
      </c>
      <c r="DH167" s="228">
        <v>33.64</v>
      </c>
      <c r="DI167" s="228">
        <v>37.08</v>
      </c>
      <c r="DJ167" s="228">
        <v>-3.44</v>
      </c>
      <c r="DK167" s="228">
        <v>-3.44</v>
      </c>
      <c r="DL167" s="228">
        <v>35.9</v>
      </c>
      <c r="DM167" s="228">
        <v>39.409999999999997</v>
      </c>
      <c r="DN167" s="228">
        <v>-3.51</v>
      </c>
      <c r="DO167" s="228">
        <v>-3.51</v>
      </c>
      <c r="DP167" s="228">
        <v>1.05</v>
      </c>
      <c r="DQ167" s="228">
        <v>0.87</v>
      </c>
      <c r="DR167" s="228">
        <v>0.18</v>
      </c>
      <c r="DS167" s="229">
        <v>0.2069</v>
      </c>
      <c r="DT167" s="231">
        <v>1000</v>
      </c>
      <c r="DU167" s="231">
        <v>1000</v>
      </c>
      <c r="DV167" s="228">
        <v>0.55000000000000004</v>
      </c>
      <c r="DW167" s="228">
        <v>0.5</v>
      </c>
      <c r="DX167" s="228">
        <v>0.05</v>
      </c>
      <c r="DY167" s="229">
        <v>0.1</v>
      </c>
      <c r="DZ167" s="229">
        <v>0.39360000000000001</v>
      </c>
      <c r="EA167" s="230">
        <v>1586650</v>
      </c>
      <c r="EB167" s="229">
        <v>5.3E-3</v>
      </c>
      <c r="EC167" s="229">
        <v>0.39360000000000001</v>
      </c>
      <c r="ED167" s="228">
        <v>5.44</v>
      </c>
      <c r="EE167" s="229">
        <v>5.4000000000000003E-3</v>
      </c>
      <c r="EF167" s="230">
        <v>541935</v>
      </c>
      <c r="EG167" s="230">
        <v>1692106</v>
      </c>
      <c r="EH167" s="229">
        <v>-0.67969999999999997</v>
      </c>
      <c r="EI167" s="229">
        <v>0.30559999999999998</v>
      </c>
      <c r="EJ167" s="231">
        <v>166542.9</v>
      </c>
      <c r="EK167" s="231">
        <v>85622</v>
      </c>
      <c r="EL167" s="231">
        <v>101829.39</v>
      </c>
      <c r="EM167" s="231">
        <v>9518</v>
      </c>
      <c r="EN167" s="231">
        <v>353994.29</v>
      </c>
      <c r="EO167" s="231">
        <v>331928.40000000002</v>
      </c>
      <c r="EP167" s="231">
        <v>22065.89</v>
      </c>
      <c r="EQ167" s="229">
        <v>6.6500000000000004E-2</v>
      </c>
      <c r="ER167" s="231">
        <v>53315</v>
      </c>
      <c r="ES167" s="231">
        <v>51870</v>
      </c>
      <c r="ET167" s="231">
        <v>127217</v>
      </c>
      <c r="EU167" s="231">
        <v>28118603</v>
      </c>
      <c r="EV167" s="231">
        <v>232401</v>
      </c>
      <c r="EW167" s="231">
        <v>232754</v>
      </c>
      <c r="EX167" s="228">
        <v>-353</v>
      </c>
      <c r="EY167" s="229">
        <v>-1.5E-3</v>
      </c>
      <c r="EZ167" s="229">
        <v>0.84340000000000004</v>
      </c>
      <c r="FA167" s="227" t="s">
        <v>555</v>
      </c>
      <c r="FB167" s="161">
        <f t="shared" si="4"/>
        <v>0</v>
      </c>
    </row>
    <row r="168" spans="1:158" ht="17.25" thickBot="1" x14ac:dyDescent="0.3">
      <c r="A168" s="226">
        <v>46135</v>
      </c>
      <c r="B168" s="227" t="s">
        <v>614</v>
      </c>
      <c r="C168" s="227" t="s">
        <v>572</v>
      </c>
      <c r="D168" s="228">
        <v>350</v>
      </c>
      <c r="E168" s="231">
        <v>1671.9</v>
      </c>
      <c r="F168" s="231">
        <v>1623.9</v>
      </c>
      <c r="G168" s="228">
        <v>48</v>
      </c>
      <c r="H168" s="229">
        <v>2.9600000000000001E-2</v>
      </c>
      <c r="I168" s="231">
        <v>1670.8</v>
      </c>
      <c r="J168" s="231">
        <v>1625.8</v>
      </c>
      <c r="K168" s="228">
        <v>45</v>
      </c>
      <c r="L168" s="229">
        <v>2.7699999999999999E-2</v>
      </c>
      <c r="M168" s="231">
        <v>1671.9</v>
      </c>
      <c r="N168" s="231">
        <v>1623.9</v>
      </c>
      <c r="O168" s="228">
        <v>48</v>
      </c>
      <c r="P168" s="229">
        <v>2.9600000000000001E-2</v>
      </c>
      <c r="Q168" s="231">
        <v>1679.5</v>
      </c>
      <c r="R168" s="231">
        <v>1632.3</v>
      </c>
      <c r="S168" s="228">
        <v>47.2</v>
      </c>
      <c r="T168" s="229">
        <v>2.8899999999999999E-2</v>
      </c>
      <c r="U168" s="231">
        <v>1689.6</v>
      </c>
      <c r="V168" s="231">
        <v>1639.4</v>
      </c>
      <c r="W168" s="228">
        <v>50.2</v>
      </c>
      <c r="X168" s="229">
        <v>3.0599999999999999E-2</v>
      </c>
      <c r="Y168" s="228">
        <v>1.1000000000000001</v>
      </c>
      <c r="Z168" s="228">
        <v>-1.9</v>
      </c>
      <c r="AA168" s="228">
        <v>3</v>
      </c>
      <c r="AB168" s="229">
        <v>6.9999999999999999E-4</v>
      </c>
      <c r="AC168" s="228">
        <v>1.1000000000000001</v>
      </c>
      <c r="AD168" s="228">
        <v>-1.9</v>
      </c>
      <c r="AE168" s="228">
        <v>3</v>
      </c>
      <c r="AF168" s="229">
        <v>6.9999999999999999E-4</v>
      </c>
      <c r="AG168" s="228">
        <v>8.6999999999999993</v>
      </c>
      <c r="AH168" s="228">
        <v>6.5</v>
      </c>
      <c r="AI168" s="228">
        <v>2.2000000000000002</v>
      </c>
      <c r="AJ168" s="229">
        <v>5.1999999999999998E-3</v>
      </c>
      <c r="AK168" s="228">
        <v>18.8</v>
      </c>
      <c r="AL168" s="228">
        <v>13.6</v>
      </c>
      <c r="AM168" s="228">
        <v>5.2</v>
      </c>
      <c r="AN168" s="229">
        <v>1.1299999999999999E-2</v>
      </c>
      <c r="AO168" s="231">
        <v>1663.73</v>
      </c>
      <c r="AP168" s="231">
        <v>1674.65</v>
      </c>
      <c r="AQ168" s="228">
        <v>0</v>
      </c>
      <c r="AR168" s="230">
        <v>6225100</v>
      </c>
      <c r="AS168" s="230">
        <v>2746100</v>
      </c>
      <c r="AT168" s="230">
        <v>3479000</v>
      </c>
      <c r="AU168" s="229">
        <v>1.2668999999999999</v>
      </c>
      <c r="AV168" s="230">
        <v>2930900</v>
      </c>
      <c r="AW168" s="230">
        <v>1871100</v>
      </c>
      <c r="AX168" s="230">
        <v>1059800</v>
      </c>
      <c r="AY168" s="229">
        <v>0.56640000000000001</v>
      </c>
      <c r="AZ168" s="230">
        <v>3152100</v>
      </c>
      <c r="BA168" s="230">
        <v>869400</v>
      </c>
      <c r="BB168" s="230">
        <v>2282700</v>
      </c>
      <c r="BC168" s="229">
        <v>2.6255999999999999</v>
      </c>
      <c r="BD168" s="230">
        <v>142100</v>
      </c>
      <c r="BE168" s="230">
        <v>5600</v>
      </c>
      <c r="BF168" s="230">
        <v>136500</v>
      </c>
      <c r="BG168" s="229">
        <v>24.375</v>
      </c>
      <c r="BH168" s="230">
        <v>7630700</v>
      </c>
      <c r="BI168" s="230">
        <v>3479350</v>
      </c>
      <c r="BJ168" s="230">
        <v>4151350</v>
      </c>
      <c r="BK168" s="229">
        <v>1.1931</v>
      </c>
      <c r="BL168" s="230">
        <v>3612000</v>
      </c>
      <c r="BM168" s="230">
        <v>1867600</v>
      </c>
      <c r="BN168" s="230">
        <v>1744400</v>
      </c>
      <c r="BO168" s="229">
        <v>0.93400000000000005</v>
      </c>
      <c r="BP168" s="230">
        <v>17467800</v>
      </c>
      <c r="BQ168" s="230">
        <v>8093050</v>
      </c>
      <c r="BR168" s="230">
        <v>9374750</v>
      </c>
      <c r="BS168" s="229">
        <v>1.1584000000000001</v>
      </c>
      <c r="BT168" s="230">
        <v>2396300</v>
      </c>
      <c r="BU168" s="230">
        <v>1901042</v>
      </c>
      <c r="BV168" s="230">
        <v>495258</v>
      </c>
      <c r="BW168" s="229">
        <v>0.26050000000000001</v>
      </c>
      <c r="BX168" s="230">
        <v>8396150</v>
      </c>
      <c r="BY168" s="230">
        <v>7762650</v>
      </c>
      <c r="BZ168" s="230">
        <v>633500</v>
      </c>
      <c r="CA168" s="229">
        <v>8.1600000000000006E-2</v>
      </c>
      <c r="CB168" s="230">
        <v>4232900</v>
      </c>
      <c r="CC168" s="230">
        <v>6146350</v>
      </c>
      <c r="CD168" s="230">
        <v>-1913450</v>
      </c>
      <c r="CE168" s="229">
        <v>-0.31130000000000002</v>
      </c>
      <c r="CF168" s="230">
        <v>4020450</v>
      </c>
      <c r="CG168" s="230">
        <v>1600900</v>
      </c>
      <c r="CH168" s="230">
        <v>2419550</v>
      </c>
      <c r="CI168" s="229">
        <v>1.5114000000000001</v>
      </c>
      <c r="CJ168" s="230">
        <v>142800</v>
      </c>
      <c r="CK168" s="230">
        <v>15400</v>
      </c>
      <c r="CL168" s="230">
        <v>127400</v>
      </c>
      <c r="CM168" s="229">
        <v>8.2727000000000004</v>
      </c>
      <c r="CN168" s="230">
        <v>2144450</v>
      </c>
      <c r="CO168" s="230">
        <v>2273250</v>
      </c>
      <c r="CP168" s="230">
        <v>-128800</v>
      </c>
      <c r="CQ168" s="229">
        <v>-5.67E-2</v>
      </c>
      <c r="CR168" s="230">
        <v>1940400</v>
      </c>
      <c r="CS168" s="230">
        <v>1621900</v>
      </c>
      <c r="CT168" s="230">
        <v>318500</v>
      </c>
      <c r="CU168" s="229">
        <v>0.19639999999999999</v>
      </c>
      <c r="CV168" s="230">
        <v>12481000</v>
      </c>
      <c r="CW168" s="230">
        <v>11657800</v>
      </c>
      <c r="CX168" s="230">
        <v>823200</v>
      </c>
      <c r="CY168" s="229">
        <v>7.0599999999999996E-2</v>
      </c>
      <c r="CZ168" s="228">
        <v>40.090000000000003</v>
      </c>
      <c r="DA168" s="228">
        <v>34.08</v>
      </c>
      <c r="DB168" s="228">
        <v>6.01</v>
      </c>
      <c r="DC168" s="228">
        <v>6.01</v>
      </c>
      <c r="DD168" s="228">
        <v>45.61</v>
      </c>
      <c r="DE168" s="228">
        <v>45.57</v>
      </c>
      <c r="DF168" s="228">
        <v>-5.52</v>
      </c>
      <c r="DG168" s="228">
        <v>0.04</v>
      </c>
      <c r="DH168" s="228">
        <v>39.840000000000003</v>
      </c>
      <c r="DI168" s="228">
        <v>32.81</v>
      </c>
      <c r="DJ168" s="228">
        <v>7.03</v>
      </c>
      <c r="DK168" s="228">
        <v>7.03</v>
      </c>
      <c r="DL168" s="228">
        <v>40.56</v>
      </c>
      <c r="DM168" s="228">
        <v>36.42</v>
      </c>
      <c r="DN168" s="228">
        <v>4.1399999999999997</v>
      </c>
      <c r="DO168" s="228">
        <v>4.1399999999999997</v>
      </c>
      <c r="DP168" s="228">
        <v>0.9</v>
      </c>
      <c r="DQ168" s="228">
        <v>0.71</v>
      </c>
      <c r="DR168" s="228">
        <v>0.19</v>
      </c>
      <c r="DS168" s="229">
        <v>0.2676</v>
      </c>
      <c r="DT168" s="231">
        <v>1720</v>
      </c>
      <c r="DU168" s="231">
        <v>1500</v>
      </c>
      <c r="DV168" s="228">
        <v>0.47</v>
      </c>
      <c r="DW168" s="228">
        <v>0.54</v>
      </c>
      <c r="DX168" s="228">
        <v>-7.0000000000000007E-2</v>
      </c>
      <c r="DY168" s="229">
        <v>-0.12959999999999999</v>
      </c>
      <c r="DZ168" s="229">
        <v>0.49590000000000001</v>
      </c>
      <c r="EA168" s="230">
        <v>1616300</v>
      </c>
      <c r="EB168" s="229">
        <v>4.4999999999999997E-3</v>
      </c>
      <c r="EC168" s="229">
        <v>0.49590000000000001</v>
      </c>
      <c r="ED168" s="228">
        <v>10.92</v>
      </c>
      <c r="EE168" s="229">
        <v>6.6E-3</v>
      </c>
      <c r="EF168" s="230">
        <v>1347815</v>
      </c>
      <c r="EG168" s="230">
        <v>1214036</v>
      </c>
      <c r="EH168" s="229">
        <v>0.11020000000000001</v>
      </c>
      <c r="EI168" s="229">
        <v>0.5625</v>
      </c>
      <c r="EJ168" s="231">
        <v>130560.7</v>
      </c>
      <c r="EK168" s="231">
        <v>57866.43</v>
      </c>
      <c r="EL168" s="231">
        <v>103954.25</v>
      </c>
      <c r="EM168" s="231">
        <v>7640</v>
      </c>
      <c r="EN168" s="231">
        <v>292381.38</v>
      </c>
      <c r="EO168" s="231">
        <v>132523.29999999999</v>
      </c>
      <c r="EP168" s="231">
        <v>159858.07999999999</v>
      </c>
      <c r="EQ168" s="229">
        <v>1.2062999999999999</v>
      </c>
      <c r="ER168" s="231">
        <v>34592</v>
      </c>
      <c r="ES168" s="231">
        <v>29874</v>
      </c>
      <c r="ET168" s="231">
        <v>140706</v>
      </c>
      <c r="EU168" s="231">
        <v>69300607</v>
      </c>
      <c r="EV168" s="231">
        <v>205172</v>
      </c>
      <c r="EW168" s="231">
        <v>187090</v>
      </c>
      <c r="EX168" s="231">
        <v>18082</v>
      </c>
      <c r="EY168" s="229">
        <v>9.6600000000000005E-2</v>
      </c>
      <c r="EZ168" s="229">
        <v>0.18010000000000001</v>
      </c>
      <c r="FA168" s="227" t="s">
        <v>555</v>
      </c>
      <c r="FB168" s="161">
        <f t="shared" si="4"/>
        <v>0</v>
      </c>
    </row>
    <row r="169" spans="1:158" ht="17.25" thickBot="1" x14ac:dyDescent="0.3">
      <c r="A169" s="226">
        <v>46135</v>
      </c>
      <c r="B169" s="227" t="s">
        <v>184</v>
      </c>
      <c r="C169" s="227" t="s">
        <v>519</v>
      </c>
      <c r="D169" s="228">
        <v>125</v>
      </c>
      <c r="E169" s="231">
        <v>7995.5</v>
      </c>
      <c r="F169" s="231">
        <v>8060</v>
      </c>
      <c r="G169" s="228">
        <v>-64.5</v>
      </c>
      <c r="H169" s="229">
        <v>-8.0000000000000002E-3</v>
      </c>
      <c r="I169" s="231">
        <v>7963.5</v>
      </c>
      <c r="J169" s="231">
        <v>8038</v>
      </c>
      <c r="K169" s="228">
        <v>-74.5</v>
      </c>
      <c r="L169" s="229">
        <v>-9.2999999999999992E-3</v>
      </c>
      <c r="M169" s="231">
        <v>7995.5</v>
      </c>
      <c r="N169" s="231">
        <v>8060</v>
      </c>
      <c r="O169" s="228">
        <v>-64.5</v>
      </c>
      <c r="P169" s="229">
        <v>-8.0000000000000002E-3</v>
      </c>
      <c r="Q169" s="231">
        <v>8010.5</v>
      </c>
      <c r="R169" s="231">
        <v>8065</v>
      </c>
      <c r="S169" s="228">
        <v>-54.5</v>
      </c>
      <c r="T169" s="229">
        <v>-6.7999999999999996E-3</v>
      </c>
      <c r="U169" s="231">
        <v>8019</v>
      </c>
      <c r="V169" s="231">
        <v>8044.5</v>
      </c>
      <c r="W169" s="228">
        <v>-25.5</v>
      </c>
      <c r="X169" s="229">
        <v>-3.2000000000000002E-3</v>
      </c>
      <c r="Y169" s="228">
        <v>32</v>
      </c>
      <c r="Z169" s="228">
        <v>22</v>
      </c>
      <c r="AA169" s="228">
        <v>10</v>
      </c>
      <c r="AB169" s="229">
        <v>4.0000000000000001E-3</v>
      </c>
      <c r="AC169" s="228">
        <v>32</v>
      </c>
      <c r="AD169" s="228">
        <v>22</v>
      </c>
      <c r="AE169" s="228">
        <v>10</v>
      </c>
      <c r="AF169" s="229">
        <v>4.0000000000000001E-3</v>
      </c>
      <c r="AG169" s="228">
        <v>47</v>
      </c>
      <c r="AH169" s="228">
        <v>27</v>
      </c>
      <c r="AI169" s="228">
        <v>20</v>
      </c>
      <c r="AJ169" s="229">
        <v>5.8999999999999999E-3</v>
      </c>
      <c r="AK169" s="228">
        <v>55.5</v>
      </c>
      <c r="AL169" s="228">
        <v>6.5</v>
      </c>
      <c r="AM169" s="228">
        <v>49</v>
      </c>
      <c r="AN169" s="229">
        <v>7.0000000000000001E-3</v>
      </c>
      <c r="AO169" s="231">
        <v>8075.63</v>
      </c>
      <c r="AP169" s="231">
        <v>8080.27</v>
      </c>
      <c r="AQ169" s="228">
        <v>0</v>
      </c>
      <c r="AR169" s="230">
        <v>1378250</v>
      </c>
      <c r="AS169" s="230">
        <v>874375</v>
      </c>
      <c r="AT169" s="230">
        <v>503875</v>
      </c>
      <c r="AU169" s="229">
        <v>0.57630000000000003</v>
      </c>
      <c r="AV169" s="230">
        <v>760000</v>
      </c>
      <c r="AW169" s="230">
        <v>647875</v>
      </c>
      <c r="AX169" s="230">
        <v>112125</v>
      </c>
      <c r="AY169" s="229">
        <v>0.1731</v>
      </c>
      <c r="AZ169" s="230">
        <v>609500</v>
      </c>
      <c r="BA169" s="230">
        <v>215875</v>
      </c>
      <c r="BB169" s="230">
        <v>393625</v>
      </c>
      <c r="BC169" s="229">
        <v>1.8233999999999999</v>
      </c>
      <c r="BD169" s="230">
        <v>8750</v>
      </c>
      <c r="BE169" s="230">
        <v>10625</v>
      </c>
      <c r="BF169" s="230">
        <v>-1875</v>
      </c>
      <c r="BG169" s="229">
        <v>-0.17649999999999999</v>
      </c>
      <c r="BH169" s="230">
        <v>2573500</v>
      </c>
      <c r="BI169" s="230">
        <v>3954750</v>
      </c>
      <c r="BJ169" s="230">
        <v>-1381250</v>
      </c>
      <c r="BK169" s="229">
        <v>-0.3493</v>
      </c>
      <c r="BL169" s="230">
        <v>2191125</v>
      </c>
      <c r="BM169" s="230">
        <v>2211125</v>
      </c>
      <c r="BN169" s="230">
        <v>-20000</v>
      </c>
      <c r="BO169" s="229">
        <v>-8.9999999999999993E-3</v>
      </c>
      <c r="BP169" s="230">
        <v>6142875</v>
      </c>
      <c r="BQ169" s="230">
        <v>7040250</v>
      </c>
      <c r="BR169" s="230">
        <v>-897375</v>
      </c>
      <c r="BS169" s="229">
        <v>-0.1275</v>
      </c>
      <c r="BT169" s="230">
        <v>493758</v>
      </c>
      <c r="BU169" s="230">
        <v>490405</v>
      </c>
      <c r="BV169" s="230">
        <v>3353</v>
      </c>
      <c r="BW169" s="229">
        <v>6.7999999999999996E-3</v>
      </c>
      <c r="BX169" s="230">
        <v>1914625</v>
      </c>
      <c r="BY169" s="230">
        <v>1934000</v>
      </c>
      <c r="BZ169" s="230">
        <v>-19375</v>
      </c>
      <c r="CA169" s="229">
        <v>-0.01</v>
      </c>
      <c r="CB169" s="230">
        <v>1366000</v>
      </c>
      <c r="CC169" s="230">
        <v>1707125</v>
      </c>
      <c r="CD169" s="230">
        <v>-341125</v>
      </c>
      <c r="CE169" s="229">
        <v>-0.19980000000000001</v>
      </c>
      <c r="CF169" s="230">
        <v>530125</v>
      </c>
      <c r="CG169" s="230">
        <v>213625</v>
      </c>
      <c r="CH169" s="230">
        <v>316500</v>
      </c>
      <c r="CI169" s="229">
        <v>1.4816</v>
      </c>
      <c r="CJ169" s="230">
        <v>18500</v>
      </c>
      <c r="CK169" s="230">
        <v>13250</v>
      </c>
      <c r="CL169" s="230">
        <v>5250</v>
      </c>
      <c r="CM169" s="229">
        <v>0.3962</v>
      </c>
      <c r="CN169" s="230">
        <v>1458500</v>
      </c>
      <c r="CO169" s="230">
        <v>1410250</v>
      </c>
      <c r="CP169" s="230">
        <v>48250</v>
      </c>
      <c r="CQ169" s="229">
        <v>3.4200000000000001E-2</v>
      </c>
      <c r="CR169" s="230">
        <v>1095125</v>
      </c>
      <c r="CS169" s="230">
        <v>1181750</v>
      </c>
      <c r="CT169" s="230">
        <v>-86625</v>
      </c>
      <c r="CU169" s="229">
        <v>-7.3300000000000004E-2</v>
      </c>
      <c r="CV169" s="230">
        <v>4468250</v>
      </c>
      <c r="CW169" s="230">
        <v>4526000</v>
      </c>
      <c r="CX169" s="230">
        <v>-57750</v>
      </c>
      <c r="CY169" s="229">
        <v>-1.2800000000000001E-2</v>
      </c>
      <c r="CZ169" s="228">
        <v>39.36</v>
      </c>
      <c r="DA169" s="228">
        <v>37.979999999999997</v>
      </c>
      <c r="DB169" s="228">
        <v>1.38</v>
      </c>
      <c r="DC169" s="228">
        <v>1.38</v>
      </c>
      <c r="DD169" s="228">
        <v>41.54</v>
      </c>
      <c r="DE169" s="228">
        <v>41.63</v>
      </c>
      <c r="DF169" s="228">
        <v>-2.1800000000000002</v>
      </c>
      <c r="DG169" s="228">
        <v>-0.09</v>
      </c>
      <c r="DH169" s="228">
        <v>36.57</v>
      </c>
      <c r="DI169" s="228">
        <v>35.44</v>
      </c>
      <c r="DJ169" s="228">
        <v>1.1299999999999999</v>
      </c>
      <c r="DK169" s="228">
        <v>1.1299999999999999</v>
      </c>
      <c r="DL169" s="228">
        <v>41.32</v>
      </c>
      <c r="DM169" s="228">
        <v>42.53</v>
      </c>
      <c r="DN169" s="228">
        <v>-1.21</v>
      </c>
      <c r="DO169" s="228">
        <v>-1.21</v>
      </c>
      <c r="DP169" s="228">
        <v>0.75</v>
      </c>
      <c r="DQ169" s="228">
        <v>0.84</v>
      </c>
      <c r="DR169" s="228">
        <v>-0.09</v>
      </c>
      <c r="DS169" s="229">
        <v>-0.1071</v>
      </c>
      <c r="DT169" s="231">
        <v>8300</v>
      </c>
      <c r="DU169" s="231">
        <v>8000</v>
      </c>
      <c r="DV169" s="228">
        <v>0.85</v>
      </c>
      <c r="DW169" s="228">
        <v>0.56000000000000005</v>
      </c>
      <c r="DX169" s="228">
        <v>0.28999999999999998</v>
      </c>
      <c r="DY169" s="229">
        <v>0.51790000000000003</v>
      </c>
      <c r="DZ169" s="229">
        <v>0.28649999999999998</v>
      </c>
      <c r="EA169" s="230">
        <v>226875</v>
      </c>
      <c r="EB169" s="229">
        <v>1.9E-3</v>
      </c>
      <c r="EC169" s="229">
        <v>0.28649999999999998</v>
      </c>
      <c r="ED169" s="228">
        <v>4.6399999999999997</v>
      </c>
      <c r="EE169" s="229">
        <v>5.9999999999999995E-4</v>
      </c>
      <c r="EF169" s="230">
        <v>278696</v>
      </c>
      <c r="EG169" s="230">
        <v>214489</v>
      </c>
      <c r="EH169" s="229">
        <v>0.29930000000000001</v>
      </c>
      <c r="EI169" s="229">
        <v>0.56440000000000001</v>
      </c>
      <c r="EJ169" s="231">
        <v>215349.42</v>
      </c>
      <c r="EK169" s="231">
        <v>171575.42</v>
      </c>
      <c r="EL169" s="231">
        <v>111331.89</v>
      </c>
      <c r="EM169" s="231">
        <v>5328</v>
      </c>
      <c r="EN169" s="231">
        <v>498256.73</v>
      </c>
      <c r="EO169" s="231">
        <v>569152.04</v>
      </c>
      <c r="EP169" s="231">
        <v>-70895.31</v>
      </c>
      <c r="EQ169" s="229">
        <v>-0.1246</v>
      </c>
      <c r="ER169" s="231">
        <v>118373</v>
      </c>
      <c r="ES169" s="231">
        <v>81500</v>
      </c>
      <c r="ET169" s="231">
        <v>153168</v>
      </c>
      <c r="EU169" s="231">
        <v>8693344</v>
      </c>
      <c r="EV169" s="231">
        <v>353041</v>
      </c>
      <c r="EW169" s="231">
        <v>358774</v>
      </c>
      <c r="EX169" s="231">
        <v>-5733</v>
      </c>
      <c r="EY169" s="229">
        <v>-1.6E-2</v>
      </c>
      <c r="EZ169" s="229">
        <v>0.51400000000000001</v>
      </c>
      <c r="FA169" s="227" t="s">
        <v>567</v>
      </c>
      <c r="FB169" s="161">
        <f t="shared" si="4"/>
        <v>0</v>
      </c>
    </row>
    <row r="170" spans="1:158" ht="17.25" thickBot="1" x14ac:dyDescent="0.3">
      <c r="A170" s="226">
        <v>46135</v>
      </c>
      <c r="B170" s="227" t="s">
        <v>161</v>
      </c>
      <c r="C170" s="227" t="s">
        <v>276</v>
      </c>
      <c r="D170" s="228">
        <v>1900</v>
      </c>
      <c r="E170" s="228">
        <v>318.25</v>
      </c>
      <c r="F170" s="228">
        <v>319.8</v>
      </c>
      <c r="G170" s="228">
        <v>-1.55</v>
      </c>
      <c r="H170" s="229">
        <v>-4.7999999999999996E-3</v>
      </c>
      <c r="I170" s="228">
        <v>319.14999999999998</v>
      </c>
      <c r="J170" s="228">
        <v>319.75</v>
      </c>
      <c r="K170" s="228">
        <v>-0.6</v>
      </c>
      <c r="L170" s="229">
        <v>-1.9E-3</v>
      </c>
      <c r="M170" s="228">
        <v>318.25</v>
      </c>
      <c r="N170" s="228">
        <v>319.8</v>
      </c>
      <c r="O170" s="228">
        <v>-1.55</v>
      </c>
      <c r="P170" s="229">
        <v>-4.7999999999999996E-3</v>
      </c>
      <c r="Q170" s="228">
        <v>319.85000000000002</v>
      </c>
      <c r="R170" s="228">
        <v>321.7</v>
      </c>
      <c r="S170" s="228">
        <v>-1.85</v>
      </c>
      <c r="T170" s="229">
        <v>-5.7999999999999996E-3</v>
      </c>
      <c r="U170" s="228">
        <v>322.10000000000002</v>
      </c>
      <c r="V170" s="228">
        <v>323.85000000000002</v>
      </c>
      <c r="W170" s="228">
        <v>-1.75</v>
      </c>
      <c r="X170" s="229">
        <v>-5.4000000000000003E-3</v>
      </c>
      <c r="Y170" s="228">
        <v>-0.9</v>
      </c>
      <c r="Z170" s="228">
        <v>0.05</v>
      </c>
      <c r="AA170" s="228">
        <v>-0.95</v>
      </c>
      <c r="AB170" s="229">
        <v>-2.8E-3</v>
      </c>
      <c r="AC170" s="228">
        <v>-0.9</v>
      </c>
      <c r="AD170" s="228">
        <v>0.05</v>
      </c>
      <c r="AE170" s="228">
        <v>-0.95</v>
      </c>
      <c r="AF170" s="229">
        <v>-2.8E-3</v>
      </c>
      <c r="AG170" s="228">
        <v>0.7</v>
      </c>
      <c r="AH170" s="228">
        <v>1.95</v>
      </c>
      <c r="AI170" s="228">
        <v>-1.25</v>
      </c>
      <c r="AJ170" s="229">
        <v>2.2000000000000001E-3</v>
      </c>
      <c r="AK170" s="228">
        <v>2.95</v>
      </c>
      <c r="AL170" s="228">
        <v>4.0999999999999996</v>
      </c>
      <c r="AM170" s="228">
        <v>-1.1499999999999999</v>
      </c>
      <c r="AN170" s="229">
        <v>9.1999999999999998E-3</v>
      </c>
      <c r="AO170" s="228">
        <v>319.33999999999997</v>
      </c>
      <c r="AP170" s="228">
        <v>321.01</v>
      </c>
      <c r="AQ170" s="228">
        <v>0</v>
      </c>
      <c r="AR170" s="230">
        <v>47349900</v>
      </c>
      <c r="AS170" s="230">
        <v>11249900</v>
      </c>
      <c r="AT170" s="230">
        <v>36100000</v>
      </c>
      <c r="AU170" s="229">
        <v>3.2088999999999999</v>
      </c>
      <c r="AV170" s="230">
        <v>24270600</v>
      </c>
      <c r="AW170" s="230">
        <v>7138300</v>
      </c>
      <c r="AX170" s="230">
        <v>17132300</v>
      </c>
      <c r="AY170" s="229">
        <v>2.4001000000000001</v>
      </c>
      <c r="AZ170" s="230">
        <v>22718300</v>
      </c>
      <c r="BA170" s="230">
        <v>3737300</v>
      </c>
      <c r="BB170" s="230">
        <v>18981000</v>
      </c>
      <c r="BC170" s="229">
        <v>5.0788000000000002</v>
      </c>
      <c r="BD170" s="230">
        <v>361000</v>
      </c>
      <c r="BE170" s="230">
        <v>374300</v>
      </c>
      <c r="BF170" s="230">
        <v>-13300</v>
      </c>
      <c r="BG170" s="229">
        <v>-3.5499999999999997E-2</v>
      </c>
      <c r="BH170" s="230">
        <v>47965500</v>
      </c>
      <c r="BI170" s="230">
        <v>51127100</v>
      </c>
      <c r="BJ170" s="230">
        <v>-3161600</v>
      </c>
      <c r="BK170" s="229">
        <v>-6.1800000000000001E-2</v>
      </c>
      <c r="BL170" s="230">
        <v>19902500</v>
      </c>
      <c r="BM170" s="230">
        <v>20597900</v>
      </c>
      <c r="BN170" s="230">
        <v>-695400</v>
      </c>
      <c r="BO170" s="229">
        <v>-3.3799999999999997E-2</v>
      </c>
      <c r="BP170" s="230">
        <v>115217900</v>
      </c>
      <c r="BQ170" s="230">
        <v>82974900</v>
      </c>
      <c r="BR170" s="230">
        <v>32243000</v>
      </c>
      <c r="BS170" s="229">
        <v>0.3886</v>
      </c>
      <c r="BT170" s="230">
        <v>7544903</v>
      </c>
      <c r="BU170" s="230">
        <v>7264687</v>
      </c>
      <c r="BV170" s="230">
        <v>280216</v>
      </c>
      <c r="BW170" s="229">
        <v>3.8600000000000002E-2</v>
      </c>
      <c r="BX170" s="230">
        <v>79714500</v>
      </c>
      <c r="BY170" s="230">
        <v>81587900</v>
      </c>
      <c r="BZ170" s="230">
        <v>-1873400</v>
      </c>
      <c r="CA170" s="229">
        <v>-2.3E-2</v>
      </c>
      <c r="CB170" s="230">
        <v>43795000</v>
      </c>
      <c r="CC170" s="230">
        <v>63855200</v>
      </c>
      <c r="CD170" s="230">
        <v>-20060200</v>
      </c>
      <c r="CE170" s="229">
        <v>-0.31419999999999998</v>
      </c>
      <c r="CF170" s="230">
        <v>28885700</v>
      </c>
      <c r="CG170" s="230">
        <v>10968700</v>
      </c>
      <c r="CH170" s="230">
        <v>17917000</v>
      </c>
      <c r="CI170" s="229">
        <v>1.6335</v>
      </c>
      <c r="CJ170" s="230">
        <v>7033800</v>
      </c>
      <c r="CK170" s="230">
        <v>6764000</v>
      </c>
      <c r="CL170" s="230">
        <v>269800</v>
      </c>
      <c r="CM170" s="229">
        <v>3.9899999999999998E-2</v>
      </c>
      <c r="CN170" s="230">
        <v>41374400</v>
      </c>
      <c r="CO170" s="230">
        <v>41402900</v>
      </c>
      <c r="CP170" s="230">
        <v>-28500</v>
      </c>
      <c r="CQ170" s="229">
        <v>-6.9999999999999999E-4</v>
      </c>
      <c r="CR170" s="230">
        <v>25898900</v>
      </c>
      <c r="CS170" s="230">
        <v>26288400</v>
      </c>
      <c r="CT170" s="230">
        <v>-389500</v>
      </c>
      <c r="CU170" s="229">
        <v>-1.4800000000000001E-2</v>
      </c>
      <c r="CV170" s="230">
        <v>146987800</v>
      </c>
      <c r="CW170" s="230">
        <v>149279200</v>
      </c>
      <c r="CX170" s="230">
        <v>-2291400</v>
      </c>
      <c r="CY170" s="229">
        <v>-1.5299999999999999E-2</v>
      </c>
      <c r="CZ170" s="228">
        <v>28.65</v>
      </c>
      <c r="DA170" s="228">
        <v>21.5</v>
      </c>
      <c r="DB170" s="228">
        <v>7.15</v>
      </c>
      <c r="DC170" s="228">
        <v>7.15</v>
      </c>
      <c r="DD170" s="228">
        <v>28.75</v>
      </c>
      <c r="DE170" s="228">
        <v>28.82</v>
      </c>
      <c r="DF170" s="228">
        <v>-0.1</v>
      </c>
      <c r="DG170" s="228">
        <v>-7.0000000000000007E-2</v>
      </c>
      <c r="DH170" s="228">
        <v>28.77</v>
      </c>
      <c r="DI170" s="228">
        <v>20.74</v>
      </c>
      <c r="DJ170" s="228">
        <v>8.0299999999999994</v>
      </c>
      <c r="DK170" s="228">
        <v>8.0299999999999994</v>
      </c>
      <c r="DL170" s="228">
        <v>28.37</v>
      </c>
      <c r="DM170" s="228">
        <v>23.4</v>
      </c>
      <c r="DN170" s="228">
        <v>4.97</v>
      </c>
      <c r="DO170" s="228">
        <v>4.97</v>
      </c>
      <c r="DP170" s="228">
        <v>0.63</v>
      </c>
      <c r="DQ170" s="228">
        <v>0.63</v>
      </c>
      <c r="DR170" s="228">
        <v>0</v>
      </c>
      <c r="DS170" s="229">
        <v>0</v>
      </c>
      <c r="DT170" s="228">
        <v>315</v>
      </c>
      <c r="DU170" s="228">
        <v>300</v>
      </c>
      <c r="DV170" s="228">
        <v>0.41</v>
      </c>
      <c r="DW170" s="228">
        <v>0.4</v>
      </c>
      <c r="DX170" s="228">
        <v>0.01</v>
      </c>
      <c r="DY170" s="229">
        <v>2.5000000000000001E-2</v>
      </c>
      <c r="DZ170" s="229">
        <v>0.4506</v>
      </c>
      <c r="EA170" s="230">
        <v>17732700</v>
      </c>
      <c r="EB170" s="229">
        <v>5.0000000000000001E-3</v>
      </c>
      <c r="EC170" s="229">
        <v>0.4506</v>
      </c>
      <c r="ED170" s="228">
        <v>1.67</v>
      </c>
      <c r="EE170" s="229">
        <v>5.1999999999999998E-3</v>
      </c>
      <c r="EF170" s="230">
        <v>4782414</v>
      </c>
      <c r="EG170" s="230">
        <v>4087341</v>
      </c>
      <c r="EH170" s="229">
        <v>0.1701</v>
      </c>
      <c r="EI170" s="229">
        <v>0.63390000000000002</v>
      </c>
      <c r="EJ170" s="231">
        <v>156208.49</v>
      </c>
      <c r="EK170" s="231">
        <v>62576.83</v>
      </c>
      <c r="EL170" s="231">
        <v>151599.63</v>
      </c>
      <c r="EM170" s="231">
        <v>8542</v>
      </c>
      <c r="EN170" s="231">
        <v>370384.95</v>
      </c>
      <c r="EO170" s="231">
        <v>267924.19</v>
      </c>
      <c r="EP170" s="231">
        <v>102460.76</v>
      </c>
      <c r="EQ170" s="229">
        <v>0.38240000000000002</v>
      </c>
      <c r="ER170" s="231">
        <v>132208</v>
      </c>
      <c r="ES170" s="231">
        <v>77494</v>
      </c>
      <c r="ET170" s="231">
        <v>254424</v>
      </c>
      <c r="EU170" s="231">
        <v>660840864</v>
      </c>
      <c r="EV170" s="231">
        <v>464127</v>
      </c>
      <c r="EW170" s="231">
        <v>472057</v>
      </c>
      <c r="EX170" s="231">
        <v>-7930</v>
      </c>
      <c r="EY170" s="229">
        <v>-1.6799999999999999E-2</v>
      </c>
      <c r="EZ170" s="229">
        <v>0.22239999999999999</v>
      </c>
      <c r="FA170" s="227" t="s">
        <v>567</v>
      </c>
      <c r="FB170" s="161">
        <f t="shared" si="4"/>
        <v>0</v>
      </c>
    </row>
    <row r="171" spans="1:158" ht="17.25" thickBot="1" x14ac:dyDescent="0.3">
      <c r="A171" s="226">
        <v>46135</v>
      </c>
      <c r="B171" s="227" t="s">
        <v>184</v>
      </c>
      <c r="C171" s="227" t="s">
        <v>685</v>
      </c>
      <c r="D171" s="228">
        <v>50</v>
      </c>
      <c r="E171" s="231">
        <v>31715</v>
      </c>
      <c r="F171" s="231">
        <v>30415</v>
      </c>
      <c r="G171" s="231">
        <v>1300</v>
      </c>
      <c r="H171" s="229">
        <v>4.2700000000000002E-2</v>
      </c>
      <c r="I171" s="231">
        <v>31720</v>
      </c>
      <c r="J171" s="231">
        <v>30335</v>
      </c>
      <c r="K171" s="231">
        <v>1385</v>
      </c>
      <c r="L171" s="229">
        <v>4.5699999999999998E-2</v>
      </c>
      <c r="M171" s="231">
        <v>31715</v>
      </c>
      <c r="N171" s="231">
        <v>30415</v>
      </c>
      <c r="O171" s="231">
        <v>1300</v>
      </c>
      <c r="P171" s="229">
        <v>4.2700000000000002E-2</v>
      </c>
      <c r="Q171" s="231">
        <v>31810</v>
      </c>
      <c r="R171" s="231">
        <v>30485</v>
      </c>
      <c r="S171" s="231">
        <v>1325</v>
      </c>
      <c r="T171" s="229">
        <v>4.3499999999999997E-2</v>
      </c>
      <c r="U171" s="231">
        <v>31875</v>
      </c>
      <c r="V171" s="231">
        <v>30510</v>
      </c>
      <c r="W171" s="231">
        <v>1365</v>
      </c>
      <c r="X171" s="229">
        <v>4.4699999999999997E-2</v>
      </c>
      <c r="Y171" s="228">
        <v>-5</v>
      </c>
      <c r="Z171" s="228">
        <v>80</v>
      </c>
      <c r="AA171" s="228">
        <v>-85</v>
      </c>
      <c r="AB171" s="229">
        <v>-2.0000000000000001E-4</v>
      </c>
      <c r="AC171" s="228">
        <v>-5</v>
      </c>
      <c r="AD171" s="228">
        <v>80</v>
      </c>
      <c r="AE171" s="228">
        <v>-85</v>
      </c>
      <c r="AF171" s="229">
        <v>-2.0000000000000001E-4</v>
      </c>
      <c r="AG171" s="228">
        <v>90</v>
      </c>
      <c r="AH171" s="228">
        <v>150</v>
      </c>
      <c r="AI171" s="228">
        <v>-60</v>
      </c>
      <c r="AJ171" s="229">
        <v>2.8E-3</v>
      </c>
      <c r="AK171" s="228">
        <v>155</v>
      </c>
      <c r="AL171" s="228">
        <v>175</v>
      </c>
      <c r="AM171" s="228">
        <v>-20</v>
      </c>
      <c r="AN171" s="229">
        <v>4.8999999999999998E-3</v>
      </c>
      <c r="AO171" s="231">
        <v>31390.33</v>
      </c>
      <c r="AP171" s="231">
        <v>31523.57</v>
      </c>
      <c r="AQ171" s="228">
        <v>0</v>
      </c>
      <c r="AR171" s="230">
        <v>430000</v>
      </c>
      <c r="AS171" s="230">
        <v>122250</v>
      </c>
      <c r="AT171" s="230">
        <v>307750</v>
      </c>
      <c r="AU171" s="229">
        <v>2.5173999999999999</v>
      </c>
      <c r="AV171" s="230">
        <v>244250</v>
      </c>
      <c r="AW171" s="230">
        <v>85750</v>
      </c>
      <c r="AX171" s="230">
        <v>158500</v>
      </c>
      <c r="AY171" s="229">
        <v>1.8484</v>
      </c>
      <c r="AZ171" s="230">
        <v>182750</v>
      </c>
      <c r="BA171" s="230">
        <v>35050</v>
      </c>
      <c r="BB171" s="230">
        <v>147700</v>
      </c>
      <c r="BC171" s="229">
        <v>4.2140000000000004</v>
      </c>
      <c r="BD171" s="230">
        <v>3000</v>
      </c>
      <c r="BE171" s="230">
        <v>1450</v>
      </c>
      <c r="BF171" s="230">
        <v>1550</v>
      </c>
      <c r="BG171" s="229">
        <v>1.069</v>
      </c>
      <c r="BH171" s="230">
        <v>2033450</v>
      </c>
      <c r="BI171" s="230">
        <v>700600</v>
      </c>
      <c r="BJ171" s="230">
        <v>1332850</v>
      </c>
      <c r="BK171" s="229">
        <v>1.9024000000000001</v>
      </c>
      <c r="BL171" s="230">
        <v>1545350</v>
      </c>
      <c r="BM171" s="230">
        <v>1073650</v>
      </c>
      <c r="BN171" s="230">
        <v>471700</v>
      </c>
      <c r="BO171" s="229">
        <v>0.43930000000000002</v>
      </c>
      <c r="BP171" s="230">
        <v>4008800</v>
      </c>
      <c r="BQ171" s="230">
        <v>1896500</v>
      </c>
      <c r="BR171" s="230">
        <v>2112300</v>
      </c>
      <c r="BS171" s="229">
        <v>1.1137999999999999</v>
      </c>
      <c r="BT171" s="230">
        <v>210697</v>
      </c>
      <c r="BU171" s="230">
        <v>118414</v>
      </c>
      <c r="BV171" s="230">
        <v>92283</v>
      </c>
      <c r="BW171" s="229">
        <v>0.77929999999999999</v>
      </c>
      <c r="BX171" s="230">
        <v>424150</v>
      </c>
      <c r="BY171" s="230">
        <v>405500</v>
      </c>
      <c r="BZ171" s="230">
        <v>18650</v>
      </c>
      <c r="CA171" s="229">
        <v>4.5999999999999999E-2</v>
      </c>
      <c r="CB171" s="230">
        <v>268450</v>
      </c>
      <c r="CC171" s="230">
        <v>361850</v>
      </c>
      <c r="CD171" s="230">
        <v>-93400</v>
      </c>
      <c r="CE171" s="229">
        <v>-0.2581</v>
      </c>
      <c r="CF171" s="230">
        <v>149450</v>
      </c>
      <c r="CG171" s="230">
        <v>38350</v>
      </c>
      <c r="CH171" s="230">
        <v>111100</v>
      </c>
      <c r="CI171" s="229">
        <v>2.8969999999999998</v>
      </c>
      <c r="CJ171" s="230">
        <v>6250</v>
      </c>
      <c r="CK171" s="230">
        <v>5300</v>
      </c>
      <c r="CL171" s="228">
        <v>950</v>
      </c>
      <c r="CM171" s="229">
        <v>0.1792</v>
      </c>
      <c r="CN171" s="230">
        <v>362200</v>
      </c>
      <c r="CO171" s="230">
        <v>311700</v>
      </c>
      <c r="CP171" s="230">
        <v>50500</v>
      </c>
      <c r="CQ171" s="229">
        <v>0.16200000000000001</v>
      </c>
      <c r="CR171" s="230">
        <v>512400</v>
      </c>
      <c r="CS171" s="230">
        <v>415000</v>
      </c>
      <c r="CT171" s="230">
        <v>97400</v>
      </c>
      <c r="CU171" s="229">
        <v>0.23469999999999999</v>
      </c>
      <c r="CV171" s="230">
        <v>1298750</v>
      </c>
      <c r="CW171" s="230">
        <v>1132200</v>
      </c>
      <c r="CX171" s="230">
        <v>166550</v>
      </c>
      <c r="CY171" s="229">
        <v>0.14710000000000001</v>
      </c>
      <c r="CZ171" s="228">
        <v>44.51</v>
      </c>
      <c r="DA171" s="228">
        <v>43.41</v>
      </c>
      <c r="DB171" s="228">
        <v>1.1000000000000001</v>
      </c>
      <c r="DC171" s="228">
        <v>1.1000000000000001</v>
      </c>
      <c r="DD171" s="228">
        <v>57.36</v>
      </c>
      <c r="DE171" s="228">
        <v>57.19</v>
      </c>
      <c r="DF171" s="228">
        <v>-12.85</v>
      </c>
      <c r="DG171" s="228">
        <v>0.17</v>
      </c>
      <c r="DH171" s="228">
        <v>43.06</v>
      </c>
      <c r="DI171" s="228">
        <v>35.61</v>
      </c>
      <c r="DJ171" s="228">
        <v>7.45</v>
      </c>
      <c r="DK171" s="228">
        <v>7.45</v>
      </c>
      <c r="DL171" s="228">
        <v>46.68</v>
      </c>
      <c r="DM171" s="228">
        <v>48.51</v>
      </c>
      <c r="DN171" s="228">
        <v>-1.83</v>
      </c>
      <c r="DO171" s="228">
        <v>-1.83</v>
      </c>
      <c r="DP171" s="228">
        <v>1.41</v>
      </c>
      <c r="DQ171" s="228">
        <v>1.33</v>
      </c>
      <c r="DR171" s="228">
        <v>0.08</v>
      </c>
      <c r="DS171" s="229">
        <v>6.0199999999999997E-2</v>
      </c>
      <c r="DT171" s="231">
        <v>33000</v>
      </c>
      <c r="DU171" s="231">
        <v>30000</v>
      </c>
      <c r="DV171" s="228">
        <v>0.76</v>
      </c>
      <c r="DW171" s="228">
        <v>1.53</v>
      </c>
      <c r="DX171" s="228">
        <v>-0.77</v>
      </c>
      <c r="DY171" s="229">
        <v>-0.50329999999999997</v>
      </c>
      <c r="DZ171" s="229">
        <v>0.36709999999999998</v>
      </c>
      <c r="EA171" s="230">
        <v>43650</v>
      </c>
      <c r="EB171" s="229">
        <v>3.0000000000000001E-3</v>
      </c>
      <c r="EC171" s="229">
        <v>0.36709999999999998</v>
      </c>
      <c r="ED171" s="228">
        <v>133.24</v>
      </c>
      <c r="EE171" s="229">
        <v>4.1999999999999997E-3</v>
      </c>
      <c r="EF171" s="230">
        <v>49830</v>
      </c>
      <c r="EG171" s="230">
        <v>34483</v>
      </c>
      <c r="EH171" s="229">
        <v>0.4451</v>
      </c>
      <c r="EI171" s="229">
        <v>0.23649999999999999</v>
      </c>
      <c r="EJ171" s="231">
        <v>664676.24</v>
      </c>
      <c r="EK171" s="231">
        <v>451870.81</v>
      </c>
      <c r="EL171" s="231">
        <v>135221.72</v>
      </c>
      <c r="EM171" s="231">
        <v>2458</v>
      </c>
      <c r="EN171" s="231">
        <v>1251768.77</v>
      </c>
      <c r="EO171" s="231">
        <v>547921.24</v>
      </c>
      <c r="EP171" s="231">
        <v>703847.53</v>
      </c>
      <c r="EQ171" s="229">
        <v>1.2846</v>
      </c>
      <c r="ER171" s="231">
        <v>110652</v>
      </c>
      <c r="ES171" s="231">
        <v>143308</v>
      </c>
      <c r="ET171" s="231">
        <v>134671</v>
      </c>
      <c r="EU171" s="231">
        <v>1917916</v>
      </c>
      <c r="EV171" s="231">
        <v>388631</v>
      </c>
      <c r="EW171" s="231">
        <v>328406</v>
      </c>
      <c r="EX171" s="231">
        <v>60225</v>
      </c>
      <c r="EY171" s="229">
        <v>0.18340000000000001</v>
      </c>
      <c r="EZ171" s="229">
        <v>0.67720000000000002</v>
      </c>
      <c r="FA171" s="227" t="s">
        <v>555</v>
      </c>
      <c r="FB171" s="161">
        <f t="shared" si="4"/>
        <v>0</v>
      </c>
    </row>
    <row r="172" spans="1:158" ht="17.25" thickBot="1" x14ac:dyDescent="0.3">
      <c r="A172" s="226">
        <v>46135</v>
      </c>
      <c r="B172" s="227" t="s">
        <v>170</v>
      </c>
      <c r="C172" s="227" t="s">
        <v>676</v>
      </c>
      <c r="D172" s="228">
        <v>2625</v>
      </c>
      <c r="E172" s="228">
        <v>163.41</v>
      </c>
      <c r="F172" s="228">
        <v>152.43</v>
      </c>
      <c r="G172" s="228">
        <v>10.98</v>
      </c>
      <c r="H172" s="229">
        <v>7.1999999999999995E-2</v>
      </c>
      <c r="I172" s="228">
        <v>163.87</v>
      </c>
      <c r="J172" s="228">
        <v>153.81</v>
      </c>
      <c r="K172" s="228">
        <v>10.06</v>
      </c>
      <c r="L172" s="229">
        <v>6.54E-2</v>
      </c>
      <c r="M172" s="228">
        <v>163.41</v>
      </c>
      <c r="N172" s="228">
        <v>152.43</v>
      </c>
      <c r="O172" s="228">
        <v>10.98</v>
      </c>
      <c r="P172" s="229">
        <v>7.1999999999999995E-2</v>
      </c>
      <c r="Q172" s="228">
        <v>0</v>
      </c>
      <c r="R172" s="228">
        <v>0</v>
      </c>
      <c r="S172" s="228">
        <v>0</v>
      </c>
      <c r="T172" s="229">
        <v>0</v>
      </c>
      <c r="U172" s="228">
        <v>0</v>
      </c>
      <c r="V172" s="228">
        <v>0</v>
      </c>
      <c r="W172" s="228">
        <v>0</v>
      </c>
      <c r="X172" s="229">
        <v>0</v>
      </c>
      <c r="Y172" s="228">
        <v>-0.46</v>
      </c>
      <c r="Z172" s="228">
        <v>-1.38</v>
      </c>
      <c r="AA172" s="228">
        <v>0.92</v>
      </c>
      <c r="AB172" s="229">
        <v>-2.8E-3</v>
      </c>
      <c r="AC172" s="228">
        <v>-0.46</v>
      </c>
      <c r="AD172" s="228">
        <v>-1.38</v>
      </c>
      <c r="AE172" s="228">
        <v>0.92</v>
      </c>
      <c r="AF172" s="229">
        <v>-2.8E-3</v>
      </c>
      <c r="AG172" s="228">
        <v>0</v>
      </c>
      <c r="AH172" s="228">
        <v>0</v>
      </c>
      <c r="AI172" s="228">
        <v>0</v>
      </c>
      <c r="AJ172" s="229">
        <v>0</v>
      </c>
      <c r="AK172" s="228">
        <v>0</v>
      </c>
      <c r="AL172" s="228">
        <v>0</v>
      </c>
      <c r="AM172" s="228">
        <v>0</v>
      </c>
      <c r="AN172" s="229">
        <v>0</v>
      </c>
      <c r="AO172" s="228">
        <v>161.5</v>
      </c>
      <c r="AP172" s="228">
        <v>0</v>
      </c>
      <c r="AQ172" s="228">
        <v>0</v>
      </c>
      <c r="AR172" s="230">
        <v>11072250</v>
      </c>
      <c r="AS172" s="230">
        <v>1735125</v>
      </c>
      <c r="AT172" s="230">
        <v>9337125</v>
      </c>
      <c r="AU172" s="229">
        <v>5.3811999999999998</v>
      </c>
      <c r="AV172" s="230">
        <v>11072250</v>
      </c>
      <c r="AW172" s="230">
        <v>1735125</v>
      </c>
      <c r="AX172" s="230">
        <v>9337125</v>
      </c>
      <c r="AY172" s="229">
        <v>5.3811999999999998</v>
      </c>
      <c r="AZ172" s="228">
        <v>0</v>
      </c>
      <c r="BA172" s="228">
        <v>0</v>
      </c>
      <c r="BB172" s="228">
        <v>0</v>
      </c>
      <c r="BC172" s="229">
        <v>0</v>
      </c>
      <c r="BD172" s="228">
        <v>0</v>
      </c>
      <c r="BE172" s="228">
        <v>0</v>
      </c>
      <c r="BF172" s="228">
        <v>0</v>
      </c>
      <c r="BG172" s="229">
        <v>0</v>
      </c>
      <c r="BH172" s="230">
        <v>129289125</v>
      </c>
      <c r="BI172" s="230">
        <v>10581375</v>
      </c>
      <c r="BJ172" s="230">
        <v>118707750</v>
      </c>
      <c r="BK172" s="229">
        <v>11.2186</v>
      </c>
      <c r="BL172" s="230">
        <v>31599750</v>
      </c>
      <c r="BM172" s="230">
        <v>1701000</v>
      </c>
      <c r="BN172" s="230">
        <v>29898750</v>
      </c>
      <c r="BO172" s="229">
        <v>17.577200000000001</v>
      </c>
      <c r="BP172" s="230">
        <v>171961125</v>
      </c>
      <c r="BQ172" s="230">
        <v>14017500</v>
      </c>
      <c r="BR172" s="230">
        <v>157943625</v>
      </c>
      <c r="BS172" s="229">
        <v>11.2676</v>
      </c>
      <c r="BT172" s="230">
        <v>53822302</v>
      </c>
      <c r="BU172" s="230">
        <v>2938807</v>
      </c>
      <c r="BV172" s="230">
        <v>50883495</v>
      </c>
      <c r="BW172" s="229">
        <v>17.314299999999999</v>
      </c>
      <c r="BX172" s="230">
        <v>8242500</v>
      </c>
      <c r="BY172" s="230">
        <v>10284750</v>
      </c>
      <c r="BZ172" s="230">
        <v>-2042250</v>
      </c>
      <c r="CA172" s="229">
        <v>-0.1986</v>
      </c>
      <c r="CB172" s="230">
        <v>8242500</v>
      </c>
      <c r="CC172" s="230">
        <v>10284750</v>
      </c>
      <c r="CD172" s="230">
        <v>-2042250</v>
      </c>
      <c r="CE172" s="229">
        <v>-0.1986</v>
      </c>
      <c r="CF172" s="228">
        <v>0</v>
      </c>
      <c r="CG172" s="228">
        <v>0</v>
      </c>
      <c r="CH172" s="228">
        <v>0</v>
      </c>
      <c r="CI172" s="229">
        <v>0</v>
      </c>
      <c r="CJ172" s="228">
        <v>0</v>
      </c>
      <c r="CK172" s="228">
        <v>0</v>
      </c>
      <c r="CL172" s="228">
        <v>0</v>
      </c>
      <c r="CM172" s="229">
        <v>0</v>
      </c>
      <c r="CN172" s="230">
        <v>8757000</v>
      </c>
      <c r="CO172" s="230">
        <v>5712000</v>
      </c>
      <c r="CP172" s="230">
        <v>3045000</v>
      </c>
      <c r="CQ172" s="229">
        <v>0.53310000000000002</v>
      </c>
      <c r="CR172" s="230">
        <v>6966750</v>
      </c>
      <c r="CS172" s="230">
        <v>3409875</v>
      </c>
      <c r="CT172" s="230">
        <v>3556875</v>
      </c>
      <c r="CU172" s="229">
        <v>1.0430999999999999</v>
      </c>
      <c r="CV172" s="230">
        <v>23966250</v>
      </c>
      <c r="CW172" s="230">
        <v>19406625</v>
      </c>
      <c r="CX172" s="230">
        <v>4559625</v>
      </c>
      <c r="CY172" s="229">
        <v>0.23499999999999999</v>
      </c>
      <c r="CZ172" s="228">
        <v>43.93</v>
      </c>
      <c r="DA172" s="228">
        <v>39.5</v>
      </c>
      <c r="DB172" s="228">
        <v>4.43</v>
      </c>
      <c r="DC172" s="228">
        <v>4.43</v>
      </c>
      <c r="DD172" s="228">
        <v>43.93</v>
      </c>
      <c r="DE172" s="228">
        <v>43.02</v>
      </c>
      <c r="DF172" s="228">
        <v>0</v>
      </c>
      <c r="DG172" s="228">
        <v>0.91</v>
      </c>
      <c r="DH172" s="228">
        <v>43.93</v>
      </c>
      <c r="DI172" s="228">
        <v>38.729999999999997</v>
      </c>
      <c r="DJ172" s="228">
        <v>5.2</v>
      </c>
      <c r="DK172" s="228">
        <v>5.2</v>
      </c>
      <c r="DL172" s="228">
        <v>43.93</v>
      </c>
      <c r="DM172" s="228">
        <v>44.27</v>
      </c>
      <c r="DN172" s="228">
        <v>-0.34</v>
      </c>
      <c r="DO172" s="228">
        <v>-0.34</v>
      </c>
      <c r="DP172" s="228">
        <v>0.8</v>
      </c>
      <c r="DQ172" s="228">
        <v>0.6</v>
      </c>
      <c r="DR172" s="228">
        <v>0.2</v>
      </c>
      <c r="DS172" s="229">
        <v>0.33329999999999999</v>
      </c>
      <c r="DT172" s="228">
        <v>170</v>
      </c>
      <c r="DU172" s="228">
        <v>160</v>
      </c>
      <c r="DV172" s="228">
        <v>0.24</v>
      </c>
      <c r="DW172" s="228">
        <v>0.16</v>
      </c>
      <c r="DX172" s="228">
        <v>0.08</v>
      </c>
      <c r="DY172" s="229">
        <v>0.5</v>
      </c>
      <c r="DZ172" s="229">
        <v>0</v>
      </c>
      <c r="EA172" s="228">
        <v>0</v>
      </c>
      <c r="EB172" s="229">
        <v>0</v>
      </c>
      <c r="EC172" s="229">
        <v>0</v>
      </c>
      <c r="ED172" s="228">
        <v>0</v>
      </c>
      <c r="EE172" s="229">
        <v>0</v>
      </c>
      <c r="EF172" s="230">
        <v>5758891</v>
      </c>
      <c r="EG172" s="230">
        <v>1106945</v>
      </c>
      <c r="EH172" s="229">
        <v>4.2024999999999997</v>
      </c>
      <c r="EI172" s="229">
        <v>0.107</v>
      </c>
      <c r="EJ172" s="231">
        <v>221368.32000000001</v>
      </c>
      <c r="EK172" s="231">
        <v>50179.65</v>
      </c>
      <c r="EL172" s="231">
        <v>17881.71</v>
      </c>
      <c r="EM172" s="228">
        <v>779</v>
      </c>
      <c r="EN172" s="231">
        <v>289429.68</v>
      </c>
      <c r="EO172" s="231">
        <v>21818.13</v>
      </c>
      <c r="EP172" s="231">
        <v>267611.55</v>
      </c>
      <c r="EQ172" s="229">
        <v>12.265599999999999</v>
      </c>
      <c r="ER172" s="231">
        <v>14539</v>
      </c>
      <c r="ES172" s="231">
        <v>10582</v>
      </c>
      <c r="ET172" s="231">
        <v>13469</v>
      </c>
      <c r="EU172" s="231">
        <v>92833839</v>
      </c>
      <c r="EV172" s="231">
        <v>38590</v>
      </c>
      <c r="EW172" s="231">
        <v>29650</v>
      </c>
      <c r="EX172" s="231">
        <v>8940</v>
      </c>
      <c r="EY172" s="229">
        <v>0.30149999999999999</v>
      </c>
      <c r="EZ172" s="229">
        <v>0.25819999999999999</v>
      </c>
      <c r="FA172" s="227" t="s">
        <v>693</v>
      </c>
      <c r="FB172" s="161">
        <f t="shared" si="4"/>
        <v>0</v>
      </c>
    </row>
    <row r="173" spans="1:158" ht="17.25" thickBot="1" x14ac:dyDescent="0.3">
      <c r="A173" s="226">
        <v>46135</v>
      </c>
      <c r="B173" s="227" t="s">
        <v>184</v>
      </c>
      <c r="C173" s="227" t="s">
        <v>688</v>
      </c>
      <c r="D173" s="228">
        <v>575</v>
      </c>
      <c r="E173" s="231">
        <v>1000.7</v>
      </c>
      <c r="F173" s="228">
        <v>993.8</v>
      </c>
      <c r="G173" s="228">
        <v>6.9</v>
      </c>
      <c r="H173" s="229">
        <v>6.8999999999999999E-3</v>
      </c>
      <c r="I173" s="231">
        <v>1000.7</v>
      </c>
      <c r="J173" s="228">
        <v>990.8</v>
      </c>
      <c r="K173" s="228">
        <v>9.9</v>
      </c>
      <c r="L173" s="229">
        <v>0.01</v>
      </c>
      <c r="M173" s="231">
        <v>1000.7</v>
      </c>
      <c r="N173" s="228">
        <v>993.8</v>
      </c>
      <c r="O173" s="228">
        <v>6.9</v>
      </c>
      <c r="P173" s="229">
        <v>6.8999999999999999E-3</v>
      </c>
      <c r="Q173" s="228">
        <v>993.25</v>
      </c>
      <c r="R173" s="228">
        <v>986.2</v>
      </c>
      <c r="S173" s="228">
        <v>7.05</v>
      </c>
      <c r="T173" s="229">
        <v>7.1000000000000004E-3</v>
      </c>
      <c r="U173" s="228">
        <v>991</v>
      </c>
      <c r="V173" s="228">
        <v>983.45</v>
      </c>
      <c r="W173" s="228">
        <v>7.55</v>
      </c>
      <c r="X173" s="229">
        <v>7.7000000000000002E-3</v>
      </c>
      <c r="Y173" s="228">
        <v>0</v>
      </c>
      <c r="Z173" s="228">
        <v>3</v>
      </c>
      <c r="AA173" s="228">
        <v>-3</v>
      </c>
      <c r="AB173" s="229">
        <v>0</v>
      </c>
      <c r="AC173" s="228">
        <v>0</v>
      </c>
      <c r="AD173" s="228">
        <v>3</v>
      </c>
      <c r="AE173" s="228">
        <v>-3</v>
      </c>
      <c r="AF173" s="229">
        <v>0</v>
      </c>
      <c r="AG173" s="228">
        <v>-7.45</v>
      </c>
      <c r="AH173" s="228">
        <v>-4.5999999999999996</v>
      </c>
      <c r="AI173" s="228">
        <v>-2.85</v>
      </c>
      <c r="AJ173" s="229">
        <v>-7.4000000000000003E-3</v>
      </c>
      <c r="AK173" s="228">
        <v>-9.6999999999999993</v>
      </c>
      <c r="AL173" s="228">
        <v>-7.35</v>
      </c>
      <c r="AM173" s="228">
        <v>-2.35</v>
      </c>
      <c r="AN173" s="229">
        <v>-9.7000000000000003E-3</v>
      </c>
      <c r="AO173" s="231">
        <v>1003.75</v>
      </c>
      <c r="AP173" s="228">
        <v>995.16</v>
      </c>
      <c r="AQ173" s="228">
        <v>0</v>
      </c>
      <c r="AR173" s="230">
        <v>8020675</v>
      </c>
      <c r="AS173" s="230">
        <v>1732475</v>
      </c>
      <c r="AT173" s="230">
        <v>6288200</v>
      </c>
      <c r="AU173" s="229">
        <v>3.6295999999999999</v>
      </c>
      <c r="AV173" s="230">
        <v>4332625</v>
      </c>
      <c r="AW173" s="230">
        <v>1200025</v>
      </c>
      <c r="AX173" s="230">
        <v>3132600</v>
      </c>
      <c r="AY173" s="229">
        <v>2.6103999999999998</v>
      </c>
      <c r="AZ173" s="230">
        <v>3683450</v>
      </c>
      <c r="BA173" s="230">
        <v>530150</v>
      </c>
      <c r="BB173" s="230">
        <v>3153300</v>
      </c>
      <c r="BC173" s="229">
        <v>5.9478999999999997</v>
      </c>
      <c r="BD173" s="230">
        <v>4600</v>
      </c>
      <c r="BE173" s="230">
        <v>2300</v>
      </c>
      <c r="BF173" s="230">
        <v>2300</v>
      </c>
      <c r="BG173" s="229">
        <v>1</v>
      </c>
      <c r="BH173" s="230">
        <v>4071000</v>
      </c>
      <c r="BI173" s="230">
        <v>3558675</v>
      </c>
      <c r="BJ173" s="230">
        <v>512325</v>
      </c>
      <c r="BK173" s="229">
        <v>0.14399999999999999</v>
      </c>
      <c r="BL173" s="230">
        <v>1303525</v>
      </c>
      <c r="BM173" s="230">
        <v>1198875</v>
      </c>
      <c r="BN173" s="230">
        <v>104650</v>
      </c>
      <c r="BO173" s="229">
        <v>8.7300000000000003E-2</v>
      </c>
      <c r="BP173" s="230">
        <v>13395200</v>
      </c>
      <c r="BQ173" s="230">
        <v>6490025</v>
      </c>
      <c r="BR173" s="230">
        <v>6905175</v>
      </c>
      <c r="BS173" s="229">
        <v>1.0640000000000001</v>
      </c>
      <c r="BT173" s="230">
        <v>1371374</v>
      </c>
      <c r="BU173" s="230">
        <v>995070</v>
      </c>
      <c r="BV173" s="230">
        <v>376304</v>
      </c>
      <c r="BW173" s="229">
        <v>0.37819999999999998</v>
      </c>
      <c r="BX173" s="230">
        <v>12359625</v>
      </c>
      <c r="BY173" s="230">
        <v>13871875</v>
      </c>
      <c r="BZ173" s="230">
        <v>-1512250</v>
      </c>
      <c r="CA173" s="229">
        <v>-0.109</v>
      </c>
      <c r="CB173" s="230">
        <v>7719375</v>
      </c>
      <c r="CC173" s="230">
        <v>10684075</v>
      </c>
      <c r="CD173" s="230">
        <v>-2964700</v>
      </c>
      <c r="CE173" s="229">
        <v>-0.27750000000000002</v>
      </c>
      <c r="CF173" s="230">
        <v>4622425</v>
      </c>
      <c r="CG173" s="230">
        <v>3171700</v>
      </c>
      <c r="CH173" s="230">
        <v>1450725</v>
      </c>
      <c r="CI173" s="229">
        <v>0.45739999999999997</v>
      </c>
      <c r="CJ173" s="230">
        <v>17825</v>
      </c>
      <c r="CK173" s="230">
        <v>16100</v>
      </c>
      <c r="CL173" s="230">
        <v>1725</v>
      </c>
      <c r="CM173" s="229">
        <v>0.1071</v>
      </c>
      <c r="CN173" s="230">
        <v>2768050</v>
      </c>
      <c r="CO173" s="230">
        <v>2884200</v>
      </c>
      <c r="CP173" s="230">
        <v>-116150</v>
      </c>
      <c r="CQ173" s="229">
        <v>-4.0300000000000002E-2</v>
      </c>
      <c r="CR173" s="230">
        <v>1857250</v>
      </c>
      <c r="CS173" s="230">
        <v>1883700</v>
      </c>
      <c r="CT173" s="230">
        <v>-26450</v>
      </c>
      <c r="CU173" s="229">
        <v>-1.4E-2</v>
      </c>
      <c r="CV173" s="230">
        <v>16984925</v>
      </c>
      <c r="CW173" s="230">
        <v>18639775</v>
      </c>
      <c r="CX173" s="230">
        <v>-1654850</v>
      </c>
      <c r="CY173" s="229">
        <v>-8.8800000000000004E-2</v>
      </c>
      <c r="CZ173" s="228">
        <v>44.74</v>
      </c>
      <c r="DA173" s="228">
        <v>38.53</v>
      </c>
      <c r="DB173" s="228">
        <v>6.21</v>
      </c>
      <c r="DC173" s="228">
        <v>6.21</v>
      </c>
      <c r="DD173" s="228">
        <v>48.47</v>
      </c>
      <c r="DE173" s="228">
        <v>48.58</v>
      </c>
      <c r="DF173" s="228">
        <v>-3.73</v>
      </c>
      <c r="DG173" s="228">
        <v>-0.11</v>
      </c>
      <c r="DH173" s="228">
        <v>45.09</v>
      </c>
      <c r="DI173" s="228">
        <v>39.19</v>
      </c>
      <c r="DJ173" s="228">
        <v>5.9</v>
      </c>
      <c r="DK173" s="228">
        <v>5.9</v>
      </c>
      <c r="DL173" s="228">
        <v>43.92</v>
      </c>
      <c r="DM173" s="228">
        <v>36.56</v>
      </c>
      <c r="DN173" s="228">
        <v>7.36</v>
      </c>
      <c r="DO173" s="228">
        <v>7.36</v>
      </c>
      <c r="DP173" s="228">
        <v>0.67</v>
      </c>
      <c r="DQ173" s="228">
        <v>0.65</v>
      </c>
      <c r="DR173" s="228">
        <v>0.02</v>
      </c>
      <c r="DS173" s="229">
        <v>3.0800000000000001E-2</v>
      </c>
      <c r="DT173" s="231">
        <v>1100</v>
      </c>
      <c r="DU173" s="228">
        <v>960</v>
      </c>
      <c r="DV173" s="228">
        <v>0.32</v>
      </c>
      <c r="DW173" s="228">
        <v>0.34</v>
      </c>
      <c r="DX173" s="228">
        <v>-0.02</v>
      </c>
      <c r="DY173" s="229">
        <v>-5.8799999999999998E-2</v>
      </c>
      <c r="DZ173" s="229">
        <v>0.37540000000000001</v>
      </c>
      <c r="EA173" s="230">
        <v>3187800</v>
      </c>
      <c r="EB173" s="229">
        <v>-7.4000000000000003E-3</v>
      </c>
      <c r="EC173" s="229">
        <v>0.37540000000000001</v>
      </c>
      <c r="ED173" s="228">
        <v>-8.59</v>
      </c>
      <c r="EE173" s="229">
        <v>-8.6E-3</v>
      </c>
      <c r="EF173" s="230">
        <v>457530</v>
      </c>
      <c r="EG173" s="230">
        <v>356350</v>
      </c>
      <c r="EH173" s="229">
        <v>0.28389999999999999</v>
      </c>
      <c r="EI173" s="229">
        <v>0.33360000000000001</v>
      </c>
      <c r="EJ173" s="231">
        <v>42256.61</v>
      </c>
      <c r="EK173" s="231">
        <v>12871.68</v>
      </c>
      <c r="EL173" s="231">
        <v>80190.570000000007</v>
      </c>
      <c r="EM173" s="231">
        <v>5815</v>
      </c>
      <c r="EN173" s="231">
        <v>135318.85999999999</v>
      </c>
      <c r="EO173" s="231">
        <v>66037.31</v>
      </c>
      <c r="EP173" s="231">
        <v>69281.55</v>
      </c>
      <c r="EQ173" s="229">
        <v>1.0490999999999999</v>
      </c>
      <c r="ER173" s="231">
        <v>27990</v>
      </c>
      <c r="ES173" s="231">
        <v>17095</v>
      </c>
      <c r="ET173" s="231">
        <v>123337</v>
      </c>
      <c r="EU173" s="231">
        <v>23961540</v>
      </c>
      <c r="EV173" s="231">
        <v>168422</v>
      </c>
      <c r="EW173" s="231">
        <v>184135</v>
      </c>
      <c r="EX173" s="231">
        <v>-15713</v>
      </c>
      <c r="EY173" s="229">
        <v>-8.5300000000000001E-2</v>
      </c>
      <c r="EZ173" s="229">
        <v>0.70879999999999999</v>
      </c>
      <c r="FA173" s="227" t="s">
        <v>693</v>
      </c>
      <c r="FB173" s="161">
        <f t="shared" si="4"/>
        <v>0</v>
      </c>
    </row>
    <row r="174" spans="1:158" ht="17.25" thickBot="1" x14ac:dyDescent="0.3">
      <c r="A174" s="226">
        <v>46135</v>
      </c>
      <c r="B174" s="227" t="s">
        <v>206</v>
      </c>
      <c r="C174" s="227" t="s">
        <v>604</v>
      </c>
      <c r="D174" s="228">
        <v>450</v>
      </c>
      <c r="E174" s="231">
        <v>1386.6</v>
      </c>
      <c r="F174" s="231">
        <v>1404.7</v>
      </c>
      <c r="G174" s="228">
        <v>-18.100000000000001</v>
      </c>
      <c r="H174" s="229">
        <v>-1.29E-2</v>
      </c>
      <c r="I174" s="231">
        <v>1384.2</v>
      </c>
      <c r="J174" s="231">
        <v>1405.5</v>
      </c>
      <c r="K174" s="228">
        <v>-21.3</v>
      </c>
      <c r="L174" s="229">
        <v>-1.52E-2</v>
      </c>
      <c r="M174" s="231">
        <v>1386.6</v>
      </c>
      <c r="N174" s="231">
        <v>1404.7</v>
      </c>
      <c r="O174" s="228">
        <v>-18.100000000000001</v>
      </c>
      <c r="P174" s="229">
        <v>-1.29E-2</v>
      </c>
      <c r="Q174" s="231">
        <v>1393.2</v>
      </c>
      <c r="R174" s="231">
        <v>1413.2</v>
      </c>
      <c r="S174" s="228">
        <v>-20</v>
      </c>
      <c r="T174" s="229">
        <v>-1.4200000000000001E-2</v>
      </c>
      <c r="U174" s="231">
        <v>1400.3</v>
      </c>
      <c r="V174" s="231">
        <v>1427</v>
      </c>
      <c r="W174" s="228">
        <v>-26.7</v>
      </c>
      <c r="X174" s="229">
        <v>-1.8700000000000001E-2</v>
      </c>
      <c r="Y174" s="228">
        <v>2.4</v>
      </c>
      <c r="Z174" s="228">
        <v>-0.8</v>
      </c>
      <c r="AA174" s="228">
        <v>3.2</v>
      </c>
      <c r="AB174" s="229">
        <v>1.6999999999999999E-3</v>
      </c>
      <c r="AC174" s="228">
        <v>2.4</v>
      </c>
      <c r="AD174" s="228">
        <v>-0.8</v>
      </c>
      <c r="AE174" s="228">
        <v>3.2</v>
      </c>
      <c r="AF174" s="229">
        <v>1.6999999999999999E-3</v>
      </c>
      <c r="AG174" s="228">
        <v>9</v>
      </c>
      <c r="AH174" s="228">
        <v>7.7</v>
      </c>
      <c r="AI174" s="228">
        <v>1.3</v>
      </c>
      <c r="AJ174" s="229">
        <v>6.4999999999999997E-3</v>
      </c>
      <c r="AK174" s="228">
        <v>16.100000000000001</v>
      </c>
      <c r="AL174" s="228">
        <v>21.5</v>
      </c>
      <c r="AM174" s="228">
        <v>-5.4</v>
      </c>
      <c r="AN174" s="229">
        <v>1.1599999999999999E-2</v>
      </c>
      <c r="AO174" s="231">
        <v>1397.12</v>
      </c>
      <c r="AP174" s="231">
        <v>1403.12</v>
      </c>
      <c r="AQ174" s="228">
        <v>0</v>
      </c>
      <c r="AR174" s="230">
        <v>4551750</v>
      </c>
      <c r="AS174" s="230">
        <v>913500</v>
      </c>
      <c r="AT174" s="230">
        <v>3638250</v>
      </c>
      <c r="AU174" s="229">
        <v>3.9828000000000001</v>
      </c>
      <c r="AV174" s="230">
        <v>2484000</v>
      </c>
      <c r="AW174" s="230">
        <v>623250</v>
      </c>
      <c r="AX174" s="230">
        <v>1860750</v>
      </c>
      <c r="AY174" s="229">
        <v>2.9855999999999998</v>
      </c>
      <c r="AZ174" s="230">
        <v>1857150</v>
      </c>
      <c r="BA174" s="230">
        <v>287100</v>
      </c>
      <c r="BB174" s="230">
        <v>1570050</v>
      </c>
      <c r="BC174" s="229">
        <v>5.4687000000000001</v>
      </c>
      <c r="BD174" s="230">
        <v>210600</v>
      </c>
      <c r="BE174" s="230">
        <v>3150</v>
      </c>
      <c r="BF174" s="230">
        <v>207450</v>
      </c>
      <c r="BG174" s="229">
        <v>65.857100000000003</v>
      </c>
      <c r="BH174" s="230">
        <v>2038050</v>
      </c>
      <c r="BI174" s="230">
        <v>1709100</v>
      </c>
      <c r="BJ174" s="230">
        <v>328950</v>
      </c>
      <c r="BK174" s="229">
        <v>0.1925</v>
      </c>
      <c r="BL174" s="230">
        <v>765900</v>
      </c>
      <c r="BM174" s="230">
        <v>639900</v>
      </c>
      <c r="BN174" s="230">
        <v>126000</v>
      </c>
      <c r="BO174" s="229">
        <v>0.19689999999999999</v>
      </c>
      <c r="BP174" s="230">
        <v>7355700</v>
      </c>
      <c r="BQ174" s="230">
        <v>3262500</v>
      </c>
      <c r="BR174" s="230">
        <v>4093200</v>
      </c>
      <c r="BS174" s="229">
        <v>1.2545999999999999</v>
      </c>
      <c r="BT174" s="230">
        <v>1493604</v>
      </c>
      <c r="BU174" s="230">
        <v>473766</v>
      </c>
      <c r="BV174" s="230">
        <v>1019838</v>
      </c>
      <c r="BW174" s="229">
        <v>2.1526000000000001</v>
      </c>
      <c r="BX174" s="230">
        <v>6485400</v>
      </c>
      <c r="BY174" s="230">
        <v>6573150</v>
      </c>
      <c r="BZ174" s="230">
        <v>-87750</v>
      </c>
      <c r="CA174" s="229">
        <v>-1.3299999999999999E-2</v>
      </c>
      <c r="CB174" s="230">
        <v>4458600</v>
      </c>
      <c r="CC174" s="230">
        <v>6068250</v>
      </c>
      <c r="CD174" s="230">
        <v>-1609650</v>
      </c>
      <c r="CE174" s="229">
        <v>-0.26529999999999998</v>
      </c>
      <c r="CF174" s="230">
        <v>1803150</v>
      </c>
      <c r="CG174" s="230">
        <v>487350</v>
      </c>
      <c r="CH174" s="230">
        <v>1315800</v>
      </c>
      <c r="CI174" s="229">
        <v>2.6999</v>
      </c>
      <c r="CJ174" s="230">
        <v>223650</v>
      </c>
      <c r="CK174" s="230">
        <v>17550</v>
      </c>
      <c r="CL174" s="230">
        <v>206100</v>
      </c>
      <c r="CM174" s="229">
        <v>11.743600000000001</v>
      </c>
      <c r="CN174" s="230">
        <v>2050650</v>
      </c>
      <c r="CO174" s="230">
        <v>2128500</v>
      </c>
      <c r="CP174" s="230">
        <v>-77850</v>
      </c>
      <c r="CQ174" s="229">
        <v>-3.6600000000000001E-2</v>
      </c>
      <c r="CR174" s="230">
        <v>1511550</v>
      </c>
      <c r="CS174" s="230">
        <v>1566000</v>
      </c>
      <c r="CT174" s="230">
        <v>-54450</v>
      </c>
      <c r="CU174" s="229">
        <v>-3.4799999999999998E-2</v>
      </c>
      <c r="CV174" s="230">
        <v>10047600</v>
      </c>
      <c r="CW174" s="230">
        <v>10267650</v>
      </c>
      <c r="CX174" s="230">
        <v>-220050</v>
      </c>
      <c r="CY174" s="229">
        <v>-2.1399999999999999E-2</v>
      </c>
      <c r="CZ174" s="228">
        <v>38.04</v>
      </c>
      <c r="DA174" s="228">
        <v>38.85</v>
      </c>
      <c r="DB174" s="228">
        <v>-0.81</v>
      </c>
      <c r="DC174" s="228">
        <v>-0.81</v>
      </c>
      <c r="DD174" s="228">
        <v>44.61</v>
      </c>
      <c r="DE174" s="228">
        <v>44.69</v>
      </c>
      <c r="DF174" s="228">
        <v>-6.57</v>
      </c>
      <c r="DG174" s="228">
        <v>-0.08</v>
      </c>
      <c r="DH174" s="228">
        <v>37.32</v>
      </c>
      <c r="DI174" s="228">
        <v>37.17</v>
      </c>
      <c r="DJ174" s="228">
        <v>0.15</v>
      </c>
      <c r="DK174" s="228">
        <v>0.15</v>
      </c>
      <c r="DL174" s="228">
        <v>40.75</v>
      </c>
      <c r="DM174" s="228">
        <v>43.35</v>
      </c>
      <c r="DN174" s="228">
        <v>-2.6</v>
      </c>
      <c r="DO174" s="228">
        <v>-2.6</v>
      </c>
      <c r="DP174" s="228">
        <v>0.74</v>
      </c>
      <c r="DQ174" s="228">
        <v>0.74</v>
      </c>
      <c r="DR174" s="228">
        <v>0</v>
      </c>
      <c r="DS174" s="229">
        <v>0</v>
      </c>
      <c r="DT174" s="231">
        <v>1460</v>
      </c>
      <c r="DU174" s="231">
        <v>1320</v>
      </c>
      <c r="DV174" s="228">
        <v>0.38</v>
      </c>
      <c r="DW174" s="228">
        <v>0.37</v>
      </c>
      <c r="DX174" s="228">
        <v>0.01</v>
      </c>
      <c r="DY174" s="229">
        <v>2.7E-2</v>
      </c>
      <c r="DZ174" s="229">
        <v>0.3125</v>
      </c>
      <c r="EA174" s="230">
        <v>504900</v>
      </c>
      <c r="EB174" s="229">
        <v>4.7999999999999996E-3</v>
      </c>
      <c r="EC174" s="229">
        <v>0.3125</v>
      </c>
      <c r="ED174" s="228">
        <v>6</v>
      </c>
      <c r="EE174" s="229">
        <v>4.3E-3</v>
      </c>
      <c r="EF174" s="230">
        <v>1014617</v>
      </c>
      <c r="EG174" s="230">
        <v>205576</v>
      </c>
      <c r="EH174" s="229">
        <v>3.9355000000000002</v>
      </c>
      <c r="EI174" s="229">
        <v>0.67930000000000001</v>
      </c>
      <c r="EJ174" s="231">
        <v>29524.34</v>
      </c>
      <c r="EK174" s="231">
        <v>10324.24</v>
      </c>
      <c r="EL174" s="231">
        <v>63729.93</v>
      </c>
      <c r="EM174" s="231">
        <v>2391</v>
      </c>
      <c r="EN174" s="231">
        <v>103578.51</v>
      </c>
      <c r="EO174" s="231">
        <v>46316.93</v>
      </c>
      <c r="EP174" s="231">
        <v>57261.58</v>
      </c>
      <c r="EQ174" s="229">
        <v>1.2363</v>
      </c>
      <c r="ER174" s="231">
        <v>28218</v>
      </c>
      <c r="ES174" s="231">
        <v>19184</v>
      </c>
      <c r="ET174" s="231">
        <v>90076</v>
      </c>
      <c r="EU174" s="231">
        <v>25234534</v>
      </c>
      <c r="EV174" s="231">
        <v>137478</v>
      </c>
      <c r="EW174" s="231">
        <v>141636</v>
      </c>
      <c r="EX174" s="231">
        <v>-4158</v>
      </c>
      <c r="EY174" s="229">
        <v>-2.9399999999999999E-2</v>
      </c>
      <c r="EZ174" s="229">
        <v>0.3982</v>
      </c>
      <c r="FA174" s="227" t="s">
        <v>567</v>
      </c>
      <c r="FB174" s="161">
        <f t="shared" si="4"/>
        <v>0</v>
      </c>
    </row>
    <row r="175" spans="1:158" ht="17.25" thickBot="1" x14ac:dyDescent="0.3">
      <c r="A175" s="226">
        <v>46135</v>
      </c>
      <c r="B175" s="227" t="s">
        <v>172</v>
      </c>
      <c r="C175" s="227" t="s">
        <v>279</v>
      </c>
      <c r="D175" s="228">
        <v>3175</v>
      </c>
      <c r="E175" s="228">
        <v>313.39999999999998</v>
      </c>
      <c r="F175" s="228">
        <v>317.55</v>
      </c>
      <c r="G175" s="228">
        <v>-4.1500000000000004</v>
      </c>
      <c r="H175" s="229">
        <v>-1.3100000000000001E-2</v>
      </c>
      <c r="I175" s="228">
        <v>312.45</v>
      </c>
      <c r="J175" s="228">
        <v>317.64999999999998</v>
      </c>
      <c r="K175" s="228">
        <v>-5.2</v>
      </c>
      <c r="L175" s="229">
        <v>-1.6400000000000001E-2</v>
      </c>
      <c r="M175" s="228">
        <v>313.39999999999998</v>
      </c>
      <c r="N175" s="228">
        <v>317.55</v>
      </c>
      <c r="O175" s="228">
        <v>-4.1500000000000004</v>
      </c>
      <c r="P175" s="229">
        <v>-1.3100000000000001E-2</v>
      </c>
      <c r="Q175" s="228">
        <v>315.2</v>
      </c>
      <c r="R175" s="228">
        <v>319.3</v>
      </c>
      <c r="S175" s="228">
        <v>-4.0999999999999996</v>
      </c>
      <c r="T175" s="229">
        <v>-1.2800000000000001E-2</v>
      </c>
      <c r="U175" s="228">
        <v>315.3</v>
      </c>
      <c r="V175" s="228">
        <v>321</v>
      </c>
      <c r="W175" s="228">
        <v>-5.7</v>
      </c>
      <c r="X175" s="229">
        <v>-1.78E-2</v>
      </c>
      <c r="Y175" s="228">
        <v>0.95</v>
      </c>
      <c r="Z175" s="228">
        <v>-0.1</v>
      </c>
      <c r="AA175" s="228">
        <v>1.05</v>
      </c>
      <c r="AB175" s="229">
        <v>3.0000000000000001E-3</v>
      </c>
      <c r="AC175" s="228">
        <v>0.95</v>
      </c>
      <c r="AD175" s="228">
        <v>-0.1</v>
      </c>
      <c r="AE175" s="228">
        <v>1.05</v>
      </c>
      <c r="AF175" s="229">
        <v>3.0000000000000001E-3</v>
      </c>
      <c r="AG175" s="228">
        <v>2.75</v>
      </c>
      <c r="AH175" s="228">
        <v>1.65</v>
      </c>
      <c r="AI175" s="228">
        <v>1.1000000000000001</v>
      </c>
      <c r="AJ175" s="229">
        <v>8.8000000000000005E-3</v>
      </c>
      <c r="AK175" s="228">
        <v>2.85</v>
      </c>
      <c r="AL175" s="228">
        <v>3.35</v>
      </c>
      <c r="AM175" s="228">
        <v>-0.5</v>
      </c>
      <c r="AN175" s="229">
        <v>9.1000000000000004E-3</v>
      </c>
      <c r="AO175" s="228">
        <v>313.7</v>
      </c>
      <c r="AP175" s="228">
        <v>315.41000000000003</v>
      </c>
      <c r="AQ175" s="228">
        <v>0</v>
      </c>
      <c r="AR175" s="230">
        <v>31597600</v>
      </c>
      <c r="AS175" s="230">
        <v>14119225</v>
      </c>
      <c r="AT175" s="230">
        <v>17478375</v>
      </c>
      <c r="AU175" s="229">
        <v>1.2379</v>
      </c>
      <c r="AV175" s="230">
        <v>16160750</v>
      </c>
      <c r="AW175" s="230">
        <v>10179050</v>
      </c>
      <c r="AX175" s="230">
        <v>5981700</v>
      </c>
      <c r="AY175" s="229">
        <v>0.58760000000000001</v>
      </c>
      <c r="AZ175" s="230">
        <v>15401925</v>
      </c>
      <c r="BA175" s="230">
        <v>3895725</v>
      </c>
      <c r="BB175" s="230">
        <v>11506200</v>
      </c>
      <c r="BC175" s="229">
        <v>2.9535</v>
      </c>
      <c r="BD175" s="230">
        <v>34925</v>
      </c>
      <c r="BE175" s="230">
        <v>44450</v>
      </c>
      <c r="BF175" s="230">
        <v>-9525</v>
      </c>
      <c r="BG175" s="229">
        <v>-0.21429999999999999</v>
      </c>
      <c r="BH175" s="230">
        <v>18859500</v>
      </c>
      <c r="BI175" s="230">
        <v>35166300</v>
      </c>
      <c r="BJ175" s="230">
        <v>-16306800</v>
      </c>
      <c r="BK175" s="229">
        <v>-0.4637</v>
      </c>
      <c r="BL175" s="230">
        <v>12912725</v>
      </c>
      <c r="BM175" s="230">
        <v>21726525</v>
      </c>
      <c r="BN175" s="230">
        <v>-8813800</v>
      </c>
      <c r="BO175" s="229">
        <v>-0.40570000000000001</v>
      </c>
      <c r="BP175" s="230">
        <v>63369825</v>
      </c>
      <c r="BQ175" s="230">
        <v>71012050</v>
      </c>
      <c r="BR175" s="230">
        <v>-7642225</v>
      </c>
      <c r="BS175" s="229">
        <v>-0.1076</v>
      </c>
      <c r="BT175" s="230">
        <v>3232037</v>
      </c>
      <c r="BU175" s="230">
        <v>4539281</v>
      </c>
      <c r="BV175" s="230">
        <v>-1307244</v>
      </c>
      <c r="BW175" s="229">
        <v>-0.28799999999999998</v>
      </c>
      <c r="BX175" s="230">
        <v>59813825</v>
      </c>
      <c r="BY175" s="230">
        <v>59566175</v>
      </c>
      <c r="BZ175" s="230">
        <v>247650</v>
      </c>
      <c r="CA175" s="229">
        <v>4.1999999999999997E-3</v>
      </c>
      <c r="CB175" s="230">
        <v>40363775</v>
      </c>
      <c r="CC175" s="230">
        <v>51469925</v>
      </c>
      <c r="CD175" s="230">
        <v>-11106150</v>
      </c>
      <c r="CE175" s="229">
        <v>-0.21579999999999999</v>
      </c>
      <c r="CF175" s="230">
        <v>19326225</v>
      </c>
      <c r="CG175" s="230">
        <v>7975600</v>
      </c>
      <c r="CH175" s="230">
        <v>11350625</v>
      </c>
      <c r="CI175" s="229">
        <v>1.4232</v>
      </c>
      <c r="CJ175" s="230">
        <v>123825</v>
      </c>
      <c r="CK175" s="230">
        <v>120650</v>
      </c>
      <c r="CL175" s="230">
        <v>3175</v>
      </c>
      <c r="CM175" s="229">
        <v>2.63E-2</v>
      </c>
      <c r="CN175" s="230">
        <v>30854650</v>
      </c>
      <c r="CO175" s="230">
        <v>30359350</v>
      </c>
      <c r="CP175" s="230">
        <v>495300</v>
      </c>
      <c r="CQ175" s="229">
        <v>1.6299999999999999E-2</v>
      </c>
      <c r="CR175" s="230">
        <v>27257375</v>
      </c>
      <c r="CS175" s="230">
        <v>26536650</v>
      </c>
      <c r="CT175" s="230">
        <v>720725</v>
      </c>
      <c r="CU175" s="229">
        <v>2.7199999999999998E-2</v>
      </c>
      <c r="CV175" s="230">
        <v>117925850</v>
      </c>
      <c r="CW175" s="230">
        <v>116462175</v>
      </c>
      <c r="CX175" s="230">
        <v>1463675</v>
      </c>
      <c r="CY175" s="229">
        <v>1.26E-2</v>
      </c>
      <c r="CZ175" s="228">
        <v>33.08</v>
      </c>
      <c r="DA175" s="228">
        <v>38.840000000000003</v>
      </c>
      <c r="DB175" s="228">
        <v>-5.76</v>
      </c>
      <c r="DC175" s="228">
        <v>-5.76</v>
      </c>
      <c r="DD175" s="228">
        <v>42.86</v>
      </c>
      <c r="DE175" s="228">
        <v>42.91</v>
      </c>
      <c r="DF175" s="228">
        <v>-9.7799999999999994</v>
      </c>
      <c r="DG175" s="228">
        <v>-0.05</v>
      </c>
      <c r="DH175" s="228">
        <v>32.71</v>
      </c>
      <c r="DI175" s="228">
        <v>38.08</v>
      </c>
      <c r="DJ175" s="228">
        <v>-5.37</v>
      </c>
      <c r="DK175" s="228">
        <v>-5.37</v>
      </c>
      <c r="DL175" s="228">
        <v>33.57</v>
      </c>
      <c r="DM175" s="228">
        <v>40.049999999999997</v>
      </c>
      <c r="DN175" s="228">
        <v>-6.48</v>
      </c>
      <c r="DO175" s="228">
        <v>-6.48</v>
      </c>
      <c r="DP175" s="228">
        <v>0.88</v>
      </c>
      <c r="DQ175" s="228">
        <v>0.87</v>
      </c>
      <c r="DR175" s="228">
        <v>0.01</v>
      </c>
      <c r="DS175" s="229">
        <v>1.15E-2</v>
      </c>
      <c r="DT175" s="228">
        <v>300</v>
      </c>
      <c r="DU175" s="228">
        <v>300</v>
      </c>
      <c r="DV175" s="228">
        <v>0.68</v>
      </c>
      <c r="DW175" s="228">
        <v>0.62</v>
      </c>
      <c r="DX175" s="228">
        <v>0.06</v>
      </c>
      <c r="DY175" s="229">
        <v>9.6799999999999997E-2</v>
      </c>
      <c r="DZ175" s="229">
        <v>0.32519999999999999</v>
      </c>
      <c r="EA175" s="230">
        <v>8096250</v>
      </c>
      <c r="EB175" s="229">
        <v>5.7000000000000002E-3</v>
      </c>
      <c r="EC175" s="229">
        <v>0.32519999999999999</v>
      </c>
      <c r="ED175" s="228">
        <v>1.71</v>
      </c>
      <c r="EE175" s="229">
        <v>5.4999999999999997E-3</v>
      </c>
      <c r="EF175" s="230">
        <v>1292571</v>
      </c>
      <c r="EG175" s="230">
        <v>1736587</v>
      </c>
      <c r="EH175" s="229">
        <v>-0.25569999999999998</v>
      </c>
      <c r="EI175" s="229">
        <v>0.39989999999999998</v>
      </c>
      <c r="EJ175" s="231">
        <v>62263.09</v>
      </c>
      <c r="EK175" s="231">
        <v>40220.160000000003</v>
      </c>
      <c r="EL175" s="231">
        <v>99386.31</v>
      </c>
      <c r="EM175" s="231">
        <v>3551</v>
      </c>
      <c r="EN175" s="231">
        <v>201869.56</v>
      </c>
      <c r="EO175" s="231">
        <v>229099.4</v>
      </c>
      <c r="EP175" s="231">
        <v>-27229.84</v>
      </c>
      <c r="EQ175" s="229">
        <v>-0.11890000000000001</v>
      </c>
      <c r="ER175" s="231">
        <v>98397</v>
      </c>
      <c r="ES175" s="231">
        <v>82119</v>
      </c>
      <c r="ET175" s="231">
        <v>187807</v>
      </c>
      <c r="EU175" s="231">
        <v>92573471</v>
      </c>
      <c r="EV175" s="231">
        <v>368323</v>
      </c>
      <c r="EW175" s="231">
        <v>365911</v>
      </c>
      <c r="EX175" s="231">
        <v>2412</v>
      </c>
      <c r="EY175" s="229">
        <v>6.6E-3</v>
      </c>
      <c r="EZ175" s="229">
        <v>1.2739</v>
      </c>
      <c r="FA175" s="227" t="s">
        <v>566</v>
      </c>
      <c r="FB175" s="161">
        <f t="shared" si="4"/>
        <v>0</v>
      </c>
    </row>
    <row r="176" spans="1:158" ht="17.25" thickBot="1" x14ac:dyDescent="0.3">
      <c r="A176" s="226">
        <v>46135</v>
      </c>
      <c r="B176" s="227" t="s">
        <v>175</v>
      </c>
      <c r="C176" s="227" t="s">
        <v>280</v>
      </c>
      <c r="D176" s="228">
        <v>1400</v>
      </c>
      <c r="E176" s="228">
        <v>377.05</v>
      </c>
      <c r="F176" s="228">
        <v>383.95</v>
      </c>
      <c r="G176" s="228">
        <v>-6.9</v>
      </c>
      <c r="H176" s="229">
        <v>-1.7999999999999999E-2</v>
      </c>
      <c r="I176" s="228">
        <v>376.45</v>
      </c>
      <c r="J176" s="228">
        <v>383.35</v>
      </c>
      <c r="K176" s="228">
        <v>-6.9</v>
      </c>
      <c r="L176" s="229">
        <v>-1.7999999999999999E-2</v>
      </c>
      <c r="M176" s="228">
        <v>377.05</v>
      </c>
      <c r="N176" s="228">
        <v>383.95</v>
      </c>
      <c r="O176" s="228">
        <v>-6.9</v>
      </c>
      <c r="P176" s="229">
        <v>-1.7999999999999999E-2</v>
      </c>
      <c r="Q176" s="228">
        <v>379.05</v>
      </c>
      <c r="R176" s="228">
        <v>386</v>
      </c>
      <c r="S176" s="228">
        <v>-6.95</v>
      </c>
      <c r="T176" s="229">
        <v>-1.7999999999999999E-2</v>
      </c>
      <c r="U176" s="228">
        <v>381.3</v>
      </c>
      <c r="V176" s="228">
        <v>388.1</v>
      </c>
      <c r="W176" s="228">
        <v>-6.8</v>
      </c>
      <c r="X176" s="229">
        <v>-1.7500000000000002E-2</v>
      </c>
      <c r="Y176" s="228">
        <v>0.6</v>
      </c>
      <c r="Z176" s="228">
        <v>0.6</v>
      </c>
      <c r="AA176" s="228">
        <v>0</v>
      </c>
      <c r="AB176" s="229">
        <v>1.6000000000000001E-3</v>
      </c>
      <c r="AC176" s="228">
        <v>0.6</v>
      </c>
      <c r="AD176" s="228">
        <v>0.6</v>
      </c>
      <c r="AE176" s="228">
        <v>0</v>
      </c>
      <c r="AF176" s="229">
        <v>1.6000000000000001E-3</v>
      </c>
      <c r="AG176" s="228">
        <v>2.6</v>
      </c>
      <c r="AH176" s="228">
        <v>2.65</v>
      </c>
      <c r="AI176" s="228">
        <v>-0.05</v>
      </c>
      <c r="AJ176" s="229">
        <v>6.8999999999999999E-3</v>
      </c>
      <c r="AK176" s="228">
        <v>4.8499999999999996</v>
      </c>
      <c r="AL176" s="228">
        <v>4.75</v>
      </c>
      <c r="AM176" s="228">
        <v>0.1</v>
      </c>
      <c r="AN176" s="229">
        <v>1.29E-2</v>
      </c>
      <c r="AO176" s="228">
        <v>379.48</v>
      </c>
      <c r="AP176" s="228">
        <v>381.5</v>
      </c>
      <c r="AQ176" s="228">
        <v>0</v>
      </c>
      <c r="AR176" s="230">
        <v>25893000</v>
      </c>
      <c r="AS176" s="230">
        <v>7460600</v>
      </c>
      <c r="AT176" s="230">
        <v>18432400</v>
      </c>
      <c r="AU176" s="229">
        <v>2.4706000000000001</v>
      </c>
      <c r="AV176" s="230">
        <v>12772200</v>
      </c>
      <c r="AW176" s="230">
        <v>4615800</v>
      </c>
      <c r="AX176" s="230">
        <v>8156400</v>
      </c>
      <c r="AY176" s="229">
        <v>1.7670999999999999</v>
      </c>
      <c r="AZ176" s="230">
        <v>12497800</v>
      </c>
      <c r="BA176" s="230">
        <v>2602600</v>
      </c>
      <c r="BB176" s="230">
        <v>9895200</v>
      </c>
      <c r="BC176" s="229">
        <v>3.802</v>
      </c>
      <c r="BD176" s="230">
        <v>623000</v>
      </c>
      <c r="BE176" s="230">
        <v>242200</v>
      </c>
      <c r="BF176" s="230">
        <v>380800</v>
      </c>
      <c r="BG176" s="229">
        <v>1.5723</v>
      </c>
      <c r="BH176" s="230">
        <v>21897400</v>
      </c>
      <c r="BI176" s="230">
        <v>23655800</v>
      </c>
      <c r="BJ176" s="230">
        <v>-1758400</v>
      </c>
      <c r="BK176" s="229">
        <v>-7.4300000000000005E-2</v>
      </c>
      <c r="BL176" s="230">
        <v>12528600</v>
      </c>
      <c r="BM176" s="230">
        <v>17159800</v>
      </c>
      <c r="BN176" s="230">
        <v>-4631200</v>
      </c>
      <c r="BO176" s="229">
        <v>-0.26989999999999997</v>
      </c>
      <c r="BP176" s="230">
        <v>60319000</v>
      </c>
      <c r="BQ176" s="230">
        <v>48276200</v>
      </c>
      <c r="BR176" s="230">
        <v>12042800</v>
      </c>
      <c r="BS176" s="229">
        <v>0.2495</v>
      </c>
      <c r="BT176" s="230">
        <v>7223287</v>
      </c>
      <c r="BU176" s="230">
        <v>5629335</v>
      </c>
      <c r="BV176" s="230">
        <v>1593952</v>
      </c>
      <c r="BW176" s="229">
        <v>0.28320000000000001</v>
      </c>
      <c r="BX176" s="230">
        <v>67569600</v>
      </c>
      <c r="BY176" s="230">
        <v>65899400</v>
      </c>
      <c r="BZ176" s="230">
        <v>1670200</v>
      </c>
      <c r="CA176" s="229">
        <v>2.53E-2</v>
      </c>
      <c r="CB176" s="230">
        <v>42659400</v>
      </c>
      <c r="CC176" s="230">
        <v>51073400</v>
      </c>
      <c r="CD176" s="230">
        <v>-8414000</v>
      </c>
      <c r="CE176" s="229">
        <v>-0.16470000000000001</v>
      </c>
      <c r="CF176" s="230">
        <v>22495200</v>
      </c>
      <c r="CG176" s="230">
        <v>12807200</v>
      </c>
      <c r="CH176" s="230">
        <v>9688000</v>
      </c>
      <c r="CI176" s="229">
        <v>0.75639999999999996</v>
      </c>
      <c r="CJ176" s="230">
        <v>2415000</v>
      </c>
      <c r="CK176" s="230">
        <v>2018800</v>
      </c>
      <c r="CL176" s="230">
        <v>396200</v>
      </c>
      <c r="CM176" s="229">
        <v>0.1963</v>
      </c>
      <c r="CN176" s="230">
        <v>28970200</v>
      </c>
      <c r="CO176" s="230">
        <v>28679000</v>
      </c>
      <c r="CP176" s="230">
        <v>291200</v>
      </c>
      <c r="CQ176" s="229">
        <v>1.0200000000000001E-2</v>
      </c>
      <c r="CR176" s="230">
        <v>24026800</v>
      </c>
      <c r="CS176" s="230">
        <v>25603200</v>
      </c>
      <c r="CT176" s="230">
        <v>-1576400</v>
      </c>
      <c r="CU176" s="229">
        <v>-6.1600000000000002E-2</v>
      </c>
      <c r="CV176" s="230">
        <v>120566600</v>
      </c>
      <c r="CW176" s="230">
        <v>120181600</v>
      </c>
      <c r="CX176" s="230">
        <v>385000</v>
      </c>
      <c r="CY176" s="229">
        <v>3.2000000000000002E-3</v>
      </c>
      <c r="CZ176" s="228">
        <v>32.700000000000003</v>
      </c>
      <c r="DA176" s="228">
        <v>34.020000000000003</v>
      </c>
      <c r="DB176" s="228">
        <v>-1.32</v>
      </c>
      <c r="DC176" s="228">
        <v>-1.32</v>
      </c>
      <c r="DD176" s="228">
        <v>42.54</v>
      </c>
      <c r="DE176" s="228">
        <v>42.58</v>
      </c>
      <c r="DF176" s="228">
        <v>-9.84</v>
      </c>
      <c r="DG176" s="228">
        <v>-0.04</v>
      </c>
      <c r="DH176" s="228">
        <v>32.74</v>
      </c>
      <c r="DI176" s="228">
        <v>31.22</v>
      </c>
      <c r="DJ176" s="228">
        <v>1.52</v>
      </c>
      <c r="DK176" s="228">
        <v>1.52</v>
      </c>
      <c r="DL176" s="228">
        <v>32.64</v>
      </c>
      <c r="DM176" s="228">
        <v>37.869999999999997</v>
      </c>
      <c r="DN176" s="228">
        <v>-5.23</v>
      </c>
      <c r="DO176" s="228">
        <v>-5.23</v>
      </c>
      <c r="DP176" s="228">
        <v>0.83</v>
      </c>
      <c r="DQ176" s="228">
        <v>0.89</v>
      </c>
      <c r="DR176" s="228">
        <v>-0.06</v>
      </c>
      <c r="DS176" s="229">
        <v>-6.7400000000000002E-2</v>
      </c>
      <c r="DT176" s="228">
        <v>400</v>
      </c>
      <c r="DU176" s="228">
        <v>380</v>
      </c>
      <c r="DV176" s="228">
        <v>0.56999999999999995</v>
      </c>
      <c r="DW176" s="228">
        <v>0.73</v>
      </c>
      <c r="DX176" s="228">
        <v>-0.16</v>
      </c>
      <c r="DY176" s="229">
        <v>-0.21920000000000001</v>
      </c>
      <c r="DZ176" s="229">
        <v>0.36870000000000003</v>
      </c>
      <c r="EA176" s="230">
        <v>14826000</v>
      </c>
      <c r="EB176" s="229">
        <v>5.3E-3</v>
      </c>
      <c r="EC176" s="229">
        <v>0.36870000000000003</v>
      </c>
      <c r="ED176" s="228">
        <v>2.02</v>
      </c>
      <c r="EE176" s="229">
        <v>5.3E-3</v>
      </c>
      <c r="EF176" s="230">
        <v>4169855</v>
      </c>
      <c r="EG176" s="230">
        <v>2854283</v>
      </c>
      <c r="EH176" s="229">
        <v>0.46089999999999998</v>
      </c>
      <c r="EI176" s="229">
        <v>0.57730000000000004</v>
      </c>
      <c r="EJ176" s="231">
        <v>86199.42</v>
      </c>
      <c r="EK176" s="231">
        <v>46199.66</v>
      </c>
      <c r="EL176" s="231">
        <v>98535.72</v>
      </c>
      <c r="EM176" s="231">
        <v>9512</v>
      </c>
      <c r="EN176" s="231">
        <v>230934.8</v>
      </c>
      <c r="EO176" s="231">
        <v>185404.46</v>
      </c>
      <c r="EP176" s="231">
        <v>45530.34</v>
      </c>
      <c r="EQ176" s="229">
        <v>0.24560000000000001</v>
      </c>
      <c r="ER176" s="231">
        <v>106758</v>
      </c>
      <c r="ES176" s="231">
        <v>83280</v>
      </c>
      <c r="ET176" s="231">
        <v>255324</v>
      </c>
      <c r="EU176" s="231">
        <v>187084550</v>
      </c>
      <c r="EV176" s="231">
        <v>445362</v>
      </c>
      <c r="EW176" s="231">
        <v>447570</v>
      </c>
      <c r="EX176" s="231">
        <v>-2208</v>
      </c>
      <c r="EY176" s="229">
        <v>-4.8999999999999998E-3</v>
      </c>
      <c r="EZ176" s="229">
        <v>0.64439999999999997</v>
      </c>
      <c r="FA176" s="227" t="s">
        <v>566</v>
      </c>
      <c r="FB176" s="161">
        <f t="shared" si="4"/>
        <v>0</v>
      </c>
    </row>
    <row r="177" spans="1:158" ht="17.25" thickBot="1" x14ac:dyDescent="0.3">
      <c r="A177" s="226">
        <v>46135</v>
      </c>
      <c r="B177" s="227" t="s">
        <v>193</v>
      </c>
      <c r="C177" s="227" t="s">
        <v>281</v>
      </c>
      <c r="D177" s="228">
        <v>500</v>
      </c>
      <c r="E177" s="231">
        <v>1344.3</v>
      </c>
      <c r="F177" s="231">
        <v>1362.1</v>
      </c>
      <c r="G177" s="228">
        <v>-17.8</v>
      </c>
      <c r="H177" s="229">
        <v>-1.3100000000000001E-2</v>
      </c>
      <c r="I177" s="231">
        <v>1343.4</v>
      </c>
      <c r="J177" s="231">
        <v>1362.1</v>
      </c>
      <c r="K177" s="228">
        <v>-18.7</v>
      </c>
      <c r="L177" s="229">
        <v>-1.37E-2</v>
      </c>
      <c r="M177" s="231">
        <v>1344.3</v>
      </c>
      <c r="N177" s="231">
        <v>1362.1</v>
      </c>
      <c r="O177" s="228">
        <v>-17.8</v>
      </c>
      <c r="P177" s="229">
        <v>-1.3100000000000001E-2</v>
      </c>
      <c r="Q177" s="231">
        <v>1351.6</v>
      </c>
      <c r="R177" s="231">
        <v>1369.5</v>
      </c>
      <c r="S177" s="228">
        <v>-17.899999999999999</v>
      </c>
      <c r="T177" s="229">
        <v>-1.3100000000000001E-2</v>
      </c>
      <c r="U177" s="231">
        <v>1360.2</v>
      </c>
      <c r="V177" s="231">
        <v>1377.7</v>
      </c>
      <c r="W177" s="228">
        <v>-17.5</v>
      </c>
      <c r="X177" s="229">
        <v>-1.2699999999999999E-2</v>
      </c>
      <c r="Y177" s="228">
        <v>0.9</v>
      </c>
      <c r="Z177" s="228">
        <v>0</v>
      </c>
      <c r="AA177" s="228">
        <v>0.9</v>
      </c>
      <c r="AB177" s="229">
        <v>6.9999999999999999E-4</v>
      </c>
      <c r="AC177" s="228">
        <v>0.9</v>
      </c>
      <c r="AD177" s="228">
        <v>0</v>
      </c>
      <c r="AE177" s="228">
        <v>0.9</v>
      </c>
      <c r="AF177" s="229">
        <v>6.9999999999999999E-4</v>
      </c>
      <c r="AG177" s="228">
        <v>8.1999999999999993</v>
      </c>
      <c r="AH177" s="228">
        <v>7.4</v>
      </c>
      <c r="AI177" s="228">
        <v>0.8</v>
      </c>
      <c r="AJ177" s="229">
        <v>6.1000000000000004E-3</v>
      </c>
      <c r="AK177" s="228">
        <v>16.8</v>
      </c>
      <c r="AL177" s="228">
        <v>15.6</v>
      </c>
      <c r="AM177" s="228">
        <v>1.2</v>
      </c>
      <c r="AN177" s="229">
        <v>1.2500000000000001E-2</v>
      </c>
      <c r="AO177" s="231">
        <v>1349.45</v>
      </c>
      <c r="AP177" s="231">
        <v>1357.26</v>
      </c>
      <c r="AQ177" s="228">
        <v>0</v>
      </c>
      <c r="AR177" s="230">
        <v>40056000</v>
      </c>
      <c r="AS177" s="230">
        <v>17096500</v>
      </c>
      <c r="AT177" s="230">
        <v>22959500</v>
      </c>
      <c r="AU177" s="229">
        <v>1.3429</v>
      </c>
      <c r="AV177" s="230">
        <v>20232000</v>
      </c>
      <c r="AW177" s="230">
        <v>11023500</v>
      </c>
      <c r="AX177" s="230">
        <v>9208500</v>
      </c>
      <c r="AY177" s="229">
        <v>0.83540000000000003</v>
      </c>
      <c r="AZ177" s="230">
        <v>14833000</v>
      </c>
      <c r="BA177" s="230">
        <v>4242500</v>
      </c>
      <c r="BB177" s="230">
        <v>10590500</v>
      </c>
      <c r="BC177" s="229">
        <v>2.4963000000000002</v>
      </c>
      <c r="BD177" s="230">
        <v>4991000</v>
      </c>
      <c r="BE177" s="230">
        <v>1830500</v>
      </c>
      <c r="BF177" s="230">
        <v>3160500</v>
      </c>
      <c r="BG177" s="229">
        <v>1.7265999999999999</v>
      </c>
      <c r="BH177" s="230">
        <v>74522500</v>
      </c>
      <c r="BI177" s="230">
        <v>70010000</v>
      </c>
      <c r="BJ177" s="230">
        <v>4512500</v>
      </c>
      <c r="BK177" s="229">
        <v>6.4500000000000002E-2</v>
      </c>
      <c r="BL177" s="230">
        <v>51480000</v>
      </c>
      <c r="BM177" s="230">
        <v>40460000</v>
      </c>
      <c r="BN177" s="230">
        <v>11020000</v>
      </c>
      <c r="BO177" s="229">
        <v>0.27239999999999998</v>
      </c>
      <c r="BP177" s="230">
        <v>166058500</v>
      </c>
      <c r="BQ177" s="230">
        <v>127566500</v>
      </c>
      <c r="BR177" s="230">
        <v>38492000</v>
      </c>
      <c r="BS177" s="229">
        <v>0.30170000000000002</v>
      </c>
      <c r="BT177" s="230">
        <v>19629031</v>
      </c>
      <c r="BU177" s="230">
        <v>9945109</v>
      </c>
      <c r="BV177" s="230">
        <v>9683922</v>
      </c>
      <c r="BW177" s="229">
        <v>0.97370000000000001</v>
      </c>
      <c r="BX177" s="230">
        <v>104295500</v>
      </c>
      <c r="BY177" s="230">
        <v>101507000</v>
      </c>
      <c r="BZ177" s="230">
        <v>2788500</v>
      </c>
      <c r="CA177" s="229">
        <v>2.75E-2</v>
      </c>
      <c r="CB177" s="230">
        <v>53319000</v>
      </c>
      <c r="CC177" s="230">
        <v>68429500</v>
      </c>
      <c r="CD177" s="230">
        <v>-15110500</v>
      </c>
      <c r="CE177" s="229">
        <v>-0.2208</v>
      </c>
      <c r="CF177" s="230">
        <v>39080500</v>
      </c>
      <c r="CG177" s="230">
        <v>25926500</v>
      </c>
      <c r="CH177" s="230">
        <v>13154000</v>
      </c>
      <c r="CI177" s="229">
        <v>0.50739999999999996</v>
      </c>
      <c r="CJ177" s="230">
        <v>11896000</v>
      </c>
      <c r="CK177" s="230">
        <v>7151000</v>
      </c>
      <c r="CL177" s="230">
        <v>4745000</v>
      </c>
      <c r="CM177" s="229">
        <v>0.66349999999999998</v>
      </c>
      <c r="CN177" s="230">
        <v>81209000</v>
      </c>
      <c r="CO177" s="230">
        <v>78053000</v>
      </c>
      <c r="CP177" s="230">
        <v>3156000</v>
      </c>
      <c r="CQ177" s="229">
        <v>4.0399999999999998E-2</v>
      </c>
      <c r="CR177" s="230">
        <v>41382000</v>
      </c>
      <c r="CS177" s="230">
        <v>38482000</v>
      </c>
      <c r="CT177" s="230">
        <v>2900000</v>
      </c>
      <c r="CU177" s="229">
        <v>7.5399999999999995E-2</v>
      </c>
      <c r="CV177" s="230">
        <v>226886500</v>
      </c>
      <c r="CW177" s="230">
        <v>218042000</v>
      </c>
      <c r="CX177" s="230">
        <v>8844500</v>
      </c>
      <c r="CY177" s="229">
        <v>4.0599999999999997E-2</v>
      </c>
      <c r="CZ177" s="228">
        <v>28.3</v>
      </c>
      <c r="DA177" s="228">
        <v>28.4</v>
      </c>
      <c r="DB177" s="228">
        <v>-0.1</v>
      </c>
      <c r="DC177" s="228">
        <v>-0.1</v>
      </c>
      <c r="DD177" s="228">
        <v>26.31</v>
      </c>
      <c r="DE177" s="228">
        <v>26.3</v>
      </c>
      <c r="DF177" s="228">
        <v>1.99</v>
      </c>
      <c r="DG177" s="228">
        <v>0.01</v>
      </c>
      <c r="DH177" s="228">
        <v>28.34</v>
      </c>
      <c r="DI177" s="228">
        <v>28.3</v>
      </c>
      <c r="DJ177" s="228">
        <v>0.04</v>
      </c>
      <c r="DK177" s="228">
        <v>0.04</v>
      </c>
      <c r="DL177" s="228">
        <v>28.23</v>
      </c>
      <c r="DM177" s="228">
        <v>28.57</v>
      </c>
      <c r="DN177" s="228">
        <v>-0.34</v>
      </c>
      <c r="DO177" s="228">
        <v>-0.34</v>
      </c>
      <c r="DP177" s="228">
        <v>0.51</v>
      </c>
      <c r="DQ177" s="228">
        <v>0.49</v>
      </c>
      <c r="DR177" s="228">
        <v>0.02</v>
      </c>
      <c r="DS177" s="229">
        <v>4.0800000000000003E-2</v>
      </c>
      <c r="DT177" s="231">
        <v>1400</v>
      </c>
      <c r="DU177" s="231">
        <v>1300</v>
      </c>
      <c r="DV177" s="228">
        <v>0.69</v>
      </c>
      <c r="DW177" s="228">
        <v>0.57999999999999996</v>
      </c>
      <c r="DX177" s="228">
        <v>0.11</v>
      </c>
      <c r="DY177" s="229">
        <v>0.18970000000000001</v>
      </c>
      <c r="DZ177" s="229">
        <v>0.48880000000000001</v>
      </c>
      <c r="EA177" s="230">
        <v>33077500</v>
      </c>
      <c r="EB177" s="229">
        <v>5.4000000000000003E-3</v>
      </c>
      <c r="EC177" s="229">
        <v>0.48880000000000001</v>
      </c>
      <c r="ED177" s="228">
        <v>7.81</v>
      </c>
      <c r="EE177" s="229">
        <v>5.7999999999999996E-3</v>
      </c>
      <c r="EF177" s="230">
        <v>9226674</v>
      </c>
      <c r="EG177" s="230">
        <v>6120499</v>
      </c>
      <c r="EH177" s="229">
        <v>0.50749999999999995</v>
      </c>
      <c r="EI177" s="229">
        <v>0.47010000000000002</v>
      </c>
      <c r="EJ177" s="231">
        <v>1051318.42</v>
      </c>
      <c r="EK177" s="231">
        <v>691071.65</v>
      </c>
      <c r="EL177" s="231">
        <v>542415.05000000005</v>
      </c>
      <c r="EM177" s="231">
        <v>31007</v>
      </c>
      <c r="EN177" s="231">
        <v>2284805.1200000001</v>
      </c>
      <c r="EO177" s="231">
        <v>1764616.66</v>
      </c>
      <c r="EP177" s="231">
        <v>520188.46</v>
      </c>
      <c r="EQ177" s="229">
        <v>0.29480000000000001</v>
      </c>
      <c r="ER177" s="231">
        <v>1136324</v>
      </c>
      <c r="ES177" s="231">
        <v>556530</v>
      </c>
      <c r="ET177" s="231">
        <v>1406789</v>
      </c>
      <c r="EU177" s="231">
        <v>664381721</v>
      </c>
      <c r="EV177" s="231">
        <v>3099643</v>
      </c>
      <c r="EW177" s="231">
        <v>2999145</v>
      </c>
      <c r="EX177" s="231">
        <v>100498</v>
      </c>
      <c r="EY177" s="229">
        <v>3.3500000000000002E-2</v>
      </c>
      <c r="EZ177" s="229">
        <v>0.34150000000000003</v>
      </c>
      <c r="FA177" s="227" t="s">
        <v>566</v>
      </c>
      <c r="FB177" s="161">
        <f t="shared" si="4"/>
        <v>0</v>
      </c>
    </row>
    <row r="178" spans="1:158" ht="17.25" thickBot="1" x14ac:dyDescent="0.3">
      <c r="A178" s="226">
        <v>46135</v>
      </c>
      <c r="B178" s="227" t="s">
        <v>215</v>
      </c>
      <c r="C178" s="227" t="s">
        <v>673</v>
      </c>
      <c r="D178" s="228">
        <v>1525</v>
      </c>
      <c r="E178" s="228">
        <v>307.06</v>
      </c>
      <c r="F178" s="228">
        <v>306.55</v>
      </c>
      <c r="G178" s="228">
        <v>0.51</v>
      </c>
      <c r="H178" s="229">
        <v>1.6999999999999999E-3</v>
      </c>
      <c r="I178" s="228">
        <v>307.20999999999998</v>
      </c>
      <c r="J178" s="228">
        <v>307.41000000000003</v>
      </c>
      <c r="K178" s="228">
        <v>-0.2</v>
      </c>
      <c r="L178" s="229">
        <v>-6.9999999999999999E-4</v>
      </c>
      <c r="M178" s="228">
        <v>307.06</v>
      </c>
      <c r="N178" s="228">
        <v>306.55</v>
      </c>
      <c r="O178" s="228">
        <v>0.51</v>
      </c>
      <c r="P178" s="229">
        <v>1.6999999999999999E-3</v>
      </c>
      <c r="Q178" s="228">
        <v>288.56</v>
      </c>
      <c r="R178" s="228">
        <v>293.25</v>
      </c>
      <c r="S178" s="228">
        <v>-4.6900000000000004</v>
      </c>
      <c r="T178" s="229">
        <v>-1.6E-2</v>
      </c>
      <c r="U178" s="228">
        <v>279.37</v>
      </c>
      <c r="V178" s="228">
        <v>285.93</v>
      </c>
      <c r="W178" s="228">
        <v>-6.56</v>
      </c>
      <c r="X178" s="229">
        <v>-2.29E-2</v>
      </c>
      <c r="Y178" s="228">
        <v>-0.15</v>
      </c>
      <c r="Z178" s="228">
        <v>-0.86</v>
      </c>
      <c r="AA178" s="228">
        <v>0.71</v>
      </c>
      <c r="AB178" s="229">
        <v>-5.0000000000000001E-4</v>
      </c>
      <c r="AC178" s="228">
        <v>-0.15</v>
      </c>
      <c r="AD178" s="228">
        <v>-0.86</v>
      </c>
      <c r="AE178" s="228">
        <v>0.71</v>
      </c>
      <c r="AF178" s="229">
        <v>-5.0000000000000001E-4</v>
      </c>
      <c r="AG178" s="228">
        <v>-18.649999999999999</v>
      </c>
      <c r="AH178" s="228">
        <v>-14.16</v>
      </c>
      <c r="AI178" s="228">
        <v>-4.49</v>
      </c>
      <c r="AJ178" s="229">
        <v>-6.0699999999999997E-2</v>
      </c>
      <c r="AK178" s="228">
        <v>-27.84</v>
      </c>
      <c r="AL178" s="228">
        <v>-21.48</v>
      </c>
      <c r="AM178" s="228">
        <v>-6.36</v>
      </c>
      <c r="AN178" s="229">
        <v>-9.06E-2</v>
      </c>
      <c r="AO178" s="228">
        <v>307.32</v>
      </c>
      <c r="AP178" s="228">
        <v>288.74</v>
      </c>
      <c r="AQ178" s="228">
        <v>0</v>
      </c>
      <c r="AR178" s="230">
        <v>57187500</v>
      </c>
      <c r="AS178" s="230">
        <v>15850850</v>
      </c>
      <c r="AT178" s="230">
        <v>41336650</v>
      </c>
      <c r="AU178" s="229">
        <v>2.6078999999999999</v>
      </c>
      <c r="AV178" s="230">
        <v>28369575</v>
      </c>
      <c r="AW178" s="230">
        <v>8907525</v>
      </c>
      <c r="AX178" s="230">
        <v>19462050</v>
      </c>
      <c r="AY178" s="229">
        <v>2.1848999999999998</v>
      </c>
      <c r="AZ178" s="230">
        <v>27977650</v>
      </c>
      <c r="BA178" s="230">
        <v>6406525</v>
      </c>
      <c r="BB178" s="230">
        <v>21571125</v>
      </c>
      <c r="BC178" s="229">
        <v>3.3671000000000002</v>
      </c>
      <c r="BD178" s="230">
        <v>840275</v>
      </c>
      <c r="BE178" s="230">
        <v>536800</v>
      </c>
      <c r="BF178" s="230">
        <v>303475</v>
      </c>
      <c r="BG178" s="229">
        <v>0.56530000000000002</v>
      </c>
      <c r="BH178" s="230">
        <v>35328150</v>
      </c>
      <c r="BI178" s="230">
        <v>48527025</v>
      </c>
      <c r="BJ178" s="230">
        <v>-13198875</v>
      </c>
      <c r="BK178" s="229">
        <v>-0.27200000000000002</v>
      </c>
      <c r="BL178" s="230">
        <v>14534775</v>
      </c>
      <c r="BM178" s="230">
        <v>13596900</v>
      </c>
      <c r="BN178" s="230">
        <v>937875</v>
      </c>
      <c r="BO178" s="229">
        <v>6.9000000000000006E-2</v>
      </c>
      <c r="BP178" s="230">
        <v>107050425</v>
      </c>
      <c r="BQ178" s="230">
        <v>77974775</v>
      </c>
      <c r="BR178" s="230">
        <v>29075650</v>
      </c>
      <c r="BS178" s="229">
        <v>0.37290000000000001</v>
      </c>
      <c r="BT178" s="230">
        <v>12842407</v>
      </c>
      <c r="BU178" s="230">
        <v>10614580</v>
      </c>
      <c r="BV178" s="230">
        <v>2227827</v>
      </c>
      <c r="BW178" s="229">
        <v>0.2099</v>
      </c>
      <c r="BX178" s="230">
        <v>60274100</v>
      </c>
      <c r="BY178" s="230">
        <v>71215975</v>
      </c>
      <c r="BZ178" s="230">
        <v>-10941875</v>
      </c>
      <c r="CA178" s="229">
        <v>-0.15359999999999999</v>
      </c>
      <c r="CB178" s="230">
        <v>28148450</v>
      </c>
      <c r="CC178" s="230">
        <v>49202600</v>
      </c>
      <c r="CD178" s="230">
        <v>-21054150</v>
      </c>
      <c r="CE178" s="229">
        <v>-0.4279</v>
      </c>
      <c r="CF178" s="230">
        <v>29687175</v>
      </c>
      <c r="CG178" s="230">
        <v>19948525</v>
      </c>
      <c r="CH178" s="230">
        <v>9738650</v>
      </c>
      <c r="CI178" s="229">
        <v>0.48820000000000002</v>
      </c>
      <c r="CJ178" s="230">
        <v>2438475</v>
      </c>
      <c r="CK178" s="230">
        <v>2064850</v>
      </c>
      <c r="CL178" s="230">
        <v>373625</v>
      </c>
      <c r="CM178" s="229">
        <v>0.18090000000000001</v>
      </c>
      <c r="CN178" s="230">
        <v>23103750</v>
      </c>
      <c r="CO178" s="230">
        <v>22499850</v>
      </c>
      <c r="CP178" s="230">
        <v>603900</v>
      </c>
      <c r="CQ178" s="229">
        <v>2.6800000000000001E-2</v>
      </c>
      <c r="CR178" s="230">
        <v>17110500</v>
      </c>
      <c r="CS178" s="230">
        <v>16781100</v>
      </c>
      <c r="CT178" s="230">
        <v>329400</v>
      </c>
      <c r="CU178" s="229">
        <v>1.9599999999999999E-2</v>
      </c>
      <c r="CV178" s="230">
        <v>100488350</v>
      </c>
      <c r="CW178" s="230">
        <v>110496925</v>
      </c>
      <c r="CX178" s="230">
        <v>-10008575</v>
      </c>
      <c r="CY178" s="229">
        <v>-9.06E-2</v>
      </c>
      <c r="CZ178" s="228">
        <v>54.04</v>
      </c>
      <c r="DA178" s="228">
        <v>40.53</v>
      </c>
      <c r="DB178" s="228">
        <v>13.51</v>
      </c>
      <c r="DC178" s="228">
        <v>13.51</v>
      </c>
      <c r="DD178" s="228">
        <v>57.98</v>
      </c>
      <c r="DE178" s="228">
        <v>58.12</v>
      </c>
      <c r="DF178" s="228">
        <v>-3.94</v>
      </c>
      <c r="DG178" s="228">
        <v>-0.14000000000000001</v>
      </c>
      <c r="DH178" s="228">
        <v>54.49</v>
      </c>
      <c r="DI178" s="228">
        <v>39.81</v>
      </c>
      <c r="DJ178" s="228">
        <v>14.68</v>
      </c>
      <c r="DK178" s="228">
        <v>14.68</v>
      </c>
      <c r="DL178" s="228">
        <v>52.52</v>
      </c>
      <c r="DM178" s="228">
        <v>43.09</v>
      </c>
      <c r="DN178" s="228">
        <v>9.43</v>
      </c>
      <c r="DO178" s="228">
        <v>9.43</v>
      </c>
      <c r="DP178" s="228">
        <v>0.74</v>
      </c>
      <c r="DQ178" s="228">
        <v>0.75</v>
      </c>
      <c r="DR178" s="228">
        <v>-0.01</v>
      </c>
      <c r="DS178" s="229">
        <v>-1.3299999999999999E-2</v>
      </c>
      <c r="DT178" s="228">
        <v>320</v>
      </c>
      <c r="DU178" s="228">
        <v>300</v>
      </c>
      <c r="DV178" s="228">
        <v>0.41</v>
      </c>
      <c r="DW178" s="228">
        <v>0.28000000000000003</v>
      </c>
      <c r="DX178" s="228">
        <v>0.13</v>
      </c>
      <c r="DY178" s="229">
        <v>0.46429999999999999</v>
      </c>
      <c r="DZ178" s="229">
        <v>0.53300000000000003</v>
      </c>
      <c r="EA178" s="230">
        <v>22013375</v>
      </c>
      <c r="EB178" s="229">
        <v>-6.0199999999999997E-2</v>
      </c>
      <c r="EC178" s="229">
        <v>0.53300000000000003</v>
      </c>
      <c r="ED178" s="228">
        <v>-18.579999999999998</v>
      </c>
      <c r="EE178" s="229">
        <v>-6.0499999999999998E-2</v>
      </c>
      <c r="EF178" s="230">
        <v>2476006</v>
      </c>
      <c r="EG178" s="230">
        <v>3205197</v>
      </c>
      <c r="EH178" s="229">
        <v>-0.22750000000000001</v>
      </c>
      <c r="EI178" s="229">
        <v>0.1928</v>
      </c>
      <c r="EJ178" s="231">
        <v>113661.66</v>
      </c>
      <c r="EK178" s="231">
        <v>43097.26</v>
      </c>
      <c r="EL178" s="231">
        <v>170327.41</v>
      </c>
      <c r="EM178" s="231">
        <v>10324</v>
      </c>
      <c r="EN178" s="231">
        <v>327086.33</v>
      </c>
      <c r="EO178" s="231">
        <v>241097.66</v>
      </c>
      <c r="EP178" s="231">
        <v>85988.67</v>
      </c>
      <c r="EQ178" s="229">
        <v>0.35670000000000002</v>
      </c>
      <c r="ER178" s="231">
        <v>70784</v>
      </c>
      <c r="ES178" s="231">
        <v>47695</v>
      </c>
      <c r="ET178" s="231">
        <v>178910</v>
      </c>
      <c r="EU178" s="231">
        <v>84941460</v>
      </c>
      <c r="EV178" s="231">
        <v>297390</v>
      </c>
      <c r="EW178" s="231">
        <v>330650</v>
      </c>
      <c r="EX178" s="231">
        <v>-33260</v>
      </c>
      <c r="EY178" s="229">
        <v>-0.10059999999999999</v>
      </c>
      <c r="EZ178" s="229">
        <v>1.1830000000000001</v>
      </c>
      <c r="FA178" s="227" t="s">
        <v>693</v>
      </c>
      <c r="FB178" s="161">
        <f t="shared" si="4"/>
        <v>0</v>
      </c>
    </row>
    <row r="179" spans="1:158" ht="17.25" thickBot="1" x14ac:dyDescent="0.3">
      <c r="A179" s="226">
        <v>46135</v>
      </c>
      <c r="B179" s="227" t="s">
        <v>227</v>
      </c>
      <c r="C179" s="227" t="s">
        <v>282</v>
      </c>
      <c r="D179" s="228">
        <v>4700</v>
      </c>
      <c r="E179" s="228">
        <v>176.57</v>
      </c>
      <c r="F179" s="228">
        <v>175.95</v>
      </c>
      <c r="G179" s="228">
        <v>0.62</v>
      </c>
      <c r="H179" s="229">
        <v>3.5000000000000001E-3</v>
      </c>
      <c r="I179" s="228">
        <v>176.45</v>
      </c>
      <c r="J179" s="228">
        <v>176.23</v>
      </c>
      <c r="K179" s="228">
        <v>0.22</v>
      </c>
      <c r="L179" s="229">
        <v>1.1999999999999999E-3</v>
      </c>
      <c r="M179" s="228">
        <v>176.57</v>
      </c>
      <c r="N179" s="228">
        <v>175.95</v>
      </c>
      <c r="O179" s="228">
        <v>0.62</v>
      </c>
      <c r="P179" s="229">
        <v>3.5000000000000001E-3</v>
      </c>
      <c r="Q179" s="228">
        <v>176.83</v>
      </c>
      <c r="R179" s="228">
        <v>177</v>
      </c>
      <c r="S179" s="228">
        <v>-0.17</v>
      </c>
      <c r="T179" s="229">
        <v>-1E-3</v>
      </c>
      <c r="U179" s="228">
        <v>178.69</v>
      </c>
      <c r="V179" s="228">
        <v>178.69</v>
      </c>
      <c r="W179" s="228">
        <v>0</v>
      </c>
      <c r="X179" s="229">
        <v>0</v>
      </c>
      <c r="Y179" s="228">
        <v>0.12</v>
      </c>
      <c r="Z179" s="228">
        <v>-0.28000000000000003</v>
      </c>
      <c r="AA179" s="228">
        <v>0.4</v>
      </c>
      <c r="AB179" s="229">
        <v>6.9999999999999999E-4</v>
      </c>
      <c r="AC179" s="228">
        <v>0.12</v>
      </c>
      <c r="AD179" s="228">
        <v>-0.28000000000000003</v>
      </c>
      <c r="AE179" s="228">
        <v>0.4</v>
      </c>
      <c r="AF179" s="229">
        <v>6.9999999999999999E-4</v>
      </c>
      <c r="AG179" s="228">
        <v>0.38</v>
      </c>
      <c r="AH179" s="228">
        <v>0.77</v>
      </c>
      <c r="AI179" s="228">
        <v>-0.39</v>
      </c>
      <c r="AJ179" s="229">
        <v>2.2000000000000001E-3</v>
      </c>
      <c r="AK179" s="228">
        <v>2.2400000000000002</v>
      </c>
      <c r="AL179" s="228">
        <v>2.46</v>
      </c>
      <c r="AM179" s="228">
        <v>-0.22</v>
      </c>
      <c r="AN179" s="229">
        <v>1.2699999999999999E-2</v>
      </c>
      <c r="AO179" s="228">
        <v>175.89</v>
      </c>
      <c r="AP179" s="228">
        <v>176.59</v>
      </c>
      <c r="AQ179" s="228">
        <v>0</v>
      </c>
      <c r="AR179" s="230">
        <v>9620900</v>
      </c>
      <c r="AS179" s="230">
        <v>3313500</v>
      </c>
      <c r="AT179" s="230">
        <v>6307400</v>
      </c>
      <c r="AU179" s="229">
        <v>1.9035</v>
      </c>
      <c r="AV179" s="230">
        <v>5846800</v>
      </c>
      <c r="AW179" s="230">
        <v>3257100</v>
      </c>
      <c r="AX179" s="230">
        <v>2589700</v>
      </c>
      <c r="AY179" s="229">
        <v>0.79510000000000003</v>
      </c>
      <c r="AZ179" s="230">
        <v>3774100</v>
      </c>
      <c r="BA179" s="230">
        <v>51700</v>
      </c>
      <c r="BB179" s="230">
        <v>3722400</v>
      </c>
      <c r="BC179" s="229">
        <v>72</v>
      </c>
      <c r="BD179" s="228">
        <v>0</v>
      </c>
      <c r="BE179" s="230">
        <v>4700</v>
      </c>
      <c r="BF179" s="230">
        <v>-4700</v>
      </c>
      <c r="BG179" s="229">
        <v>-1</v>
      </c>
      <c r="BH179" s="230">
        <v>958800</v>
      </c>
      <c r="BI179" s="230">
        <v>775500</v>
      </c>
      <c r="BJ179" s="230">
        <v>183300</v>
      </c>
      <c r="BK179" s="229">
        <v>0.2364</v>
      </c>
      <c r="BL179" s="230">
        <v>653300</v>
      </c>
      <c r="BM179" s="230">
        <v>587500</v>
      </c>
      <c r="BN179" s="230">
        <v>65800</v>
      </c>
      <c r="BO179" s="229">
        <v>0.112</v>
      </c>
      <c r="BP179" s="230">
        <v>11233000</v>
      </c>
      <c r="BQ179" s="230">
        <v>4676500</v>
      </c>
      <c r="BR179" s="230">
        <v>6556500</v>
      </c>
      <c r="BS179" s="229">
        <v>1.4019999999999999</v>
      </c>
      <c r="BT179" s="230">
        <v>20588961</v>
      </c>
      <c r="BU179" s="230">
        <v>21447441</v>
      </c>
      <c r="BV179" s="230">
        <v>-858480</v>
      </c>
      <c r="BW179" s="229">
        <v>-0.04</v>
      </c>
      <c r="BX179" s="230">
        <v>194128800</v>
      </c>
      <c r="BY179" s="230">
        <v>194218100</v>
      </c>
      <c r="BZ179" s="230">
        <v>-89300</v>
      </c>
      <c r="CA179" s="229">
        <v>-5.0000000000000001E-4</v>
      </c>
      <c r="CB179" s="230">
        <v>156340800</v>
      </c>
      <c r="CC179" s="230">
        <v>158672000</v>
      </c>
      <c r="CD179" s="230">
        <v>-2331200</v>
      </c>
      <c r="CE179" s="229">
        <v>-1.47E-2</v>
      </c>
      <c r="CF179" s="230">
        <v>37496600</v>
      </c>
      <c r="CG179" s="230">
        <v>35254700</v>
      </c>
      <c r="CH179" s="230">
        <v>2241900</v>
      </c>
      <c r="CI179" s="229">
        <v>6.3600000000000004E-2</v>
      </c>
      <c r="CJ179" s="230">
        <v>291400</v>
      </c>
      <c r="CK179" s="230">
        <v>291400</v>
      </c>
      <c r="CL179" s="228">
        <v>0</v>
      </c>
      <c r="CM179" s="229">
        <v>0</v>
      </c>
      <c r="CN179" s="230">
        <v>9785400</v>
      </c>
      <c r="CO179" s="230">
        <v>9978100</v>
      </c>
      <c r="CP179" s="230">
        <v>-192700</v>
      </c>
      <c r="CQ179" s="229">
        <v>-1.9300000000000001E-2</v>
      </c>
      <c r="CR179" s="230">
        <v>8107500</v>
      </c>
      <c r="CS179" s="230">
        <v>7811400</v>
      </c>
      <c r="CT179" s="230">
        <v>296100</v>
      </c>
      <c r="CU179" s="229">
        <v>3.7900000000000003E-2</v>
      </c>
      <c r="CV179" s="230">
        <v>212021700</v>
      </c>
      <c r="CW179" s="230">
        <v>212007600</v>
      </c>
      <c r="CX179" s="230">
        <v>14100</v>
      </c>
      <c r="CY179" s="229">
        <v>1E-4</v>
      </c>
      <c r="CZ179" s="228">
        <v>30.47</v>
      </c>
      <c r="DA179" s="228">
        <v>41.82</v>
      </c>
      <c r="DB179" s="228">
        <v>-11.35</v>
      </c>
      <c r="DC179" s="228">
        <v>-11.35</v>
      </c>
      <c r="DD179" s="228">
        <v>44.2</v>
      </c>
      <c r="DE179" s="228">
        <v>44.31</v>
      </c>
      <c r="DF179" s="228">
        <v>-13.73</v>
      </c>
      <c r="DG179" s="228">
        <v>-0.11</v>
      </c>
      <c r="DH179" s="228">
        <v>30.47</v>
      </c>
      <c r="DI179" s="228">
        <v>36.85</v>
      </c>
      <c r="DJ179" s="228">
        <v>-6.38</v>
      </c>
      <c r="DK179" s="228">
        <v>-6.38</v>
      </c>
      <c r="DL179" s="228">
        <v>30.47</v>
      </c>
      <c r="DM179" s="228">
        <v>48.39</v>
      </c>
      <c r="DN179" s="228">
        <v>-17.920000000000002</v>
      </c>
      <c r="DO179" s="228">
        <v>-17.920000000000002</v>
      </c>
      <c r="DP179" s="228">
        <v>0.83</v>
      </c>
      <c r="DQ179" s="228">
        <v>0.78</v>
      </c>
      <c r="DR179" s="228">
        <v>0.05</v>
      </c>
      <c r="DS179" s="229">
        <v>6.4100000000000004E-2</v>
      </c>
      <c r="DT179" s="228">
        <v>170</v>
      </c>
      <c r="DU179" s="228">
        <v>155</v>
      </c>
      <c r="DV179" s="228">
        <v>0.68</v>
      </c>
      <c r="DW179" s="228">
        <v>0.76</v>
      </c>
      <c r="DX179" s="228">
        <v>-0.08</v>
      </c>
      <c r="DY179" s="229">
        <v>-0.1053</v>
      </c>
      <c r="DZ179" s="229">
        <v>0.19470000000000001</v>
      </c>
      <c r="EA179" s="230">
        <v>35546100</v>
      </c>
      <c r="EB179" s="229">
        <v>1.5E-3</v>
      </c>
      <c r="EC179" s="229">
        <v>0.19470000000000001</v>
      </c>
      <c r="ED179" s="228">
        <v>0.7</v>
      </c>
      <c r="EE179" s="229">
        <v>4.0000000000000001E-3</v>
      </c>
      <c r="EF179" s="230">
        <v>8729839</v>
      </c>
      <c r="EG179" s="230">
        <v>10632369</v>
      </c>
      <c r="EH179" s="229">
        <v>-0.1789</v>
      </c>
      <c r="EI179" s="229">
        <v>0.42399999999999999</v>
      </c>
      <c r="EJ179" s="231">
        <v>1684.13</v>
      </c>
      <c r="EK179" s="231">
        <v>1026.8900000000001</v>
      </c>
      <c r="EL179" s="231">
        <v>16948.650000000001</v>
      </c>
      <c r="EM179" s="228">
        <v>621</v>
      </c>
      <c r="EN179" s="231">
        <v>19659.669999999998</v>
      </c>
      <c r="EO179" s="231">
        <v>8162.97</v>
      </c>
      <c r="EP179" s="231">
        <v>11496.7</v>
      </c>
      <c r="EQ179" s="229">
        <v>1.4084000000000001</v>
      </c>
      <c r="ER179" s="231">
        <v>16260</v>
      </c>
      <c r="ES179" s="231">
        <v>12485</v>
      </c>
      <c r="ET179" s="231">
        <v>342877</v>
      </c>
      <c r="EU179" s="231">
        <v>216861410</v>
      </c>
      <c r="EV179" s="231">
        <v>371622</v>
      </c>
      <c r="EW179" s="231">
        <v>370700</v>
      </c>
      <c r="EX179" s="228">
        <v>922</v>
      </c>
      <c r="EY179" s="229">
        <v>2.5000000000000001E-3</v>
      </c>
      <c r="EZ179" s="229">
        <v>0.97770000000000001</v>
      </c>
      <c r="FA179" s="227" t="s">
        <v>693</v>
      </c>
      <c r="FB179" s="161">
        <f t="shared" si="4"/>
        <v>0</v>
      </c>
    </row>
    <row r="180" spans="1:158" ht="17.25" thickBot="1" x14ac:dyDescent="0.3">
      <c r="A180" s="226">
        <v>46135</v>
      </c>
      <c r="B180" s="227" t="s">
        <v>175</v>
      </c>
      <c r="C180" s="227" t="s">
        <v>684</v>
      </c>
      <c r="D180" s="228">
        <v>4300</v>
      </c>
      <c r="E180" s="228">
        <v>144.32</v>
      </c>
      <c r="F180" s="228">
        <v>147.16999999999999</v>
      </c>
      <c r="G180" s="228">
        <v>-2.85</v>
      </c>
      <c r="H180" s="229">
        <v>-1.9400000000000001E-2</v>
      </c>
      <c r="I180" s="228">
        <v>144.25</v>
      </c>
      <c r="J180" s="228">
        <v>146.75</v>
      </c>
      <c r="K180" s="228">
        <v>-2.5</v>
      </c>
      <c r="L180" s="229">
        <v>-1.7000000000000001E-2</v>
      </c>
      <c r="M180" s="228">
        <v>144.32</v>
      </c>
      <c r="N180" s="228">
        <v>147.16999999999999</v>
      </c>
      <c r="O180" s="228">
        <v>-2.85</v>
      </c>
      <c r="P180" s="229">
        <v>-1.9400000000000001E-2</v>
      </c>
      <c r="Q180" s="228">
        <v>145.22999999999999</v>
      </c>
      <c r="R180" s="228">
        <v>147.93</v>
      </c>
      <c r="S180" s="228">
        <v>-2.7</v>
      </c>
      <c r="T180" s="229">
        <v>-1.83E-2</v>
      </c>
      <c r="U180" s="228">
        <v>145.9</v>
      </c>
      <c r="V180" s="228">
        <v>148.93</v>
      </c>
      <c r="W180" s="228">
        <v>-3.03</v>
      </c>
      <c r="X180" s="229">
        <v>-2.0299999999999999E-2</v>
      </c>
      <c r="Y180" s="228">
        <v>7.0000000000000007E-2</v>
      </c>
      <c r="Z180" s="228">
        <v>0.42</v>
      </c>
      <c r="AA180" s="228">
        <v>-0.35</v>
      </c>
      <c r="AB180" s="229">
        <v>5.0000000000000001E-4</v>
      </c>
      <c r="AC180" s="228">
        <v>7.0000000000000007E-2</v>
      </c>
      <c r="AD180" s="228">
        <v>0.42</v>
      </c>
      <c r="AE180" s="228">
        <v>-0.35</v>
      </c>
      <c r="AF180" s="229">
        <v>5.0000000000000001E-4</v>
      </c>
      <c r="AG180" s="228">
        <v>0.98</v>
      </c>
      <c r="AH180" s="228">
        <v>1.18</v>
      </c>
      <c r="AI180" s="228">
        <v>-0.2</v>
      </c>
      <c r="AJ180" s="229">
        <v>6.7999999999999996E-3</v>
      </c>
      <c r="AK180" s="228">
        <v>1.65</v>
      </c>
      <c r="AL180" s="228">
        <v>2.1800000000000002</v>
      </c>
      <c r="AM180" s="228">
        <v>-0.53</v>
      </c>
      <c r="AN180" s="229">
        <v>1.14E-2</v>
      </c>
      <c r="AO180" s="228">
        <v>145.54</v>
      </c>
      <c r="AP180" s="228">
        <v>146.33000000000001</v>
      </c>
      <c r="AQ180" s="228">
        <v>0</v>
      </c>
      <c r="AR180" s="230">
        <v>37650800</v>
      </c>
      <c r="AS180" s="230">
        <v>23297400</v>
      </c>
      <c r="AT180" s="230">
        <v>14353400</v>
      </c>
      <c r="AU180" s="229">
        <v>0.61609999999999998</v>
      </c>
      <c r="AV180" s="230">
        <v>18722200</v>
      </c>
      <c r="AW180" s="230">
        <v>11188600</v>
      </c>
      <c r="AX180" s="230">
        <v>7533600</v>
      </c>
      <c r="AY180" s="229">
        <v>0.67330000000000001</v>
      </c>
      <c r="AZ180" s="230">
        <v>18361000</v>
      </c>
      <c r="BA180" s="230">
        <v>11059600</v>
      </c>
      <c r="BB180" s="230">
        <v>7301400</v>
      </c>
      <c r="BC180" s="229">
        <v>0.66020000000000001</v>
      </c>
      <c r="BD180" s="230">
        <v>567600</v>
      </c>
      <c r="BE180" s="230">
        <v>1049200</v>
      </c>
      <c r="BF180" s="230">
        <v>-481600</v>
      </c>
      <c r="BG180" s="229">
        <v>-0.45900000000000002</v>
      </c>
      <c r="BH180" s="230">
        <v>9030000</v>
      </c>
      <c r="BI180" s="230">
        <v>9554600</v>
      </c>
      <c r="BJ180" s="230">
        <v>-524600</v>
      </c>
      <c r="BK180" s="229">
        <v>-5.4899999999999997E-2</v>
      </c>
      <c r="BL180" s="230">
        <v>4854700</v>
      </c>
      <c r="BM180" s="230">
        <v>7787300</v>
      </c>
      <c r="BN180" s="230">
        <v>-2932600</v>
      </c>
      <c r="BO180" s="229">
        <v>-0.37659999999999999</v>
      </c>
      <c r="BP180" s="230">
        <v>51535500</v>
      </c>
      <c r="BQ180" s="230">
        <v>40639300</v>
      </c>
      <c r="BR180" s="230">
        <v>10896200</v>
      </c>
      <c r="BS180" s="229">
        <v>0.2681</v>
      </c>
      <c r="BT180" s="230">
        <v>8165352</v>
      </c>
      <c r="BU180" s="230">
        <v>16038639</v>
      </c>
      <c r="BV180" s="230">
        <v>-7873287</v>
      </c>
      <c r="BW180" s="229">
        <v>-0.4909</v>
      </c>
      <c r="BX180" s="230">
        <v>104386800</v>
      </c>
      <c r="BY180" s="230">
        <v>105001700</v>
      </c>
      <c r="BZ180" s="230">
        <v>-614900</v>
      </c>
      <c r="CA180" s="229">
        <v>-5.8999999999999999E-3</v>
      </c>
      <c r="CB180" s="230">
        <v>57521100</v>
      </c>
      <c r="CC180" s="230">
        <v>71216600</v>
      </c>
      <c r="CD180" s="230">
        <v>-13695500</v>
      </c>
      <c r="CE180" s="229">
        <v>-0.1923</v>
      </c>
      <c r="CF180" s="230">
        <v>44492100</v>
      </c>
      <c r="CG180" s="230">
        <v>31794200</v>
      </c>
      <c r="CH180" s="230">
        <v>12697900</v>
      </c>
      <c r="CI180" s="229">
        <v>0.39939999999999998</v>
      </c>
      <c r="CJ180" s="230">
        <v>2373600</v>
      </c>
      <c r="CK180" s="230">
        <v>1990900</v>
      </c>
      <c r="CL180" s="230">
        <v>382700</v>
      </c>
      <c r="CM180" s="229">
        <v>0.19220000000000001</v>
      </c>
      <c r="CN180" s="230">
        <v>20261600</v>
      </c>
      <c r="CO180" s="230">
        <v>20265900</v>
      </c>
      <c r="CP180" s="230">
        <v>-4300</v>
      </c>
      <c r="CQ180" s="229">
        <v>-2.0000000000000001E-4</v>
      </c>
      <c r="CR180" s="230">
        <v>16924800</v>
      </c>
      <c r="CS180" s="230">
        <v>16894700</v>
      </c>
      <c r="CT180" s="230">
        <v>30100</v>
      </c>
      <c r="CU180" s="229">
        <v>1.8E-3</v>
      </c>
      <c r="CV180" s="230">
        <v>141573200</v>
      </c>
      <c r="CW180" s="230">
        <v>142162300</v>
      </c>
      <c r="CX180" s="230">
        <v>-589100</v>
      </c>
      <c r="CY180" s="229">
        <v>-4.1000000000000003E-3</v>
      </c>
      <c r="CZ180" s="228">
        <v>34.42</v>
      </c>
      <c r="DA180" s="228">
        <v>38.46</v>
      </c>
      <c r="DB180" s="228">
        <v>-4.04</v>
      </c>
      <c r="DC180" s="228">
        <v>-4.04</v>
      </c>
      <c r="DD180" s="228">
        <v>53.11</v>
      </c>
      <c r="DE180" s="228">
        <v>53.18</v>
      </c>
      <c r="DF180" s="228">
        <v>-18.690000000000001</v>
      </c>
      <c r="DG180" s="228">
        <v>-7.0000000000000007E-2</v>
      </c>
      <c r="DH180" s="228">
        <v>34.36</v>
      </c>
      <c r="DI180" s="228">
        <v>39.840000000000003</v>
      </c>
      <c r="DJ180" s="228">
        <v>-5.48</v>
      </c>
      <c r="DK180" s="228">
        <v>-5.48</v>
      </c>
      <c r="DL180" s="228">
        <v>34.46</v>
      </c>
      <c r="DM180" s="228">
        <v>36.76</v>
      </c>
      <c r="DN180" s="228">
        <v>-2.2999999999999998</v>
      </c>
      <c r="DO180" s="228">
        <v>-2.2999999999999998</v>
      </c>
      <c r="DP180" s="228">
        <v>0.84</v>
      </c>
      <c r="DQ180" s="228">
        <v>0.83</v>
      </c>
      <c r="DR180" s="228">
        <v>0.01</v>
      </c>
      <c r="DS180" s="229">
        <v>1.2E-2</v>
      </c>
      <c r="DT180" s="228">
        <v>150</v>
      </c>
      <c r="DU180" s="228">
        <v>140</v>
      </c>
      <c r="DV180" s="228">
        <v>0.54</v>
      </c>
      <c r="DW180" s="228">
        <v>0.82</v>
      </c>
      <c r="DX180" s="228">
        <v>-0.28000000000000003</v>
      </c>
      <c r="DY180" s="229">
        <v>-0.34150000000000003</v>
      </c>
      <c r="DZ180" s="229">
        <v>0.44900000000000001</v>
      </c>
      <c r="EA180" s="230">
        <v>33785100</v>
      </c>
      <c r="EB180" s="229">
        <v>6.3E-3</v>
      </c>
      <c r="EC180" s="229">
        <v>0.44900000000000001</v>
      </c>
      <c r="ED180" s="228">
        <v>0.79</v>
      </c>
      <c r="EE180" s="229">
        <v>5.4000000000000003E-3</v>
      </c>
      <c r="EF180" s="230">
        <v>3311793</v>
      </c>
      <c r="EG180" s="230">
        <v>6680879</v>
      </c>
      <c r="EH180" s="229">
        <v>-0.50429999999999997</v>
      </c>
      <c r="EI180" s="229">
        <v>0.40560000000000002</v>
      </c>
      <c r="EJ180" s="231">
        <v>14010.22</v>
      </c>
      <c r="EK180" s="231">
        <v>7067.97</v>
      </c>
      <c r="EL180" s="231">
        <v>54949.43</v>
      </c>
      <c r="EM180" s="231">
        <v>3960</v>
      </c>
      <c r="EN180" s="231">
        <v>76027.62</v>
      </c>
      <c r="EO180" s="231">
        <v>60537.89</v>
      </c>
      <c r="EP180" s="231">
        <v>15489.73</v>
      </c>
      <c r="EQ180" s="229">
        <v>0.25590000000000002</v>
      </c>
      <c r="ER180" s="231">
        <v>31557</v>
      </c>
      <c r="ES180" s="231">
        <v>24032</v>
      </c>
      <c r="ET180" s="231">
        <v>151093</v>
      </c>
      <c r="EU180" s="231">
        <v>122372064</v>
      </c>
      <c r="EV180" s="231">
        <v>206683</v>
      </c>
      <c r="EW180" s="231">
        <v>210499</v>
      </c>
      <c r="EX180" s="231">
        <v>-3816</v>
      </c>
      <c r="EY180" s="229">
        <v>-1.8100000000000002E-2</v>
      </c>
      <c r="EZ180" s="229">
        <v>1.1569</v>
      </c>
      <c r="FA180" s="227" t="s">
        <v>567</v>
      </c>
      <c r="FB180" s="161">
        <f t="shared" si="4"/>
        <v>0</v>
      </c>
    </row>
    <row r="181" spans="1:158" ht="17.25" thickBot="1" x14ac:dyDescent="0.3">
      <c r="A181" s="226">
        <v>46135</v>
      </c>
      <c r="B181" s="227" t="s">
        <v>175</v>
      </c>
      <c r="C181" s="227" t="s">
        <v>536</v>
      </c>
      <c r="D181" s="228">
        <v>800</v>
      </c>
      <c r="E181" s="228">
        <v>682.3</v>
      </c>
      <c r="F181" s="228">
        <v>687.9</v>
      </c>
      <c r="G181" s="228">
        <v>-5.6</v>
      </c>
      <c r="H181" s="229">
        <v>-8.0999999999999996E-3</v>
      </c>
      <c r="I181" s="228">
        <v>680.55</v>
      </c>
      <c r="J181" s="228">
        <v>686.2</v>
      </c>
      <c r="K181" s="228">
        <v>-5.65</v>
      </c>
      <c r="L181" s="229">
        <v>-8.2000000000000007E-3</v>
      </c>
      <c r="M181" s="228">
        <v>682.3</v>
      </c>
      <c r="N181" s="228">
        <v>687.9</v>
      </c>
      <c r="O181" s="228">
        <v>-5.6</v>
      </c>
      <c r="P181" s="229">
        <v>-8.0999999999999996E-3</v>
      </c>
      <c r="Q181" s="228">
        <v>666.8</v>
      </c>
      <c r="R181" s="228">
        <v>670</v>
      </c>
      <c r="S181" s="228">
        <v>-3.2</v>
      </c>
      <c r="T181" s="229">
        <v>-4.7999999999999996E-3</v>
      </c>
      <c r="U181" s="228">
        <v>656.9</v>
      </c>
      <c r="V181" s="228">
        <v>659.65</v>
      </c>
      <c r="W181" s="228">
        <v>-2.75</v>
      </c>
      <c r="X181" s="229">
        <v>-4.1999999999999997E-3</v>
      </c>
      <c r="Y181" s="228">
        <v>1.75</v>
      </c>
      <c r="Z181" s="228">
        <v>1.7</v>
      </c>
      <c r="AA181" s="228">
        <v>0.05</v>
      </c>
      <c r="AB181" s="229">
        <v>2.5999999999999999E-3</v>
      </c>
      <c r="AC181" s="228">
        <v>1.75</v>
      </c>
      <c r="AD181" s="228">
        <v>1.7</v>
      </c>
      <c r="AE181" s="228">
        <v>0.05</v>
      </c>
      <c r="AF181" s="229">
        <v>2.5999999999999999E-3</v>
      </c>
      <c r="AG181" s="228">
        <v>-13.75</v>
      </c>
      <c r="AH181" s="228">
        <v>-16.2</v>
      </c>
      <c r="AI181" s="228">
        <v>2.4500000000000002</v>
      </c>
      <c r="AJ181" s="229">
        <v>-2.0199999999999999E-2</v>
      </c>
      <c r="AK181" s="228">
        <v>-23.65</v>
      </c>
      <c r="AL181" s="228">
        <v>-26.55</v>
      </c>
      <c r="AM181" s="228">
        <v>2.9</v>
      </c>
      <c r="AN181" s="229">
        <v>-3.4799999999999998E-2</v>
      </c>
      <c r="AO181" s="228">
        <v>686.34</v>
      </c>
      <c r="AP181" s="228">
        <v>668.42</v>
      </c>
      <c r="AQ181" s="228">
        <v>0</v>
      </c>
      <c r="AR181" s="230">
        <v>17814400</v>
      </c>
      <c r="AS181" s="230">
        <v>6228800</v>
      </c>
      <c r="AT181" s="230">
        <v>11585600</v>
      </c>
      <c r="AU181" s="229">
        <v>1.86</v>
      </c>
      <c r="AV181" s="230">
        <v>8980800</v>
      </c>
      <c r="AW181" s="230">
        <v>4035200</v>
      </c>
      <c r="AX181" s="230">
        <v>4945600</v>
      </c>
      <c r="AY181" s="229">
        <v>1.2256</v>
      </c>
      <c r="AZ181" s="230">
        <v>8672800</v>
      </c>
      <c r="BA181" s="230">
        <v>1969600</v>
      </c>
      <c r="BB181" s="230">
        <v>6703200</v>
      </c>
      <c r="BC181" s="229">
        <v>3.4033000000000002</v>
      </c>
      <c r="BD181" s="230">
        <v>160800</v>
      </c>
      <c r="BE181" s="230">
        <v>224000</v>
      </c>
      <c r="BF181" s="230">
        <v>-63200</v>
      </c>
      <c r="BG181" s="229">
        <v>-0.28210000000000002</v>
      </c>
      <c r="BH181" s="230">
        <v>6524000</v>
      </c>
      <c r="BI181" s="230">
        <v>10169600</v>
      </c>
      <c r="BJ181" s="230">
        <v>-3645600</v>
      </c>
      <c r="BK181" s="229">
        <v>-0.35849999999999999</v>
      </c>
      <c r="BL181" s="230">
        <v>3968000</v>
      </c>
      <c r="BM181" s="230">
        <v>5388800</v>
      </c>
      <c r="BN181" s="230">
        <v>-1420800</v>
      </c>
      <c r="BO181" s="229">
        <v>-0.26369999999999999</v>
      </c>
      <c r="BP181" s="230">
        <v>28306400</v>
      </c>
      <c r="BQ181" s="230">
        <v>21787200</v>
      </c>
      <c r="BR181" s="230">
        <v>6519200</v>
      </c>
      <c r="BS181" s="229">
        <v>0.29920000000000002</v>
      </c>
      <c r="BT181" s="230">
        <v>885996</v>
      </c>
      <c r="BU181" s="230">
        <v>1252227</v>
      </c>
      <c r="BV181" s="230">
        <v>-366231</v>
      </c>
      <c r="BW181" s="229">
        <v>-0.29249999999999998</v>
      </c>
      <c r="BX181" s="230">
        <v>28775200</v>
      </c>
      <c r="BY181" s="230">
        <v>31462400</v>
      </c>
      <c r="BZ181" s="230">
        <v>-2687200</v>
      </c>
      <c r="CA181" s="229">
        <v>-8.5400000000000004E-2</v>
      </c>
      <c r="CB181" s="230">
        <v>19018400</v>
      </c>
      <c r="CC181" s="230">
        <v>24577600</v>
      </c>
      <c r="CD181" s="230">
        <v>-5559200</v>
      </c>
      <c r="CE181" s="229">
        <v>-0.22620000000000001</v>
      </c>
      <c r="CF181" s="230">
        <v>8776800</v>
      </c>
      <c r="CG181" s="230">
        <v>5925600</v>
      </c>
      <c r="CH181" s="230">
        <v>2851200</v>
      </c>
      <c r="CI181" s="229">
        <v>0.48120000000000002</v>
      </c>
      <c r="CJ181" s="230">
        <v>980000</v>
      </c>
      <c r="CK181" s="230">
        <v>959200</v>
      </c>
      <c r="CL181" s="230">
        <v>20800</v>
      </c>
      <c r="CM181" s="229">
        <v>2.1700000000000001E-2</v>
      </c>
      <c r="CN181" s="230">
        <v>8497600</v>
      </c>
      <c r="CO181" s="230">
        <v>8960800</v>
      </c>
      <c r="CP181" s="230">
        <v>-463200</v>
      </c>
      <c r="CQ181" s="229">
        <v>-5.1700000000000003E-2</v>
      </c>
      <c r="CR181" s="230">
        <v>7651200</v>
      </c>
      <c r="CS181" s="230">
        <v>7634400</v>
      </c>
      <c r="CT181" s="230">
        <v>16800</v>
      </c>
      <c r="CU181" s="229">
        <v>2.2000000000000001E-3</v>
      </c>
      <c r="CV181" s="230">
        <v>44924000</v>
      </c>
      <c r="CW181" s="230">
        <v>48057600</v>
      </c>
      <c r="CX181" s="230">
        <v>-3133600</v>
      </c>
      <c r="CY181" s="229">
        <v>-6.5199999999999994E-2</v>
      </c>
      <c r="CZ181" s="228">
        <v>36.01</v>
      </c>
      <c r="DA181" s="228">
        <v>35.07</v>
      </c>
      <c r="DB181" s="228">
        <v>0.94</v>
      </c>
      <c r="DC181" s="228">
        <v>0.94</v>
      </c>
      <c r="DD181" s="228">
        <v>32.15</v>
      </c>
      <c r="DE181" s="228">
        <v>32.21</v>
      </c>
      <c r="DF181" s="228">
        <v>3.86</v>
      </c>
      <c r="DG181" s="228">
        <v>-0.06</v>
      </c>
      <c r="DH181" s="228">
        <v>36.19</v>
      </c>
      <c r="DI181" s="228">
        <v>34.299999999999997</v>
      </c>
      <c r="DJ181" s="228">
        <v>1.89</v>
      </c>
      <c r="DK181" s="228">
        <v>1.89</v>
      </c>
      <c r="DL181" s="228">
        <v>35.71</v>
      </c>
      <c r="DM181" s="228">
        <v>36.520000000000003</v>
      </c>
      <c r="DN181" s="228">
        <v>-0.81</v>
      </c>
      <c r="DO181" s="228">
        <v>-0.81</v>
      </c>
      <c r="DP181" s="228">
        <v>0.9</v>
      </c>
      <c r="DQ181" s="228">
        <v>0.85</v>
      </c>
      <c r="DR181" s="228">
        <v>0.05</v>
      </c>
      <c r="DS181" s="229">
        <v>5.8799999999999998E-2</v>
      </c>
      <c r="DT181" s="228">
        <v>800</v>
      </c>
      <c r="DU181" s="228">
        <v>680</v>
      </c>
      <c r="DV181" s="228">
        <v>0.61</v>
      </c>
      <c r="DW181" s="228">
        <v>0.53</v>
      </c>
      <c r="DX181" s="228">
        <v>0.08</v>
      </c>
      <c r="DY181" s="229">
        <v>0.15090000000000001</v>
      </c>
      <c r="DZ181" s="229">
        <v>0.33910000000000001</v>
      </c>
      <c r="EA181" s="230">
        <v>6884800</v>
      </c>
      <c r="EB181" s="229">
        <v>-2.2700000000000001E-2</v>
      </c>
      <c r="EC181" s="229">
        <v>0.33910000000000001</v>
      </c>
      <c r="ED181" s="228">
        <v>-17.920000000000002</v>
      </c>
      <c r="EE181" s="229">
        <v>-2.6100000000000002E-2</v>
      </c>
      <c r="EF181" s="230">
        <v>369897</v>
      </c>
      <c r="EG181" s="230">
        <v>572420</v>
      </c>
      <c r="EH181" s="229">
        <v>-0.3538</v>
      </c>
      <c r="EI181" s="229">
        <v>0.41749999999999998</v>
      </c>
      <c r="EJ181" s="231">
        <v>46882.75</v>
      </c>
      <c r="EK181" s="231">
        <v>27729.02</v>
      </c>
      <c r="EL181" s="231">
        <v>120668.16</v>
      </c>
      <c r="EM181" s="231">
        <v>7478</v>
      </c>
      <c r="EN181" s="231">
        <v>195279.93</v>
      </c>
      <c r="EO181" s="231">
        <v>151364.16</v>
      </c>
      <c r="EP181" s="231">
        <v>43915.77</v>
      </c>
      <c r="EQ181" s="229">
        <v>0.29010000000000002</v>
      </c>
      <c r="ER181" s="231">
        <v>60636</v>
      </c>
      <c r="ES181" s="231">
        <v>51106</v>
      </c>
      <c r="ET181" s="231">
        <v>194724</v>
      </c>
      <c r="EU181" s="231">
        <v>44841373</v>
      </c>
      <c r="EV181" s="231">
        <v>306465</v>
      </c>
      <c r="EW181" s="231">
        <v>330040</v>
      </c>
      <c r="EX181" s="231">
        <v>-23575</v>
      </c>
      <c r="EY181" s="229">
        <v>-7.1400000000000005E-2</v>
      </c>
      <c r="EZ181" s="229">
        <v>1.0018</v>
      </c>
      <c r="FA181" s="227" t="s">
        <v>567</v>
      </c>
      <c r="FB181" s="161">
        <f t="shared" si="4"/>
        <v>0</v>
      </c>
    </row>
    <row r="182" spans="1:158" ht="17.25" thickBot="1" x14ac:dyDescent="0.3">
      <c r="A182" s="226">
        <v>46135</v>
      </c>
      <c r="B182" s="227" t="s">
        <v>175</v>
      </c>
      <c r="C182" s="227" t="s">
        <v>462</v>
      </c>
      <c r="D182" s="228">
        <v>375</v>
      </c>
      <c r="E182" s="231">
        <v>1826.1</v>
      </c>
      <c r="F182" s="231">
        <v>1889.7</v>
      </c>
      <c r="G182" s="228">
        <v>-63.6</v>
      </c>
      <c r="H182" s="229">
        <v>-3.3700000000000001E-2</v>
      </c>
      <c r="I182" s="231">
        <v>1828.1</v>
      </c>
      <c r="J182" s="231">
        <v>1884.8</v>
      </c>
      <c r="K182" s="228">
        <v>-56.7</v>
      </c>
      <c r="L182" s="229">
        <v>-3.0099999999999998E-2</v>
      </c>
      <c r="M182" s="231">
        <v>1826.1</v>
      </c>
      <c r="N182" s="231">
        <v>1889.7</v>
      </c>
      <c r="O182" s="228">
        <v>-63.6</v>
      </c>
      <c r="P182" s="229">
        <v>-3.3700000000000001E-2</v>
      </c>
      <c r="Q182" s="231">
        <v>1835.7</v>
      </c>
      <c r="R182" s="231">
        <v>1898.4</v>
      </c>
      <c r="S182" s="228">
        <v>-62.7</v>
      </c>
      <c r="T182" s="229">
        <v>-3.3000000000000002E-2</v>
      </c>
      <c r="U182" s="231">
        <v>1847.1</v>
      </c>
      <c r="V182" s="231">
        <v>1910.1</v>
      </c>
      <c r="W182" s="228">
        <v>-63</v>
      </c>
      <c r="X182" s="229">
        <v>-3.3000000000000002E-2</v>
      </c>
      <c r="Y182" s="228">
        <v>-2</v>
      </c>
      <c r="Z182" s="228">
        <v>4.9000000000000004</v>
      </c>
      <c r="AA182" s="228">
        <v>-6.9</v>
      </c>
      <c r="AB182" s="229">
        <v>-1.1000000000000001E-3</v>
      </c>
      <c r="AC182" s="228">
        <v>-2</v>
      </c>
      <c r="AD182" s="228">
        <v>4.9000000000000004</v>
      </c>
      <c r="AE182" s="228">
        <v>-6.9</v>
      </c>
      <c r="AF182" s="229">
        <v>-1.1000000000000001E-3</v>
      </c>
      <c r="AG182" s="228">
        <v>7.6</v>
      </c>
      <c r="AH182" s="228">
        <v>13.6</v>
      </c>
      <c r="AI182" s="228">
        <v>-6</v>
      </c>
      <c r="AJ182" s="229">
        <v>4.1999999999999997E-3</v>
      </c>
      <c r="AK182" s="228">
        <v>19</v>
      </c>
      <c r="AL182" s="228">
        <v>25.3</v>
      </c>
      <c r="AM182" s="228">
        <v>-6.3</v>
      </c>
      <c r="AN182" s="229">
        <v>1.04E-2</v>
      </c>
      <c r="AO182" s="231">
        <v>1847.83</v>
      </c>
      <c r="AP182" s="231">
        <v>1853.67</v>
      </c>
      <c r="AQ182" s="228">
        <v>0</v>
      </c>
      <c r="AR182" s="230">
        <v>8632125</v>
      </c>
      <c r="AS182" s="230">
        <v>5339625</v>
      </c>
      <c r="AT182" s="230">
        <v>3292500</v>
      </c>
      <c r="AU182" s="229">
        <v>0.61660000000000004</v>
      </c>
      <c r="AV182" s="230">
        <v>4722000</v>
      </c>
      <c r="AW182" s="230">
        <v>3109125</v>
      </c>
      <c r="AX182" s="230">
        <v>1612875</v>
      </c>
      <c r="AY182" s="229">
        <v>0.51880000000000004</v>
      </c>
      <c r="AZ182" s="230">
        <v>3814125</v>
      </c>
      <c r="BA182" s="230">
        <v>1855500</v>
      </c>
      <c r="BB182" s="230">
        <v>1958625</v>
      </c>
      <c r="BC182" s="229">
        <v>1.0556000000000001</v>
      </c>
      <c r="BD182" s="230">
        <v>96000</v>
      </c>
      <c r="BE182" s="230">
        <v>375000</v>
      </c>
      <c r="BF182" s="230">
        <v>-279000</v>
      </c>
      <c r="BG182" s="229">
        <v>-0.74399999999999999</v>
      </c>
      <c r="BH182" s="230">
        <v>25723125</v>
      </c>
      <c r="BI182" s="230">
        <v>20408625</v>
      </c>
      <c r="BJ182" s="230">
        <v>5314500</v>
      </c>
      <c r="BK182" s="229">
        <v>0.26040000000000002</v>
      </c>
      <c r="BL182" s="230">
        <v>16873500</v>
      </c>
      <c r="BM182" s="230">
        <v>9820875</v>
      </c>
      <c r="BN182" s="230">
        <v>7052625</v>
      </c>
      <c r="BO182" s="229">
        <v>0.71809999999999996</v>
      </c>
      <c r="BP182" s="230">
        <v>51228750</v>
      </c>
      <c r="BQ182" s="230">
        <v>35569125</v>
      </c>
      <c r="BR182" s="230">
        <v>15659625</v>
      </c>
      <c r="BS182" s="229">
        <v>0.44030000000000002</v>
      </c>
      <c r="BT182" s="230">
        <v>4351253</v>
      </c>
      <c r="BU182" s="230">
        <v>4287562</v>
      </c>
      <c r="BV182" s="230">
        <v>63691</v>
      </c>
      <c r="BW182" s="229">
        <v>1.49E-2</v>
      </c>
      <c r="BX182" s="230">
        <v>13248750</v>
      </c>
      <c r="BY182" s="230">
        <v>12514500</v>
      </c>
      <c r="BZ182" s="230">
        <v>734250</v>
      </c>
      <c r="CA182" s="229">
        <v>5.8700000000000002E-2</v>
      </c>
      <c r="CB182" s="230">
        <v>7959375</v>
      </c>
      <c r="CC182" s="230">
        <v>9336000</v>
      </c>
      <c r="CD182" s="230">
        <v>-1376625</v>
      </c>
      <c r="CE182" s="229">
        <v>-0.14749999999999999</v>
      </c>
      <c r="CF182" s="230">
        <v>4137750</v>
      </c>
      <c r="CG182" s="230">
        <v>2091750</v>
      </c>
      <c r="CH182" s="230">
        <v>2046000</v>
      </c>
      <c r="CI182" s="229">
        <v>0.97809999999999997</v>
      </c>
      <c r="CJ182" s="230">
        <v>1151625</v>
      </c>
      <c r="CK182" s="230">
        <v>1086750</v>
      </c>
      <c r="CL182" s="230">
        <v>64875</v>
      </c>
      <c r="CM182" s="229">
        <v>5.9700000000000003E-2</v>
      </c>
      <c r="CN182" s="230">
        <v>7444125</v>
      </c>
      <c r="CO182" s="230">
        <v>6786375</v>
      </c>
      <c r="CP182" s="230">
        <v>657750</v>
      </c>
      <c r="CQ182" s="229">
        <v>9.69E-2</v>
      </c>
      <c r="CR182" s="230">
        <v>3408375</v>
      </c>
      <c r="CS182" s="230">
        <v>3713625</v>
      </c>
      <c r="CT182" s="230">
        <v>-305250</v>
      </c>
      <c r="CU182" s="229">
        <v>-8.2199999999999995E-2</v>
      </c>
      <c r="CV182" s="230">
        <v>24101250</v>
      </c>
      <c r="CW182" s="230">
        <v>23014500</v>
      </c>
      <c r="CX182" s="230">
        <v>1086750</v>
      </c>
      <c r="CY182" s="229">
        <v>4.7199999999999999E-2</v>
      </c>
      <c r="CZ182" s="228">
        <v>28.63</v>
      </c>
      <c r="DA182" s="228">
        <v>39.79</v>
      </c>
      <c r="DB182" s="228">
        <v>-11.16</v>
      </c>
      <c r="DC182" s="228">
        <v>-11.16</v>
      </c>
      <c r="DD182" s="228">
        <v>26.53</v>
      </c>
      <c r="DE182" s="228">
        <v>26.27</v>
      </c>
      <c r="DF182" s="228">
        <v>2.1</v>
      </c>
      <c r="DG182" s="228">
        <v>0.26</v>
      </c>
      <c r="DH182" s="228">
        <v>28.75</v>
      </c>
      <c r="DI182" s="228">
        <v>39.229999999999997</v>
      </c>
      <c r="DJ182" s="228">
        <v>-10.48</v>
      </c>
      <c r="DK182" s="228">
        <v>-10.48</v>
      </c>
      <c r="DL182" s="228">
        <v>28.37</v>
      </c>
      <c r="DM182" s="228">
        <v>40.96</v>
      </c>
      <c r="DN182" s="228">
        <v>-12.59</v>
      </c>
      <c r="DO182" s="228">
        <v>-12.59</v>
      </c>
      <c r="DP182" s="228">
        <v>0.46</v>
      </c>
      <c r="DQ182" s="228">
        <v>0.55000000000000004</v>
      </c>
      <c r="DR182" s="228">
        <v>-0.09</v>
      </c>
      <c r="DS182" s="229">
        <v>-0.1636</v>
      </c>
      <c r="DT182" s="231">
        <v>2000</v>
      </c>
      <c r="DU182" s="231">
        <v>1900</v>
      </c>
      <c r="DV182" s="228">
        <v>0.66</v>
      </c>
      <c r="DW182" s="228">
        <v>0.48</v>
      </c>
      <c r="DX182" s="228">
        <v>0.18</v>
      </c>
      <c r="DY182" s="229">
        <v>0.375</v>
      </c>
      <c r="DZ182" s="229">
        <v>0.3992</v>
      </c>
      <c r="EA182" s="230">
        <v>3178500</v>
      </c>
      <c r="EB182" s="229">
        <v>5.3E-3</v>
      </c>
      <c r="EC182" s="229">
        <v>0.3992</v>
      </c>
      <c r="ED182" s="228">
        <v>5.84</v>
      </c>
      <c r="EE182" s="229">
        <v>3.2000000000000002E-3</v>
      </c>
      <c r="EF182" s="230">
        <v>2208971</v>
      </c>
      <c r="EG182" s="230">
        <v>2955291</v>
      </c>
      <c r="EH182" s="229">
        <v>-0.2525</v>
      </c>
      <c r="EI182" s="229">
        <v>0.50770000000000004</v>
      </c>
      <c r="EJ182" s="231">
        <v>496786.68</v>
      </c>
      <c r="EK182" s="231">
        <v>309440.48</v>
      </c>
      <c r="EL182" s="231">
        <v>159740.19</v>
      </c>
      <c r="EM182" s="231">
        <v>8025</v>
      </c>
      <c r="EN182" s="231">
        <v>965967.35</v>
      </c>
      <c r="EO182" s="231">
        <v>689295.79</v>
      </c>
      <c r="EP182" s="231">
        <v>276671.56</v>
      </c>
      <c r="EQ182" s="229">
        <v>0.40139999999999998</v>
      </c>
      <c r="ER182" s="231">
        <v>145469</v>
      </c>
      <c r="ES182" s="231">
        <v>61379</v>
      </c>
      <c r="ET182" s="231">
        <v>242574</v>
      </c>
      <c r="EU182" s="231">
        <v>45527821</v>
      </c>
      <c r="EV182" s="231">
        <v>449422</v>
      </c>
      <c r="EW182" s="231">
        <v>437802</v>
      </c>
      <c r="EX182" s="231">
        <v>11620</v>
      </c>
      <c r="EY182" s="229">
        <v>2.6499999999999999E-2</v>
      </c>
      <c r="EZ182" s="229">
        <v>0.52939999999999998</v>
      </c>
      <c r="FA182" s="227" t="s">
        <v>566</v>
      </c>
      <c r="FB182" s="161">
        <f t="shared" si="4"/>
        <v>0</v>
      </c>
    </row>
    <row r="183" spans="1:158" ht="17.25" thickBot="1" x14ac:dyDescent="0.3">
      <c r="A183" s="226">
        <v>46135</v>
      </c>
      <c r="B183" s="227" t="s">
        <v>172</v>
      </c>
      <c r="C183" s="227" t="s">
        <v>283</v>
      </c>
      <c r="D183" s="228">
        <v>750</v>
      </c>
      <c r="E183" s="231">
        <v>1094.0999999999999</v>
      </c>
      <c r="F183" s="231">
        <v>1105.5</v>
      </c>
      <c r="G183" s="228">
        <v>-11.4</v>
      </c>
      <c r="H183" s="229">
        <v>-1.03E-2</v>
      </c>
      <c r="I183" s="231">
        <v>1094.25</v>
      </c>
      <c r="J183" s="231">
        <v>1103.3</v>
      </c>
      <c r="K183" s="228">
        <v>-9.0500000000000007</v>
      </c>
      <c r="L183" s="229">
        <v>-8.2000000000000007E-3</v>
      </c>
      <c r="M183" s="231">
        <v>1094.0999999999999</v>
      </c>
      <c r="N183" s="231">
        <v>1105.5</v>
      </c>
      <c r="O183" s="228">
        <v>-11.4</v>
      </c>
      <c r="P183" s="229">
        <v>-1.03E-2</v>
      </c>
      <c r="Q183" s="231">
        <v>1089.95</v>
      </c>
      <c r="R183" s="231">
        <v>1099.7</v>
      </c>
      <c r="S183" s="228">
        <v>-9.75</v>
      </c>
      <c r="T183" s="229">
        <v>-8.8999999999999999E-3</v>
      </c>
      <c r="U183" s="231">
        <v>1088.9000000000001</v>
      </c>
      <c r="V183" s="231">
        <v>1101.0999999999999</v>
      </c>
      <c r="W183" s="228">
        <v>-12.2</v>
      </c>
      <c r="X183" s="229">
        <v>-1.11E-2</v>
      </c>
      <c r="Y183" s="228">
        <v>-0.15</v>
      </c>
      <c r="Z183" s="228">
        <v>2.2000000000000002</v>
      </c>
      <c r="AA183" s="228">
        <v>-2.35</v>
      </c>
      <c r="AB183" s="229">
        <v>-1E-4</v>
      </c>
      <c r="AC183" s="228">
        <v>-0.15</v>
      </c>
      <c r="AD183" s="228">
        <v>2.2000000000000002</v>
      </c>
      <c r="AE183" s="228">
        <v>-2.35</v>
      </c>
      <c r="AF183" s="229">
        <v>-1E-4</v>
      </c>
      <c r="AG183" s="228">
        <v>-4.3</v>
      </c>
      <c r="AH183" s="228">
        <v>-3.6</v>
      </c>
      <c r="AI183" s="228">
        <v>-0.7</v>
      </c>
      <c r="AJ183" s="229">
        <v>-3.8999999999999998E-3</v>
      </c>
      <c r="AK183" s="228">
        <v>-5.35</v>
      </c>
      <c r="AL183" s="228">
        <v>-2.2000000000000002</v>
      </c>
      <c r="AM183" s="228">
        <v>-3.15</v>
      </c>
      <c r="AN183" s="229">
        <v>-4.8999999999999998E-3</v>
      </c>
      <c r="AO183" s="231">
        <v>1093.6300000000001</v>
      </c>
      <c r="AP183" s="231">
        <v>1088.8</v>
      </c>
      <c r="AQ183" s="228">
        <v>0</v>
      </c>
      <c r="AR183" s="230">
        <v>38831250</v>
      </c>
      <c r="AS183" s="230">
        <v>17460750</v>
      </c>
      <c r="AT183" s="230">
        <v>21370500</v>
      </c>
      <c r="AU183" s="229">
        <v>1.2239</v>
      </c>
      <c r="AV183" s="230">
        <v>20253000</v>
      </c>
      <c r="AW183" s="230">
        <v>10730250</v>
      </c>
      <c r="AX183" s="230">
        <v>9522750</v>
      </c>
      <c r="AY183" s="229">
        <v>0.88749999999999996</v>
      </c>
      <c r="AZ183" s="230">
        <v>15889500</v>
      </c>
      <c r="BA183" s="230">
        <v>6083250</v>
      </c>
      <c r="BB183" s="230">
        <v>9806250</v>
      </c>
      <c r="BC183" s="229">
        <v>1.6120000000000001</v>
      </c>
      <c r="BD183" s="230">
        <v>2688750</v>
      </c>
      <c r="BE183" s="230">
        <v>647250</v>
      </c>
      <c r="BF183" s="230">
        <v>2041500</v>
      </c>
      <c r="BG183" s="229">
        <v>3.1541000000000001</v>
      </c>
      <c r="BH183" s="230">
        <v>88773000</v>
      </c>
      <c r="BI183" s="230">
        <v>69666000</v>
      </c>
      <c r="BJ183" s="230">
        <v>19107000</v>
      </c>
      <c r="BK183" s="229">
        <v>0.27429999999999999</v>
      </c>
      <c r="BL183" s="230">
        <v>71660250</v>
      </c>
      <c r="BM183" s="230">
        <v>45000000</v>
      </c>
      <c r="BN183" s="230">
        <v>26660250</v>
      </c>
      <c r="BO183" s="229">
        <v>0.59240000000000004</v>
      </c>
      <c r="BP183" s="230">
        <v>199264500</v>
      </c>
      <c r="BQ183" s="230">
        <v>132126750</v>
      </c>
      <c r="BR183" s="230">
        <v>67137750</v>
      </c>
      <c r="BS183" s="229">
        <v>0.5081</v>
      </c>
      <c r="BT183" s="230">
        <v>15208417</v>
      </c>
      <c r="BU183" s="230">
        <v>12996009</v>
      </c>
      <c r="BV183" s="230">
        <v>2212408</v>
      </c>
      <c r="BW183" s="229">
        <v>0.17019999999999999</v>
      </c>
      <c r="BX183" s="230">
        <v>88077750</v>
      </c>
      <c r="BY183" s="230">
        <v>85618500</v>
      </c>
      <c r="BZ183" s="230">
        <v>2459250</v>
      </c>
      <c r="CA183" s="229">
        <v>2.87E-2</v>
      </c>
      <c r="CB183" s="230">
        <v>52866750</v>
      </c>
      <c r="CC183" s="230">
        <v>65423250</v>
      </c>
      <c r="CD183" s="230">
        <v>-12556500</v>
      </c>
      <c r="CE183" s="229">
        <v>-0.19189999999999999</v>
      </c>
      <c r="CF183" s="230">
        <v>28842750</v>
      </c>
      <c r="CG183" s="230">
        <v>16188000</v>
      </c>
      <c r="CH183" s="230">
        <v>12654750</v>
      </c>
      <c r="CI183" s="229">
        <v>0.78169999999999995</v>
      </c>
      <c r="CJ183" s="230">
        <v>6368250</v>
      </c>
      <c r="CK183" s="230">
        <v>4007250</v>
      </c>
      <c r="CL183" s="230">
        <v>2361000</v>
      </c>
      <c r="CM183" s="229">
        <v>0.58919999999999995</v>
      </c>
      <c r="CN183" s="230">
        <v>50079750</v>
      </c>
      <c r="CO183" s="230">
        <v>49864500</v>
      </c>
      <c r="CP183" s="230">
        <v>215250</v>
      </c>
      <c r="CQ183" s="229">
        <v>4.3E-3</v>
      </c>
      <c r="CR183" s="230">
        <v>39811500</v>
      </c>
      <c r="CS183" s="230">
        <v>41452500</v>
      </c>
      <c r="CT183" s="230">
        <v>-1641000</v>
      </c>
      <c r="CU183" s="229">
        <v>-3.9600000000000003E-2</v>
      </c>
      <c r="CV183" s="230">
        <v>177969000</v>
      </c>
      <c r="CW183" s="230">
        <v>176935500</v>
      </c>
      <c r="CX183" s="230">
        <v>1033500</v>
      </c>
      <c r="CY183" s="229">
        <v>5.7999999999999996E-3</v>
      </c>
      <c r="CZ183" s="228">
        <v>28.64</v>
      </c>
      <c r="DA183" s="228">
        <v>27.31</v>
      </c>
      <c r="DB183" s="228">
        <v>1.33</v>
      </c>
      <c r="DC183" s="228">
        <v>1.33</v>
      </c>
      <c r="DD183" s="228">
        <v>29.13</v>
      </c>
      <c r="DE183" s="228">
        <v>29.18</v>
      </c>
      <c r="DF183" s="228">
        <v>-0.49</v>
      </c>
      <c r="DG183" s="228">
        <v>-0.05</v>
      </c>
      <c r="DH183" s="228">
        <v>28.5</v>
      </c>
      <c r="DI183" s="228">
        <v>26.62</v>
      </c>
      <c r="DJ183" s="228">
        <v>1.88</v>
      </c>
      <c r="DK183" s="228">
        <v>1.88</v>
      </c>
      <c r="DL183" s="228">
        <v>28.89</v>
      </c>
      <c r="DM183" s="228">
        <v>28.39</v>
      </c>
      <c r="DN183" s="228">
        <v>0.5</v>
      </c>
      <c r="DO183" s="228">
        <v>0.5</v>
      </c>
      <c r="DP183" s="228">
        <v>0.79</v>
      </c>
      <c r="DQ183" s="228">
        <v>0.83</v>
      </c>
      <c r="DR183" s="228">
        <v>-0.04</v>
      </c>
      <c r="DS183" s="229">
        <v>-4.82E-2</v>
      </c>
      <c r="DT183" s="231">
        <v>1200</v>
      </c>
      <c r="DU183" s="231">
        <v>1000</v>
      </c>
      <c r="DV183" s="228">
        <v>0.81</v>
      </c>
      <c r="DW183" s="228">
        <v>0.65</v>
      </c>
      <c r="DX183" s="228">
        <v>0.16</v>
      </c>
      <c r="DY183" s="229">
        <v>0.2462</v>
      </c>
      <c r="DZ183" s="229">
        <v>0.39979999999999999</v>
      </c>
      <c r="EA183" s="230">
        <v>20195250</v>
      </c>
      <c r="EB183" s="229">
        <v>-3.8E-3</v>
      </c>
      <c r="EC183" s="229">
        <v>0.39979999999999999</v>
      </c>
      <c r="ED183" s="228">
        <v>-4.83</v>
      </c>
      <c r="EE183" s="229">
        <v>-4.4000000000000003E-3</v>
      </c>
      <c r="EF183" s="230">
        <v>6566628</v>
      </c>
      <c r="EG183" s="230">
        <v>7781699</v>
      </c>
      <c r="EH183" s="229">
        <v>-0.15609999999999999</v>
      </c>
      <c r="EI183" s="229">
        <v>0.43180000000000002</v>
      </c>
      <c r="EJ183" s="231">
        <v>1002164.27</v>
      </c>
      <c r="EK183" s="231">
        <v>774459.79</v>
      </c>
      <c r="EL183" s="231">
        <v>423832.1</v>
      </c>
      <c r="EM183" s="231">
        <v>22323</v>
      </c>
      <c r="EN183" s="231">
        <v>2200456.16</v>
      </c>
      <c r="EO183" s="231">
        <v>1477744.17</v>
      </c>
      <c r="EP183" s="231">
        <v>722711.99</v>
      </c>
      <c r="EQ183" s="229">
        <v>0.48909999999999998</v>
      </c>
      <c r="ER183" s="231">
        <v>561780</v>
      </c>
      <c r="ES183" s="231">
        <v>415295</v>
      </c>
      <c r="ET183" s="231">
        <v>962131</v>
      </c>
      <c r="EU183" s="231">
        <v>580324288</v>
      </c>
      <c r="EV183" s="231">
        <v>1939205</v>
      </c>
      <c r="EW183" s="231">
        <v>1936842</v>
      </c>
      <c r="EX183" s="231">
        <v>2363</v>
      </c>
      <c r="EY183" s="229">
        <v>1.1999999999999999E-3</v>
      </c>
      <c r="EZ183" s="229">
        <v>0.30669999999999997</v>
      </c>
      <c r="FA183" s="227" t="s">
        <v>566</v>
      </c>
      <c r="FB183" s="161">
        <f t="shared" si="4"/>
        <v>0</v>
      </c>
    </row>
    <row r="184" spans="1:158" ht="17.25" thickBot="1" x14ac:dyDescent="0.3">
      <c r="A184" s="226">
        <v>46135</v>
      </c>
      <c r="B184" s="227" t="s">
        <v>157</v>
      </c>
      <c r="C184" s="227" t="s">
        <v>284</v>
      </c>
      <c r="D184" s="228">
        <v>25</v>
      </c>
      <c r="E184" s="231">
        <v>25435</v>
      </c>
      <c r="F184" s="231">
        <v>25755</v>
      </c>
      <c r="G184" s="228">
        <v>-320</v>
      </c>
      <c r="H184" s="229">
        <v>-1.24E-2</v>
      </c>
      <c r="I184" s="231">
        <v>25470</v>
      </c>
      <c r="J184" s="231">
        <v>25735</v>
      </c>
      <c r="K184" s="228">
        <v>-265</v>
      </c>
      <c r="L184" s="229">
        <v>-1.03E-2</v>
      </c>
      <c r="M184" s="231">
        <v>25435</v>
      </c>
      <c r="N184" s="231">
        <v>25755</v>
      </c>
      <c r="O184" s="228">
        <v>-320</v>
      </c>
      <c r="P184" s="229">
        <v>-1.24E-2</v>
      </c>
      <c r="Q184" s="231">
        <v>25120</v>
      </c>
      <c r="R184" s="231">
        <v>25595</v>
      </c>
      <c r="S184" s="228">
        <v>-475</v>
      </c>
      <c r="T184" s="229">
        <v>-1.8599999999999998E-2</v>
      </c>
      <c r="U184" s="231">
        <v>24980</v>
      </c>
      <c r="V184" s="231">
        <v>25500</v>
      </c>
      <c r="W184" s="228">
        <v>-520</v>
      </c>
      <c r="X184" s="229">
        <v>-2.0400000000000001E-2</v>
      </c>
      <c r="Y184" s="228">
        <v>-35</v>
      </c>
      <c r="Z184" s="228">
        <v>20</v>
      </c>
      <c r="AA184" s="228">
        <v>-55</v>
      </c>
      <c r="AB184" s="229">
        <v>-1.4E-3</v>
      </c>
      <c r="AC184" s="228">
        <v>-35</v>
      </c>
      <c r="AD184" s="228">
        <v>20</v>
      </c>
      <c r="AE184" s="228">
        <v>-55</v>
      </c>
      <c r="AF184" s="229">
        <v>-1.4E-3</v>
      </c>
      <c r="AG184" s="228">
        <v>-350</v>
      </c>
      <c r="AH184" s="228">
        <v>-140</v>
      </c>
      <c r="AI184" s="228">
        <v>-210</v>
      </c>
      <c r="AJ184" s="229">
        <v>-1.37E-2</v>
      </c>
      <c r="AK184" s="228">
        <v>-490</v>
      </c>
      <c r="AL184" s="228">
        <v>-235</v>
      </c>
      <c r="AM184" s="228">
        <v>-255</v>
      </c>
      <c r="AN184" s="229">
        <v>-1.9199999999999998E-2</v>
      </c>
      <c r="AO184" s="231">
        <v>25384.3</v>
      </c>
      <c r="AP184" s="231">
        <v>25069.05</v>
      </c>
      <c r="AQ184" s="228">
        <v>0</v>
      </c>
      <c r="AR184" s="230">
        <v>306150</v>
      </c>
      <c r="AS184" s="230">
        <v>50125</v>
      </c>
      <c r="AT184" s="230">
        <v>256025</v>
      </c>
      <c r="AU184" s="229">
        <v>5.1077000000000004</v>
      </c>
      <c r="AV184" s="230">
        <v>161000</v>
      </c>
      <c r="AW184" s="230">
        <v>39200</v>
      </c>
      <c r="AX184" s="230">
        <v>121800</v>
      </c>
      <c r="AY184" s="229">
        <v>3.1071</v>
      </c>
      <c r="AZ184" s="230">
        <v>144875</v>
      </c>
      <c r="BA184" s="230">
        <v>10725</v>
      </c>
      <c r="BB184" s="230">
        <v>134150</v>
      </c>
      <c r="BC184" s="229">
        <v>12.5082</v>
      </c>
      <c r="BD184" s="228">
        <v>275</v>
      </c>
      <c r="BE184" s="228">
        <v>200</v>
      </c>
      <c r="BF184" s="228">
        <v>75</v>
      </c>
      <c r="BG184" s="229">
        <v>0.375</v>
      </c>
      <c r="BH184" s="230">
        <v>61625</v>
      </c>
      <c r="BI184" s="230">
        <v>58925</v>
      </c>
      <c r="BJ184" s="230">
        <v>2700</v>
      </c>
      <c r="BK184" s="229">
        <v>4.58E-2</v>
      </c>
      <c r="BL184" s="230">
        <v>82700</v>
      </c>
      <c r="BM184" s="230">
        <v>269750</v>
      </c>
      <c r="BN184" s="230">
        <v>-187050</v>
      </c>
      <c r="BO184" s="229">
        <v>-0.69340000000000002</v>
      </c>
      <c r="BP184" s="230">
        <v>450475</v>
      </c>
      <c r="BQ184" s="230">
        <v>378800</v>
      </c>
      <c r="BR184" s="230">
        <v>71675</v>
      </c>
      <c r="BS184" s="229">
        <v>0.18920000000000001</v>
      </c>
      <c r="BT184" s="230">
        <v>15794</v>
      </c>
      <c r="BU184" s="230">
        <v>12028</v>
      </c>
      <c r="BV184" s="230">
        <v>3766</v>
      </c>
      <c r="BW184" s="229">
        <v>0.31309999999999999</v>
      </c>
      <c r="BX184" s="230">
        <v>400950</v>
      </c>
      <c r="BY184" s="230">
        <v>397650</v>
      </c>
      <c r="BZ184" s="230">
        <v>3300</v>
      </c>
      <c r="CA184" s="229">
        <v>8.3000000000000001E-3</v>
      </c>
      <c r="CB184" s="230">
        <v>268100</v>
      </c>
      <c r="CC184" s="230">
        <v>369275</v>
      </c>
      <c r="CD184" s="230">
        <v>-101175</v>
      </c>
      <c r="CE184" s="229">
        <v>-0.27400000000000002</v>
      </c>
      <c r="CF184" s="230">
        <v>131975</v>
      </c>
      <c r="CG184" s="230">
        <v>27650</v>
      </c>
      <c r="CH184" s="230">
        <v>104325</v>
      </c>
      <c r="CI184" s="229">
        <v>3.7730999999999999</v>
      </c>
      <c r="CJ184" s="228">
        <v>875</v>
      </c>
      <c r="CK184" s="228">
        <v>725</v>
      </c>
      <c r="CL184" s="228">
        <v>150</v>
      </c>
      <c r="CM184" s="229">
        <v>0.2069</v>
      </c>
      <c r="CN184" s="230">
        <v>71150</v>
      </c>
      <c r="CO184" s="230">
        <v>64725</v>
      </c>
      <c r="CP184" s="230">
        <v>6425</v>
      </c>
      <c r="CQ184" s="229">
        <v>9.9299999999999999E-2</v>
      </c>
      <c r="CR184" s="230">
        <v>53350</v>
      </c>
      <c r="CS184" s="230">
        <v>52675</v>
      </c>
      <c r="CT184" s="228">
        <v>675</v>
      </c>
      <c r="CU184" s="229">
        <v>1.2800000000000001E-2</v>
      </c>
      <c r="CV184" s="230">
        <v>525450</v>
      </c>
      <c r="CW184" s="230">
        <v>515050</v>
      </c>
      <c r="CX184" s="230">
        <v>10400</v>
      </c>
      <c r="CY184" s="229">
        <v>2.0199999999999999E-2</v>
      </c>
      <c r="CZ184" s="228">
        <v>32.33</v>
      </c>
      <c r="DA184" s="228">
        <v>30.5</v>
      </c>
      <c r="DB184" s="228">
        <v>1.83</v>
      </c>
      <c r="DC184" s="228">
        <v>1.83</v>
      </c>
      <c r="DD184" s="228">
        <v>27.62</v>
      </c>
      <c r="DE184" s="228">
        <v>27.64</v>
      </c>
      <c r="DF184" s="228">
        <v>4.71</v>
      </c>
      <c r="DG184" s="228">
        <v>-0.02</v>
      </c>
      <c r="DH184" s="228">
        <v>33.1</v>
      </c>
      <c r="DI184" s="228">
        <v>25.11</v>
      </c>
      <c r="DJ184" s="228">
        <v>7.99</v>
      </c>
      <c r="DK184" s="228">
        <v>7.99</v>
      </c>
      <c r="DL184" s="228">
        <v>28.42</v>
      </c>
      <c r="DM184" s="228">
        <v>31.67</v>
      </c>
      <c r="DN184" s="228">
        <v>-3.25</v>
      </c>
      <c r="DO184" s="228">
        <v>-3.25</v>
      </c>
      <c r="DP184" s="228">
        <v>0.75</v>
      </c>
      <c r="DQ184" s="228">
        <v>0.81</v>
      </c>
      <c r="DR184" s="228">
        <v>-0.06</v>
      </c>
      <c r="DS184" s="229">
        <v>-7.4099999999999999E-2</v>
      </c>
      <c r="DT184" s="231">
        <v>25500</v>
      </c>
      <c r="DU184" s="231">
        <v>24000</v>
      </c>
      <c r="DV184" s="228">
        <v>1.34</v>
      </c>
      <c r="DW184" s="228">
        <v>4.58</v>
      </c>
      <c r="DX184" s="228">
        <v>-3.24</v>
      </c>
      <c r="DY184" s="229">
        <v>-0.70740000000000003</v>
      </c>
      <c r="DZ184" s="229">
        <v>0.33129999999999998</v>
      </c>
      <c r="EA184" s="230">
        <v>28375</v>
      </c>
      <c r="EB184" s="229">
        <v>-1.24E-2</v>
      </c>
      <c r="EC184" s="229">
        <v>0.33129999999999998</v>
      </c>
      <c r="ED184" s="228">
        <v>-315.25</v>
      </c>
      <c r="EE184" s="229">
        <v>-1.24E-2</v>
      </c>
      <c r="EF184" s="230">
        <v>5548</v>
      </c>
      <c r="EG184" s="230">
        <v>5280</v>
      </c>
      <c r="EH184" s="229">
        <v>5.0799999999999998E-2</v>
      </c>
      <c r="EI184" s="229">
        <v>0.3513</v>
      </c>
      <c r="EJ184" s="231">
        <v>16163.02</v>
      </c>
      <c r="EK184" s="231">
        <v>19094.41</v>
      </c>
      <c r="EL184" s="231">
        <v>77256.08</v>
      </c>
      <c r="EM184" s="231">
        <v>1573</v>
      </c>
      <c r="EN184" s="231">
        <v>112513.51</v>
      </c>
      <c r="EO184" s="231">
        <v>88562.77</v>
      </c>
      <c r="EP184" s="231">
        <v>23950.74</v>
      </c>
      <c r="EQ184" s="229">
        <v>0.27039999999999997</v>
      </c>
      <c r="ER184" s="231">
        <v>17571</v>
      </c>
      <c r="ES184" s="231">
        <v>12762</v>
      </c>
      <c r="ET184" s="231">
        <v>101562</v>
      </c>
      <c r="EU184" s="231">
        <v>1655049</v>
      </c>
      <c r="EV184" s="231">
        <v>131894</v>
      </c>
      <c r="EW184" s="231">
        <v>130815</v>
      </c>
      <c r="EX184" s="231">
        <v>1079</v>
      </c>
      <c r="EY184" s="229">
        <v>8.2000000000000007E-3</v>
      </c>
      <c r="EZ184" s="229">
        <v>0.3175</v>
      </c>
      <c r="FA184" s="227" t="s">
        <v>566</v>
      </c>
      <c r="FB184" s="161">
        <f t="shared" si="4"/>
        <v>0</v>
      </c>
    </row>
    <row r="185" spans="1:158" ht="17.25" thickBot="1" x14ac:dyDescent="0.3">
      <c r="A185" s="226">
        <v>46135</v>
      </c>
      <c r="B185" s="227" t="s">
        <v>175</v>
      </c>
      <c r="C185" s="227" t="s">
        <v>561</v>
      </c>
      <c r="D185" s="228">
        <v>825</v>
      </c>
      <c r="E185" s="231">
        <v>1010.2</v>
      </c>
      <c r="F185" s="231">
        <v>1044.7</v>
      </c>
      <c r="G185" s="228">
        <v>-34.5</v>
      </c>
      <c r="H185" s="229">
        <v>-3.3000000000000002E-2</v>
      </c>
      <c r="I185" s="231">
        <v>1009.3</v>
      </c>
      <c r="J185" s="231">
        <v>1044.55</v>
      </c>
      <c r="K185" s="228">
        <v>-35.25</v>
      </c>
      <c r="L185" s="229">
        <v>-3.3700000000000001E-2</v>
      </c>
      <c r="M185" s="231">
        <v>1010.2</v>
      </c>
      <c r="N185" s="231">
        <v>1044.7</v>
      </c>
      <c r="O185" s="228">
        <v>-34.5</v>
      </c>
      <c r="P185" s="229">
        <v>-3.3000000000000002E-2</v>
      </c>
      <c r="Q185" s="231">
        <v>1015.65</v>
      </c>
      <c r="R185" s="231">
        <v>1050.8</v>
      </c>
      <c r="S185" s="228">
        <v>-35.15</v>
      </c>
      <c r="T185" s="229">
        <v>-3.3500000000000002E-2</v>
      </c>
      <c r="U185" s="231">
        <v>1021.4</v>
      </c>
      <c r="V185" s="231">
        <v>1056.75</v>
      </c>
      <c r="W185" s="228">
        <v>-35.35</v>
      </c>
      <c r="X185" s="229">
        <v>-3.3500000000000002E-2</v>
      </c>
      <c r="Y185" s="228">
        <v>0.9</v>
      </c>
      <c r="Z185" s="228">
        <v>0.15</v>
      </c>
      <c r="AA185" s="228">
        <v>0.75</v>
      </c>
      <c r="AB185" s="229">
        <v>8.9999999999999998E-4</v>
      </c>
      <c r="AC185" s="228">
        <v>0.9</v>
      </c>
      <c r="AD185" s="228">
        <v>0.15</v>
      </c>
      <c r="AE185" s="228">
        <v>0.75</v>
      </c>
      <c r="AF185" s="229">
        <v>8.9999999999999998E-4</v>
      </c>
      <c r="AG185" s="228">
        <v>6.35</v>
      </c>
      <c r="AH185" s="228">
        <v>6.25</v>
      </c>
      <c r="AI185" s="228">
        <v>0.1</v>
      </c>
      <c r="AJ185" s="229">
        <v>6.3E-3</v>
      </c>
      <c r="AK185" s="228">
        <v>12.1</v>
      </c>
      <c r="AL185" s="228">
        <v>12.2</v>
      </c>
      <c r="AM185" s="228">
        <v>-0.1</v>
      </c>
      <c r="AN185" s="229">
        <v>1.2E-2</v>
      </c>
      <c r="AO185" s="231">
        <v>1019.57</v>
      </c>
      <c r="AP185" s="231">
        <v>1024.18</v>
      </c>
      <c r="AQ185" s="228">
        <v>0</v>
      </c>
      <c r="AR185" s="230">
        <v>22052250</v>
      </c>
      <c r="AS185" s="230">
        <v>10319100</v>
      </c>
      <c r="AT185" s="230">
        <v>11733150</v>
      </c>
      <c r="AU185" s="229">
        <v>1.137</v>
      </c>
      <c r="AV185" s="230">
        <v>11832975</v>
      </c>
      <c r="AW185" s="230">
        <v>6300525</v>
      </c>
      <c r="AX185" s="230">
        <v>5532450</v>
      </c>
      <c r="AY185" s="229">
        <v>0.87809999999999999</v>
      </c>
      <c r="AZ185" s="230">
        <v>8374575</v>
      </c>
      <c r="BA185" s="230">
        <v>3907200</v>
      </c>
      <c r="BB185" s="230">
        <v>4467375</v>
      </c>
      <c r="BC185" s="229">
        <v>1.1434</v>
      </c>
      <c r="BD185" s="230">
        <v>1844700</v>
      </c>
      <c r="BE185" s="230">
        <v>111375</v>
      </c>
      <c r="BF185" s="230">
        <v>1733325</v>
      </c>
      <c r="BG185" s="229">
        <v>15.563000000000001</v>
      </c>
      <c r="BH185" s="230">
        <v>19300050</v>
      </c>
      <c r="BI185" s="230">
        <v>14384700</v>
      </c>
      <c r="BJ185" s="230">
        <v>4915350</v>
      </c>
      <c r="BK185" s="229">
        <v>0.3417</v>
      </c>
      <c r="BL185" s="230">
        <v>11998800</v>
      </c>
      <c r="BM185" s="230">
        <v>6556275</v>
      </c>
      <c r="BN185" s="230">
        <v>5442525</v>
      </c>
      <c r="BO185" s="229">
        <v>0.83009999999999995</v>
      </c>
      <c r="BP185" s="230">
        <v>53351100</v>
      </c>
      <c r="BQ185" s="230">
        <v>31260075</v>
      </c>
      <c r="BR185" s="230">
        <v>22091025</v>
      </c>
      <c r="BS185" s="229">
        <v>0.70669999999999999</v>
      </c>
      <c r="BT185" s="230">
        <v>4811024</v>
      </c>
      <c r="BU185" s="230">
        <v>4565960</v>
      </c>
      <c r="BV185" s="230">
        <v>245064</v>
      </c>
      <c r="BW185" s="229">
        <v>5.3699999999999998E-2</v>
      </c>
      <c r="BX185" s="230">
        <v>39987750</v>
      </c>
      <c r="BY185" s="230">
        <v>39497700</v>
      </c>
      <c r="BZ185" s="230">
        <v>490050</v>
      </c>
      <c r="CA185" s="229">
        <v>1.24E-2</v>
      </c>
      <c r="CB185" s="230">
        <v>21860025</v>
      </c>
      <c r="CC185" s="230">
        <v>29330400</v>
      </c>
      <c r="CD185" s="230">
        <v>-7470375</v>
      </c>
      <c r="CE185" s="229">
        <v>-0.25469999999999998</v>
      </c>
      <c r="CF185" s="230">
        <v>13358400</v>
      </c>
      <c r="CG185" s="230">
        <v>7164300</v>
      </c>
      <c r="CH185" s="230">
        <v>6194100</v>
      </c>
      <c r="CI185" s="229">
        <v>0.86460000000000004</v>
      </c>
      <c r="CJ185" s="230">
        <v>4769325</v>
      </c>
      <c r="CK185" s="230">
        <v>3003000</v>
      </c>
      <c r="CL185" s="230">
        <v>1766325</v>
      </c>
      <c r="CM185" s="229">
        <v>0.58819999999999995</v>
      </c>
      <c r="CN185" s="230">
        <v>15196500</v>
      </c>
      <c r="CO185" s="230">
        <v>14404500</v>
      </c>
      <c r="CP185" s="230">
        <v>792000</v>
      </c>
      <c r="CQ185" s="229">
        <v>5.5E-2</v>
      </c>
      <c r="CR185" s="230">
        <v>10642500</v>
      </c>
      <c r="CS185" s="230">
        <v>10382625</v>
      </c>
      <c r="CT185" s="230">
        <v>259875</v>
      </c>
      <c r="CU185" s="229">
        <v>2.5000000000000001E-2</v>
      </c>
      <c r="CV185" s="230">
        <v>65826750</v>
      </c>
      <c r="CW185" s="230">
        <v>64284825</v>
      </c>
      <c r="CX185" s="230">
        <v>1541925</v>
      </c>
      <c r="CY185" s="229">
        <v>2.4E-2</v>
      </c>
      <c r="CZ185" s="228">
        <v>43.63</v>
      </c>
      <c r="DA185" s="228">
        <v>49.82</v>
      </c>
      <c r="DB185" s="228">
        <v>-6.19</v>
      </c>
      <c r="DC185" s="228">
        <v>-6.19</v>
      </c>
      <c r="DD185" s="228">
        <v>44.92</v>
      </c>
      <c r="DE185" s="228">
        <v>44.79</v>
      </c>
      <c r="DF185" s="228">
        <v>-1.29</v>
      </c>
      <c r="DG185" s="228">
        <v>0.13</v>
      </c>
      <c r="DH185" s="228">
        <v>43.71</v>
      </c>
      <c r="DI185" s="228">
        <v>48.77</v>
      </c>
      <c r="DJ185" s="228">
        <v>-5.0599999999999996</v>
      </c>
      <c r="DK185" s="228">
        <v>-5.0599999999999996</v>
      </c>
      <c r="DL185" s="228">
        <v>43.52</v>
      </c>
      <c r="DM185" s="228">
        <v>52.12</v>
      </c>
      <c r="DN185" s="228">
        <v>-8.6</v>
      </c>
      <c r="DO185" s="228">
        <v>-8.6</v>
      </c>
      <c r="DP185" s="228">
        <v>0.7</v>
      </c>
      <c r="DQ185" s="228">
        <v>0.72</v>
      </c>
      <c r="DR185" s="228">
        <v>-0.02</v>
      </c>
      <c r="DS185" s="229">
        <v>-2.7799999999999998E-2</v>
      </c>
      <c r="DT185" s="231">
        <v>1100</v>
      </c>
      <c r="DU185" s="231">
        <v>1000</v>
      </c>
      <c r="DV185" s="228">
        <v>0.62</v>
      </c>
      <c r="DW185" s="228">
        <v>0.46</v>
      </c>
      <c r="DX185" s="228">
        <v>0.16</v>
      </c>
      <c r="DY185" s="229">
        <v>0.3478</v>
      </c>
      <c r="DZ185" s="229">
        <v>0.45329999999999998</v>
      </c>
      <c r="EA185" s="230">
        <v>10167300</v>
      </c>
      <c r="EB185" s="229">
        <v>5.4000000000000003E-3</v>
      </c>
      <c r="EC185" s="229">
        <v>0.45329999999999998</v>
      </c>
      <c r="ED185" s="228">
        <v>4.6100000000000003</v>
      </c>
      <c r="EE185" s="229">
        <v>4.4999999999999997E-3</v>
      </c>
      <c r="EF185" s="230">
        <v>2423553</v>
      </c>
      <c r="EG185" s="230">
        <v>2217588</v>
      </c>
      <c r="EH185" s="229">
        <v>9.2899999999999996E-2</v>
      </c>
      <c r="EI185" s="229">
        <v>0.50370000000000004</v>
      </c>
      <c r="EJ185" s="231">
        <v>207556.49</v>
      </c>
      <c r="EK185" s="231">
        <v>121671.34</v>
      </c>
      <c r="EL185" s="231">
        <v>225492.33</v>
      </c>
      <c r="EM185" s="231">
        <v>9545</v>
      </c>
      <c r="EN185" s="231">
        <v>554720.16</v>
      </c>
      <c r="EO185" s="231">
        <v>331587.73</v>
      </c>
      <c r="EP185" s="231">
        <v>223132.43</v>
      </c>
      <c r="EQ185" s="229">
        <v>0.67290000000000005</v>
      </c>
      <c r="ER185" s="231">
        <v>158297</v>
      </c>
      <c r="ES185" s="231">
        <v>101614</v>
      </c>
      <c r="ET185" s="231">
        <v>405218</v>
      </c>
      <c r="EU185" s="231">
        <v>210567108</v>
      </c>
      <c r="EV185" s="231">
        <v>665129</v>
      </c>
      <c r="EW185" s="231">
        <v>662930</v>
      </c>
      <c r="EX185" s="231">
        <v>2199</v>
      </c>
      <c r="EY185" s="229">
        <v>3.3E-3</v>
      </c>
      <c r="EZ185" s="229">
        <v>0.31259999999999999</v>
      </c>
      <c r="FA185" s="227" t="s">
        <v>566</v>
      </c>
      <c r="FB185" s="161">
        <f t="shared" si="4"/>
        <v>0</v>
      </c>
    </row>
    <row r="186" spans="1:158" ht="17.25" thickBot="1" x14ac:dyDescent="0.3">
      <c r="A186" s="226">
        <v>46135</v>
      </c>
      <c r="B186" s="227" t="s">
        <v>184</v>
      </c>
      <c r="C186" s="227" t="s">
        <v>285</v>
      </c>
      <c r="D186" s="228">
        <v>175</v>
      </c>
      <c r="E186" s="231">
        <v>3877.9</v>
      </c>
      <c r="F186" s="231">
        <v>3841.9</v>
      </c>
      <c r="G186" s="228">
        <v>36</v>
      </c>
      <c r="H186" s="229">
        <v>9.4000000000000004E-3</v>
      </c>
      <c r="I186" s="231">
        <v>3864.4</v>
      </c>
      <c r="J186" s="231">
        <v>3844.3</v>
      </c>
      <c r="K186" s="228">
        <v>20.100000000000001</v>
      </c>
      <c r="L186" s="229">
        <v>5.1999999999999998E-3</v>
      </c>
      <c r="M186" s="231">
        <v>3877.9</v>
      </c>
      <c r="N186" s="231">
        <v>3841.9</v>
      </c>
      <c r="O186" s="228">
        <v>36</v>
      </c>
      <c r="P186" s="229">
        <v>9.4000000000000004E-3</v>
      </c>
      <c r="Q186" s="231">
        <v>3857.7</v>
      </c>
      <c r="R186" s="231">
        <v>3821.8</v>
      </c>
      <c r="S186" s="228">
        <v>35.9</v>
      </c>
      <c r="T186" s="229">
        <v>9.4000000000000004E-3</v>
      </c>
      <c r="U186" s="231">
        <v>3823.4</v>
      </c>
      <c r="V186" s="231">
        <v>3818.2</v>
      </c>
      <c r="W186" s="228">
        <v>5.2</v>
      </c>
      <c r="X186" s="229">
        <v>1.4E-3</v>
      </c>
      <c r="Y186" s="228">
        <v>13.5</v>
      </c>
      <c r="Z186" s="228">
        <v>-2.4</v>
      </c>
      <c r="AA186" s="228">
        <v>15.9</v>
      </c>
      <c r="AB186" s="229">
        <v>3.5000000000000001E-3</v>
      </c>
      <c r="AC186" s="228">
        <v>13.5</v>
      </c>
      <c r="AD186" s="228">
        <v>-2.4</v>
      </c>
      <c r="AE186" s="228">
        <v>15.9</v>
      </c>
      <c r="AF186" s="229">
        <v>3.5000000000000001E-3</v>
      </c>
      <c r="AG186" s="228">
        <v>-6.7</v>
      </c>
      <c r="AH186" s="228">
        <v>-22.5</v>
      </c>
      <c r="AI186" s="228">
        <v>15.8</v>
      </c>
      <c r="AJ186" s="229">
        <v>-1.6999999999999999E-3</v>
      </c>
      <c r="AK186" s="228">
        <v>-41</v>
      </c>
      <c r="AL186" s="228">
        <v>-26.1</v>
      </c>
      <c r="AM186" s="228">
        <v>-14.9</v>
      </c>
      <c r="AN186" s="229">
        <v>-1.06E-2</v>
      </c>
      <c r="AO186" s="231">
        <v>3872.93</v>
      </c>
      <c r="AP186" s="231">
        <v>3850.86</v>
      </c>
      <c r="AQ186" s="228">
        <v>0</v>
      </c>
      <c r="AR186" s="230">
        <v>3004400</v>
      </c>
      <c r="AS186" s="230">
        <v>1741600</v>
      </c>
      <c r="AT186" s="230">
        <v>1262800</v>
      </c>
      <c r="AU186" s="229">
        <v>0.72509999999999997</v>
      </c>
      <c r="AV186" s="230">
        <v>1630475</v>
      </c>
      <c r="AW186" s="230">
        <v>1224475</v>
      </c>
      <c r="AX186" s="230">
        <v>406000</v>
      </c>
      <c r="AY186" s="229">
        <v>0.33160000000000001</v>
      </c>
      <c r="AZ186" s="230">
        <v>1365000</v>
      </c>
      <c r="BA186" s="230">
        <v>500675</v>
      </c>
      <c r="BB186" s="230">
        <v>864325</v>
      </c>
      <c r="BC186" s="229">
        <v>1.7262999999999999</v>
      </c>
      <c r="BD186" s="230">
        <v>8925</v>
      </c>
      <c r="BE186" s="230">
        <v>16450</v>
      </c>
      <c r="BF186" s="230">
        <v>-7525</v>
      </c>
      <c r="BG186" s="229">
        <v>-0.45739999999999997</v>
      </c>
      <c r="BH186" s="230">
        <v>4517975</v>
      </c>
      <c r="BI186" s="230">
        <v>14458325</v>
      </c>
      <c r="BJ186" s="230">
        <v>-9940350</v>
      </c>
      <c r="BK186" s="229">
        <v>-0.6875</v>
      </c>
      <c r="BL186" s="230">
        <v>2587725</v>
      </c>
      <c r="BM186" s="230">
        <v>5592825</v>
      </c>
      <c r="BN186" s="230">
        <v>-3005100</v>
      </c>
      <c r="BO186" s="229">
        <v>-0.5373</v>
      </c>
      <c r="BP186" s="230">
        <v>10110100</v>
      </c>
      <c r="BQ186" s="230">
        <v>21792750</v>
      </c>
      <c r="BR186" s="230">
        <v>-11682650</v>
      </c>
      <c r="BS186" s="229">
        <v>-0.53610000000000002</v>
      </c>
      <c r="BT186" s="230">
        <v>696850</v>
      </c>
      <c r="BU186" s="230">
        <v>913585</v>
      </c>
      <c r="BV186" s="230">
        <v>-216735</v>
      </c>
      <c r="BW186" s="229">
        <v>-0.23719999999999999</v>
      </c>
      <c r="BX186" s="230">
        <v>3452400</v>
      </c>
      <c r="BY186" s="230">
        <v>3742725</v>
      </c>
      <c r="BZ186" s="230">
        <v>-290325</v>
      </c>
      <c r="CA186" s="229">
        <v>-7.7600000000000002E-2</v>
      </c>
      <c r="CB186" s="230">
        <v>2235275</v>
      </c>
      <c r="CC186" s="230">
        <v>3143525</v>
      </c>
      <c r="CD186" s="230">
        <v>-908250</v>
      </c>
      <c r="CE186" s="229">
        <v>-0.28889999999999999</v>
      </c>
      <c r="CF186" s="230">
        <v>1195600</v>
      </c>
      <c r="CG186" s="230">
        <v>578550</v>
      </c>
      <c r="CH186" s="230">
        <v>617050</v>
      </c>
      <c r="CI186" s="229">
        <v>1.0665</v>
      </c>
      <c r="CJ186" s="230">
        <v>21525</v>
      </c>
      <c r="CK186" s="230">
        <v>20650</v>
      </c>
      <c r="CL186" s="228">
        <v>875</v>
      </c>
      <c r="CM186" s="229">
        <v>4.24E-2</v>
      </c>
      <c r="CN186" s="230">
        <v>1839075</v>
      </c>
      <c r="CO186" s="230">
        <v>1660050</v>
      </c>
      <c r="CP186" s="230">
        <v>179025</v>
      </c>
      <c r="CQ186" s="229">
        <v>0.10780000000000001</v>
      </c>
      <c r="CR186" s="230">
        <v>1529675</v>
      </c>
      <c r="CS186" s="230">
        <v>1597050</v>
      </c>
      <c r="CT186" s="230">
        <v>-67375</v>
      </c>
      <c r="CU186" s="229">
        <v>-4.2200000000000001E-2</v>
      </c>
      <c r="CV186" s="230">
        <v>6821150</v>
      </c>
      <c r="CW186" s="230">
        <v>6999825</v>
      </c>
      <c r="CX186" s="230">
        <v>-178675</v>
      </c>
      <c r="CY186" s="229">
        <v>-2.5499999999999998E-2</v>
      </c>
      <c r="CZ186" s="228">
        <v>41.29</v>
      </c>
      <c r="DA186" s="228">
        <v>40.24</v>
      </c>
      <c r="DB186" s="228">
        <v>1.05</v>
      </c>
      <c r="DC186" s="228">
        <v>1.05</v>
      </c>
      <c r="DD186" s="228">
        <v>41.01</v>
      </c>
      <c r="DE186" s="228">
        <v>41.09</v>
      </c>
      <c r="DF186" s="228">
        <v>0.28000000000000003</v>
      </c>
      <c r="DG186" s="228">
        <v>-0.08</v>
      </c>
      <c r="DH186" s="228">
        <v>40.93</v>
      </c>
      <c r="DI186" s="228">
        <v>39.5</v>
      </c>
      <c r="DJ186" s="228">
        <v>1.43</v>
      </c>
      <c r="DK186" s="228">
        <v>1.43</v>
      </c>
      <c r="DL186" s="228">
        <v>42.19</v>
      </c>
      <c r="DM186" s="228">
        <v>42.14</v>
      </c>
      <c r="DN186" s="228">
        <v>0.05</v>
      </c>
      <c r="DO186" s="228">
        <v>0.05</v>
      </c>
      <c r="DP186" s="228">
        <v>0.83</v>
      </c>
      <c r="DQ186" s="228">
        <v>0.96</v>
      </c>
      <c r="DR186" s="228">
        <v>-0.13</v>
      </c>
      <c r="DS186" s="229">
        <v>-0.13539999999999999</v>
      </c>
      <c r="DT186" s="231">
        <v>4000</v>
      </c>
      <c r="DU186" s="231">
        <v>3500</v>
      </c>
      <c r="DV186" s="228">
        <v>0.56999999999999995</v>
      </c>
      <c r="DW186" s="228">
        <v>0.39</v>
      </c>
      <c r="DX186" s="228">
        <v>0.18</v>
      </c>
      <c r="DY186" s="229">
        <v>0.46150000000000002</v>
      </c>
      <c r="DZ186" s="229">
        <v>0.35249999999999998</v>
      </c>
      <c r="EA186" s="230">
        <v>599200</v>
      </c>
      <c r="EB186" s="229">
        <v>-5.1999999999999998E-3</v>
      </c>
      <c r="EC186" s="229">
        <v>0.35249999999999998</v>
      </c>
      <c r="ED186" s="228">
        <v>-22.07</v>
      </c>
      <c r="EE186" s="229">
        <v>-5.7000000000000002E-3</v>
      </c>
      <c r="EF186" s="230">
        <v>239280</v>
      </c>
      <c r="EG186" s="230">
        <v>302315</v>
      </c>
      <c r="EH186" s="229">
        <v>-0.20849999999999999</v>
      </c>
      <c r="EI186" s="229">
        <v>0.34339999999999998</v>
      </c>
      <c r="EJ186" s="231">
        <v>181360.55</v>
      </c>
      <c r="EK186" s="231">
        <v>96119.38</v>
      </c>
      <c r="EL186" s="231">
        <v>116053.95</v>
      </c>
      <c r="EM186" s="231">
        <v>6390</v>
      </c>
      <c r="EN186" s="231">
        <v>393533.88</v>
      </c>
      <c r="EO186" s="231">
        <v>848396.85</v>
      </c>
      <c r="EP186" s="231">
        <v>-454862.97</v>
      </c>
      <c r="EQ186" s="229">
        <v>-0.53610000000000002</v>
      </c>
      <c r="ER186" s="231">
        <v>69802</v>
      </c>
      <c r="ES186" s="231">
        <v>52753</v>
      </c>
      <c r="ET186" s="231">
        <v>133627</v>
      </c>
      <c r="EU186" s="231">
        <v>10374894</v>
      </c>
      <c r="EV186" s="231">
        <v>256183</v>
      </c>
      <c r="EW186" s="231">
        <v>260843</v>
      </c>
      <c r="EX186" s="231">
        <v>-4660</v>
      </c>
      <c r="EY186" s="229">
        <v>-1.7899999999999999E-2</v>
      </c>
      <c r="EZ186" s="229">
        <v>0.65749999999999997</v>
      </c>
      <c r="FA186" s="227" t="s">
        <v>693</v>
      </c>
      <c r="FB186" s="161">
        <f t="shared" si="4"/>
        <v>0</v>
      </c>
    </row>
    <row r="187" spans="1:158" ht="17.25" thickBot="1" x14ac:dyDescent="0.3">
      <c r="A187" s="226">
        <v>46135</v>
      </c>
      <c r="B187" s="227" t="s">
        <v>498</v>
      </c>
      <c r="C187" s="227" t="s">
        <v>645</v>
      </c>
      <c r="D187" s="228">
        <v>50</v>
      </c>
      <c r="E187" s="231">
        <v>15756</v>
      </c>
      <c r="F187" s="231">
        <v>15290</v>
      </c>
      <c r="G187" s="228">
        <v>466</v>
      </c>
      <c r="H187" s="229">
        <v>3.0499999999999999E-2</v>
      </c>
      <c r="I187" s="231">
        <v>15747</v>
      </c>
      <c r="J187" s="231">
        <v>15272</v>
      </c>
      <c r="K187" s="228">
        <v>475</v>
      </c>
      <c r="L187" s="229">
        <v>3.1099999999999999E-2</v>
      </c>
      <c r="M187" s="231">
        <v>15756</v>
      </c>
      <c r="N187" s="231">
        <v>15290</v>
      </c>
      <c r="O187" s="228">
        <v>466</v>
      </c>
      <c r="P187" s="229">
        <v>3.0499999999999999E-2</v>
      </c>
      <c r="Q187" s="231">
        <v>15810</v>
      </c>
      <c r="R187" s="231">
        <v>15357</v>
      </c>
      <c r="S187" s="228">
        <v>453</v>
      </c>
      <c r="T187" s="229">
        <v>2.9499999999999998E-2</v>
      </c>
      <c r="U187" s="231">
        <v>15899</v>
      </c>
      <c r="V187" s="231">
        <v>15420</v>
      </c>
      <c r="W187" s="228">
        <v>479</v>
      </c>
      <c r="X187" s="229">
        <v>3.1099999999999999E-2</v>
      </c>
      <c r="Y187" s="228">
        <v>9</v>
      </c>
      <c r="Z187" s="228">
        <v>18</v>
      </c>
      <c r="AA187" s="228">
        <v>-9</v>
      </c>
      <c r="AB187" s="229">
        <v>5.9999999999999995E-4</v>
      </c>
      <c r="AC187" s="228">
        <v>9</v>
      </c>
      <c r="AD187" s="228">
        <v>18</v>
      </c>
      <c r="AE187" s="228">
        <v>-9</v>
      </c>
      <c r="AF187" s="229">
        <v>5.9999999999999995E-4</v>
      </c>
      <c r="AG187" s="228">
        <v>63</v>
      </c>
      <c r="AH187" s="228">
        <v>85</v>
      </c>
      <c r="AI187" s="228">
        <v>-22</v>
      </c>
      <c r="AJ187" s="229">
        <v>4.0000000000000001E-3</v>
      </c>
      <c r="AK187" s="228">
        <v>152</v>
      </c>
      <c r="AL187" s="228">
        <v>148</v>
      </c>
      <c r="AM187" s="228">
        <v>4</v>
      </c>
      <c r="AN187" s="229">
        <v>9.7000000000000003E-3</v>
      </c>
      <c r="AO187" s="231">
        <v>15610.41</v>
      </c>
      <c r="AP187" s="231">
        <v>15652.4</v>
      </c>
      <c r="AQ187" s="228">
        <v>0</v>
      </c>
      <c r="AR187" s="230">
        <v>739850</v>
      </c>
      <c r="AS187" s="230">
        <v>137750</v>
      </c>
      <c r="AT187" s="230">
        <v>602100</v>
      </c>
      <c r="AU187" s="229">
        <v>4.3710000000000004</v>
      </c>
      <c r="AV187" s="230">
        <v>364450</v>
      </c>
      <c r="AW187" s="230">
        <v>80850</v>
      </c>
      <c r="AX187" s="230">
        <v>283600</v>
      </c>
      <c r="AY187" s="229">
        <v>3.5076999999999998</v>
      </c>
      <c r="AZ187" s="230">
        <v>355800</v>
      </c>
      <c r="BA187" s="230">
        <v>49450</v>
      </c>
      <c r="BB187" s="230">
        <v>306350</v>
      </c>
      <c r="BC187" s="229">
        <v>6.1951000000000001</v>
      </c>
      <c r="BD187" s="230">
        <v>19600</v>
      </c>
      <c r="BE187" s="230">
        <v>7450</v>
      </c>
      <c r="BF187" s="230">
        <v>12150</v>
      </c>
      <c r="BG187" s="229">
        <v>1.6309</v>
      </c>
      <c r="BH187" s="230">
        <v>1961800</v>
      </c>
      <c r="BI187" s="230">
        <v>827650</v>
      </c>
      <c r="BJ187" s="230">
        <v>1134150</v>
      </c>
      <c r="BK187" s="229">
        <v>1.3703000000000001</v>
      </c>
      <c r="BL187" s="230">
        <v>1364450</v>
      </c>
      <c r="BM187" s="230">
        <v>1027350</v>
      </c>
      <c r="BN187" s="230">
        <v>337100</v>
      </c>
      <c r="BO187" s="229">
        <v>0.3281</v>
      </c>
      <c r="BP187" s="230">
        <v>4066100</v>
      </c>
      <c r="BQ187" s="230">
        <v>1992750</v>
      </c>
      <c r="BR187" s="230">
        <v>2073350</v>
      </c>
      <c r="BS187" s="229">
        <v>1.0404</v>
      </c>
      <c r="BT187" s="230">
        <v>234826</v>
      </c>
      <c r="BU187" s="230">
        <v>128538</v>
      </c>
      <c r="BV187" s="230">
        <v>106288</v>
      </c>
      <c r="BW187" s="229">
        <v>0.82689999999999997</v>
      </c>
      <c r="BX187" s="230">
        <v>767150</v>
      </c>
      <c r="BY187" s="230">
        <v>802950</v>
      </c>
      <c r="BZ187" s="230">
        <v>-35800</v>
      </c>
      <c r="CA187" s="229">
        <v>-4.4600000000000001E-2</v>
      </c>
      <c r="CB187" s="230">
        <v>443550</v>
      </c>
      <c r="CC187" s="230">
        <v>643900</v>
      </c>
      <c r="CD187" s="230">
        <v>-200350</v>
      </c>
      <c r="CE187" s="229">
        <v>-0.31119999999999998</v>
      </c>
      <c r="CF187" s="230">
        <v>290100</v>
      </c>
      <c r="CG187" s="230">
        <v>126950</v>
      </c>
      <c r="CH187" s="230">
        <v>163150</v>
      </c>
      <c r="CI187" s="229">
        <v>1.2851999999999999</v>
      </c>
      <c r="CJ187" s="230">
        <v>33500</v>
      </c>
      <c r="CK187" s="230">
        <v>32100</v>
      </c>
      <c r="CL187" s="230">
        <v>1400</v>
      </c>
      <c r="CM187" s="229">
        <v>4.36E-2</v>
      </c>
      <c r="CN187" s="230">
        <v>349900</v>
      </c>
      <c r="CO187" s="230">
        <v>399050</v>
      </c>
      <c r="CP187" s="230">
        <v>-49150</v>
      </c>
      <c r="CQ187" s="229">
        <v>-0.1232</v>
      </c>
      <c r="CR187" s="230">
        <v>299450</v>
      </c>
      <c r="CS187" s="230">
        <v>229700</v>
      </c>
      <c r="CT187" s="230">
        <v>69750</v>
      </c>
      <c r="CU187" s="229">
        <v>0.30370000000000003</v>
      </c>
      <c r="CV187" s="230">
        <v>1416500</v>
      </c>
      <c r="CW187" s="230">
        <v>1431700</v>
      </c>
      <c r="CX187" s="230">
        <v>-15200</v>
      </c>
      <c r="CY187" s="229">
        <v>-1.06E-2</v>
      </c>
      <c r="CZ187" s="228">
        <v>38.33</v>
      </c>
      <c r="DA187" s="228">
        <v>46.01</v>
      </c>
      <c r="DB187" s="228">
        <v>-7.68</v>
      </c>
      <c r="DC187" s="228">
        <v>-7.68</v>
      </c>
      <c r="DD187" s="228">
        <v>41.51</v>
      </c>
      <c r="DE187" s="228">
        <v>41.41</v>
      </c>
      <c r="DF187" s="228">
        <v>-3.18</v>
      </c>
      <c r="DG187" s="228">
        <v>0.1</v>
      </c>
      <c r="DH187" s="228">
        <v>37.840000000000003</v>
      </c>
      <c r="DI187" s="228">
        <v>35.340000000000003</v>
      </c>
      <c r="DJ187" s="228">
        <v>2.5</v>
      </c>
      <c r="DK187" s="228">
        <v>2.5</v>
      </c>
      <c r="DL187" s="228">
        <v>39.770000000000003</v>
      </c>
      <c r="DM187" s="228">
        <v>54.6</v>
      </c>
      <c r="DN187" s="228">
        <v>-14.83</v>
      </c>
      <c r="DO187" s="228">
        <v>-14.83</v>
      </c>
      <c r="DP187" s="228">
        <v>0.86</v>
      </c>
      <c r="DQ187" s="228">
        <v>0.57999999999999996</v>
      </c>
      <c r="DR187" s="228">
        <v>0.28000000000000003</v>
      </c>
      <c r="DS187" s="229">
        <v>0.48280000000000001</v>
      </c>
      <c r="DT187" s="231">
        <v>16000</v>
      </c>
      <c r="DU187" s="231">
        <v>15000</v>
      </c>
      <c r="DV187" s="228">
        <v>0.7</v>
      </c>
      <c r="DW187" s="228">
        <v>1.24</v>
      </c>
      <c r="DX187" s="228">
        <v>-0.54</v>
      </c>
      <c r="DY187" s="229">
        <v>-0.4355</v>
      </c>
      <c r="DZ187" s="229">
        <v>0.42180000000000001</v>
      </c>
      <c r="EA187" s="230">
        <v>159050</v>
      </c>
      <c r="EB187" s="229">
        <v>3.3999999999999998E-3</v>
      </c>
      <c r="EC187" s="229">
        <v>0.42180000000000001</v>
      </c>
      <c r="ED187" s="228">
        <v>41.99</v>
      </c>
      <c r="EE187" s="229">
        <v>2.7000000000000001E-3</v>
      </c>
      <c r="EF187" s="230">
        <v>66613</v>
      </c>
      <c r="EG187" s="230">
        <v>56228</v>
      </c>
      <c r="EH187" s="229">
        <v>0.1847</v>
      </c>
      <c r="EI187" s="229">
        <v>0.28370000000000001</v>
      </c>
      <c r="EJ187" s="231">
        <v>317080.84000000003</v>
      </c>
      <c r="EK187" s="231">
        <v>186657.81</v>
      </c>
      <c r="EL187" s="231">
        <v>115682.66</v>
      </c>
      <c r="EM187" s="231">
        <v>2324</v>
      </c>
      <c r="EN187" s="231">
        <v>619421.31000000006</v>
      </c>
      <c r="EO187" s="231">
        <v>284329.46999999997</v>
      </c>
      <c r="EP187" s="231">
        <v>335091.84000000003</v>
      </c>
      <c r="EQ187" s="229">
        <v>1.1785000000000001</v>
      </c>
      <c r="ER187" s="231">
        <v>53268</v>
      </c>
      <c r="ES187" s="231">
        <v>41566</v>
      </c>
      <c r="ET187" s="231">
        <v>121077</v>
      </c>
      <c r="EU187" s="231">
        <v>3644817</v>
      </c>
      <c r="EV187" s="231">
        <v>215911</v>
      </c>
      <c r="EW187" s="231">
        <v>213817</v>
      </c>
      <c r="EX187" s="231">
        <v>2094</v>
      </c>
      <c r="EY187" s="229">
        <v>9.7999999999999997E-3</v>
      </c>
      <c r="EZ187" s="229">
        <v>0.3886</v>
      </c>
      <c r="FA187" s="227" t="s">
        <v>693</v>
      </c>
      <c r="FB187" s="161">
        <f t="shared" si="4"/>
        <v>0</v>
      </c>
    </row>
    <row r="188" spans="1:158" ht="17.25" thickBot="1" x14ac:dyDescent="0.3">
      <c r="A188" s="226">
        <v>46135</v>
      </c>
      <c r="B188" s="227" t="s">
        <v>162</v>
      </c>
      <c r="C188" s="227" t="s">
        <v>613</v>
      </c>
      <c r="D188" s="228">
        <v>1225</v>
      </c>
      <c r="E188" s="228">
        <v>574.1</v>
      </c>
      <c r="F188" s="228">
        <v>588</v>
      </c>
      <c r="G188" s="228">
        <v>-13.9</v>
      </c>
      <c r="H188" s="229">
        <v>-2.3599999999999999E-2</v>
      </c>
      <c r="I188" s="228">
        <v>574.54999999999995</v>
      </c>
      <c r="J188" s="228">
        <v>588.45000000000005</v>
      </c>
      <c r="K188" s="228">
        <v>-13.9</v>
      </c>
      <c r="L188" s="229">
        <v>-2.3599999999999999E-2</v>
      </c>
      <c r="M188" s="228">
        <v>574.1</v>
      </c>
      <c r="N188" s="228">
        <v>588</v>
      </c>
      <c r="O188" s="228">
        <v>-13.9</v>
      </c>
      <c r="P188" s="229">
        <v>-2.3599999999999999E-2</v>
      </c>
      <c r="Q188" s="228">
        <v>577.4</v>
      </c>
      <c r="R188" s="228">
        <v>590.65</v>
      </c>
      <c r="S188" s="228">
        <v>-13.25</v>
      </c>
      <c r="T188" s="229">
        <v>-2.24E-2</v>
      </c>
      <c r="U188" s="228">
        <v>581.04999999999995</v>
      </c>
      <c r="V188" s="228">
        <v>593.85</v>
      </c>
      <c r="W188" s="228">
        <v>-12.8</v>
      </c>
      <c r="X188" s="229">
        <v>-2.1600000000000001E-2</v>
      </c>
      <c r="Y188" s="228">
        <v>-0.45</v>
      </c>
      <c r="Z188" s="228">
        <v>-0.45</v>
      </c>
      <c r="AA188" s="228">
        <v>0</v>
      </c>
      <c r="AB188" s="229">
        <v>-8.0000000000000004E-4</v>
      </c>
      <c r="AC188" s="228">
        <v>-0.45</v>
      </c>
      <c r="AD188" s="228">
        <v>-0.45</v>
      </c>
      <c r="AE188" s="228">
        <v>0</v>
      </c>
      <c r="AF188" s="229">
        <v>-8.0000000000000004E-4</v>
      </c>
      <c r="AG188" s="228">
        <v>2.85</v>
      </c>
      <c r="AH188" s="228">
        <v>2.2000000000000002</v>
      </c>
      <c r="AI188" s="228">
        <v>0.65</v>
      </c>
      <c r="AJ188" s="229">
        <v>5.0000000000000001E-3</v>
      </c>
      <c r="AK188" s="228">
        <v>6.5</v>
      </c>
      <c r="AL188" s="228">
        <v>5.4</v>
      </c>
      <c r="AM188" s="228">
        <v>1.1000000000000001</v>
      </c>
      <c r="AN188" s="229">
        <v>1.1299999999999999E-2</v>
      </c>
      <c r="AO188" s="228">
        <v>577.24</v>
      </c>
      <c r="AP188" s="228">
        <v>579.94000000000005</v>
      </c>
      <c r="AQ188" s="228">
        <v>0</v>
      </c>
      <c r="AR188" s="230">
        <v>7956375</v>
      </c>
      <c r="AS188" s="230">
        <v>3093125</v>
      </c>
      <c r="AT188" s="230">
        <v>4863250</v>
      </c>
      <c r="AU188" s="229">
        <v>1.5723</v>
      </c>
      <c r="AV188" s="230">
        <v>4447975</v>
      </c>
      <c r="AW188" s="230">
        <v>2426725</v>
      </c>
      <c r="AX188" s="230">
        <v>2021250</v>
      </c>
      <c r="AY188" s="229">
        <v>0.83289999999999997</v>
      </c>
      <c r="AZ188" s="230">
        <v>3498600</v>
      </c>
      <c r="BA188" s="230">
        <v>652925</v>
      </c>
      <c r="BB188" s="230">
        <v>2845675</v>
      </c>
      <c r="BC188" s="229">
        <v>4.3582999999999998</v>
      </c>
      <c r="BD188" s="230">
        <v>9800</v>
      </c>
      <c r="BE188" s="230">
        <v>13475</v>
      </c>
      <c r="BF188" s="230">
        <v>-3675</v>
      </c>
      <c r="BG188" s="229">
        <v>-0.2727</v>
      </c>
      <c r="BH188" s="230">
        <v>4484725</v>
      </c>
      <c r="BI188" s="230">
        <v>4753000</v>
      </c>
      <c r="BJ188" s="230">
        <v>-268275</v>
      </c>
      <c r="BK188" s="229">
        <v>-5.6399999999999999E-2</v>
      </c>
      <c r="BL188" s="230">
        <v>2483075</v>
      </c>
      <c r="BM188" s="230">
        <v>1228675</v>
      </c>
      <c r="BN188" s="230">
        <v>1254400</v>
      </c>
      <c r="BO188" s="229">
        <v>1.0208999999999999</v>
      </c>
      <c r="BP188" s="230">
        <v>14924175</v>
      </c>
      <c r="BQ188" s="230">
        <v>9074800</v>
      </c>
      <c r="BR188" s="230">
        <v>5849375</v>
      </c>
      <c r="BS188" s="229">
        <v>0.64459999999999995</v>
      </c>
      <c r="BT188" s="230">
        <v>1599342</v>
      </c>
      <c r="BU188" s="230">
        <v>1713468</v>
      </c>
      <c r="BV188" s="230">
        <v>-114126</v>
      </c>
      <c r="BW188" s="229">
        <v>-6.6600000000000006E-2</v>
      </c>
      <c r="BX188" s="230">
        <v>14257775</v>
      </c>
      <c r="BY188" s="230">
        <v>14457450</v>
      </c>
      <c r="BZ188" s="230">
        <v>-199675</v>
      </c>
      <c r="CA188" s="229">
        <v>-1.38E-2</v>
      </c>
      <c r="CB188" s="230">
        <v>10977225</v>
      </c>
      <c r="CC188" s="230">
        <v>13478675</v>
      </c>
      <c r="CD188" s="230">
        <v>-2501450</v>
      </c>
      <c r="CE188" s="229">
        <v>-0.18559999999999999</v>
      </c>
      <c r="CF188" s="230">
        <v>3187450</v>
      </c>
      <c r="CG188" s="230">
        <v>888125</v>
      </c>
      <c r="CH188" s="230">
        <v>2299325</v>
      </c>
      <c r="CI188" s="229">
        <v>2.589</v>
      </c>
      <c r="CJ188" s="230">
        <v>93100</v>
      </c>
      <c r="CK188" s="230">
        <v>90650</v>
      </c>
      <c r="CL188" s="230">
        <v>2450</v>
      </c>
      <c r="CM188" s="229">
        <v>2.7E-2</v>
      </c>
      <c r="CN188" s="230">
        <v>4472475</v>
      </c>
      <c r="CO188" s="230">
        <v>4411225</v>
      </c>
      <c r="CP188" s="230">
        <v>61250</v>
      </c>
      <c r="CQ188" s="229">
        <v>1.3899999999999999E-2</v>
      </c>
      <c r="CR188" s="230">
        <v>3106600</v>
      </c>
      <c r="CS188" s="230">
        <v>3173975</v>
      </c>
      <c r="CT188" s="230">
        <v>-67375</v>
      </c>
      <c r="CU188" s="229">
        <v>-2.12E-2</v>
      </c>
      <c r="CV188" s="230">
        <v>21836850</v>
      </c>
      <c r="CW188" s="230">
        <v>22042650</v>
      </c>
      <c r="CX188" s="230">
        <v>-205800</v>
      </c>
      <c r="CY188" s="229">
        <v>-9.2999999999999992E-3</v>
      </c>
      <c r="CZ188" s="228">
        <v>39.5</v>
      </c>
      <c r="DA188" s="228">
        <v>33.9</v>
      </c>
      <c r="DB188" s="228">
        <v>5.6</v>
      </c>
      <c r="DC188" s="228">
        <v>5.6</v>
      </c>
      <c r="DD188" s="228">
        <v>41.39</v>
      </c>
      <c r="DE188" s="228">
        <v>41.37</v>
      </c>
      <c r="DF188" s="228">
        <v>-1.89</v>
      </c>
      <c r="DG188" s="228">
        <v>0.02</v>
      </c>
      <c r="DH188" s="228">
        <v>39.17</v>
      </c>
      <c r="DI188" s="228">
        <v>33.119999999999997</v>
      </c>
      <c r="DJ188" s="228">
        <v>6.05</v>
      </c>
      <c r="DK188" s="228">
        <v>6.05</v>
      </c>
      <c r="DL188" s="228">
        <v>40.14</v>
      </c>
      <c r="DM188" s="228">
        <v>36.909999999999997</v>
      </c>
      <c r="DN188" s="228">
        <v>3.23</v>
      </c>
      <c r="DO188" s="228">
        <v>3.23</v>
      </c>
      <c r="DP188" s="228">
        <v>0.69</v>
      </c>
      <c r="DQ188" s="228">
        <v>0.72</v>
      </c>
      <c r="DR188" s="228">
        <v>-0.03</v>
      </c>
      <c r="DS188" s="229">
        <v>-4.1700000000000001E-2</v>
      </c>
      <c r="DT188" s="228">
        <v>600</v>
      </c>
      <c r="DU188" s="228">
        <v>580</v>
      </c>
      <c r="DV188" s="228">
        <v>0.55000000000000004</v>
      </c>
      <c r="DW188" s="228">
        <v>0.26</v>
      </c>
      <c r="DX188" s="228">
        <v>0.28999999999999998</v>
      </c>
      <c r="DY188" s="229">
        <v>1.1153999999999999</v>
      </c>
      <c r="DZ188" s="229">
        <v>0.2301</v>
      </c>
      <c r="EA188" s="230">
        <v>978775</v>
      </c>
      <c r="EB188" s="229">
        <v>5.7000000000000002E-3</v>
      </c>
      <c r="EC188" s="229">
        <v>0.2301</v>
      </c>
      <c r="ED188" s="228">
        <v>2.7</v>
      </c>
      <c r="EE188" s="229">
        <v>4.7000000000000002E-3</v>
      </c>
      <c r="EF188" s="230">
        <v>657092</v>
      </c>
      <c r="EG188" s="230">
        <v>863930</v>
      </c>
      <c r="EH188" s="229">
        <v>-0.2394</v>
      </c>
      <c r="EI188" s="229">
        <v>0.41089999999999999</v>
      </c>
      <c r="EJ188" s="231">
        <v>26899.82</v>
      </c>
      <c r="EK188" s="231">
        <v>14170.53</v>
      </c>
      <c r="EL188" s="231">
        <v>46022.17</v>
      </c>
      <c r="EM188" s="231">
        <v>2592</v>
      </c>
      <c r="EN188" s="231">
        <v>87092.52</v>
      </c>
      <c r="EO188" s="231">
        <v>54326.41</v>
      </c>
      <c r="EP188" s="231">
        <v>32766.11</v>
      </c>
      <c r="EQ188" s="229">
        <v>0.60309999999999997</v>
      </c>
      <c r="ER188" s="231">
        <v>25760</v>
      </c>
      <c r="ES188" s="231">
        <v>16565</v>
      </c>
      <c r="ET188" s="231">
        <v>81966</v>
      </c>
      <c r="EU188" s="231">
        <v>61283708</v>
      </c>
      <c r="EV188" s="231">
        <v>124291</v>
      </c>
      <c r="EW188" s="231">
        <v>127407</v>
      </c>
      <c r="EX188" s="231">
        <v>-3116</v>
      </c>
      <c r="EY188" s="229">
        <v>-2.4500000000000001E-2</v>
      </c>
      <c r="EZ188" s="229">
        <v>0.35630000000000001</v>
      </c>
      <c r="FA188" s="227" t="s">
        <v>567</v>
      </c>
      <c r="FB188" s="161">
        <f t="shared" si="4"/>
        <v>0</v>
      </c>
    </row>
    <row r="189" spans="1:158" ht="17.25" thickBot="1" x14ac:dyDescent="0.3">
      <c r="A189" s="226">
        <v>46135</v>
      </c>
      <c r="B189" s="227" t="s">
        <v>197</v>
      </c>
      <c r="C189" s="227" t="s">
        <v>286</v>
      </c>
      <c r="D189" s="228">
        <v>200</v>
      </c>
      <c r="E189" s="231">
        <v>2540.5</v>
      </c>
      <c r="F189" s="231">
        <v>2496.4</v>
      </c>
      <c r="G189" s="228">
        <v>44.1</v>
      </c>
      <c r="H189" s="229">
        <v>1.77E-2</v>
      </c>
      <c r="I189" s="231">
        <v>2542.4</v>
      </c>
      <c r="J189" s="231">
        <v>2492.8000000000002</v>
      </c>
      <c r="K189" s="228">
        <v>49.6</v>
      </c>
      <c r="L189" s="229">
        <v>1.9900000000000001E-2</v>
      </c>
      <c r="M189" s="231">
        <v>2540.5</v>
      </c>
      <c r="N189" s="231">
        <v>2496.4</v>
      </c>
      <c r="O189" s="228">
        <v>44.1</v>
      </c>
      <c r="P189" s="229">
        <v>1.77E-2</v>
      </c>
      <c r="Q189" s="231">
        <v>2547.1999999999998</v>
      </c>
      <c r="R189" s="231">
        <v>2509</v>
      </c>
      <c r="S189" s="228">
        <v>38.200000000000003</v>
      </c>
      <c r="T189" s="229">
        <v>1.52E-2</v>
      </c>
      <c r="U189" s="231">
        <v>2559.9</v>
      </c>
      <c r="V189" s="231">
        <v>2527.6999999999998</v>
      </c>
      <c r="W189" s="228">
        <v>32.200000000000003</v>
      </c>
      <c r="X189" s="229">
        <v>1.2699999999999999E-2</v>
      </c>
      <c r="Y189" s="228">
        <v>-1.9</v>
      </c>
      <c r="Z189" s="228">
        <v>3.6</v>
      </c>
      <c r="AA189" s="228">
        <v>-5.5</v>
      </c>
      <c r="AB189" s="229">
        <v>-6.9999999999999999E-4</v>
      </c>
      <c r="AC189" s="228">
        <v>-1.9</v>
      </c>
      <c r="AD189" s="228">
        <v>3.6</v>
      </c>
      <c r="AE189" s="228">
        <v>-5.5</v>
      </c>
      <c r="AF189" s="229">
        <v>-6.9999999999999999E-4</v>
      </c>
      <c r="AG189" s="228">
        <v>4.8</v>
      </c>
      <c r="AH189" s="228">
        <v>16.2</v>
      </c>
      <c r="AI189" s="228">
        <v>-11.4</v>
      </c>
      <c r="AJ189" s="229">
        <v>1.9E-3</v>
      </c>
      <c r="AK189" s="228">
        <v>17.5</v>
      </c>
      <c r="AL189" s="228">
        <v>34.9</v>
      </c>
      <c r="AM189" s="228">
        <v>-17.399999999999999</v>
      </c>
      <c r="AN189" s="229">
        <v>6.8999999999999999E-3</v>
      </c>
      <c r="AO189" s="231">
        <v>2523.96</v>
      </c>
      <c r="AP189" s="231">
        <v>2532.6799999999998</v>
      </c>
      <c r="AQ189" s="228">
        <v>0</v>
      </c>
      <c r="AR189" s="230">
        <v>3635000</v>
      </c>
      <c r="AS189" s="230">
        <v>884400</v>
      </c>
      <c r="AT189" s="230">
        <v>2750600</v>
      </c>
      <c r="AU189" s="229">
        <v>3.1101000000000001</v>
      </c>
      <c r="AV189" s="230">
        <v>2049600</v>
      </c>
      <c r="AW189" s="230">
        <v>599200</v>
      </c>
      <c r="AX189" s="230">
        <v>1450400</v>
      </c>
      <c r="AY189" s="229">
        <v>2.4205999999999999</v>
      </c>
      <c r="AZ189" s="230">
        <v>1567800</v>
      </c>
      <c r="BA189" s="230">
        <v>280200</v>
      </c>
      <c r="BB189" s="230">
        <v>1287600</v>
      </c>
      <c r="BC189" s="229">
        <v>4.5952999999999999</v>
      </c>
      <c r="BD189" s="230">
        <v>17600</v>
      </c>
      <c r="BE189" s="230">
        <v>5000</v>
      </c>
      <c r="BF189" s="230">
        <v>12600</v>
      </c>
      <c r="BG189" s="229">
        <v>2.52</v>
      </c>
      <c r="BH189" s="230">
        <v>6999200</v>
      </c>
      <c r="BI189" s="230">
        <v>3196000</v>
      </c>
      <c r="BJ189" s="230">
        <v>3803200</v>
      </c>
      <c r="BK189" s="229">
        <v>1.19</v>
      </c>
      <c r="BL189" s="230">
        <v>1795400</v>
      </c>
      <c r="BM189" s="230">
        <v>1236600</v>
      </c>
      <c r="BN189" s="230">
        <v>558800</v>
      </c>
      <c r="BO189" s="229">
        <v>0.45190000000000002</v>
      </c>
      <c r="BP189" s="230">
        <v>12429600</v>
      </c>
      <c r="BQ189" s="230">
        <v>5317000</v>
      </c>
      <c r="BR189" s="230">
        <v>7112600</v>
      </c>
      <c r="BS189" s="229">
        <v>1.3376999999999999</v>
      </c>
      <c r="BT189" s="230">
        <v>987725</v>
      </c>
      <c r="BU189" s="230">
        <v>417354</v>
      </c>
      <c r="BV189" s="230">
        <v>570371</v>
      </c>
      <c r="BW189" s="229">
        <v>1.3666</v>
      </c>
      <c r="BX189" s="230">
        <v>3862400</v>
      </c>
      <c r="BY189" s="230">
        <v>4329000</v>
      </c>
      <c r="BZ189" s="230">
        <v>-466600</v>
      </c>
      <c r="CA189" s="229">
        <v>-0.10780000000000001</v>
      </c>
      <c r="CB189" s="230">
        <v>2523200</v>
      </c>
      <c r="CC189" s="230">
        <v>3864000</v>
      </c>
      <c r="CD189" s="230">
        <v>-1340800</v>
      </c>
      <c r="CE189" s="229">
        <v>-0.34699999999999998</v>
      </c>
      <c r="CF189" s="230">
        <v>1313000</v>
      </c>
      <c r="CG189" s="230">
        <v>436600</v>
      </c>
      <c r="CH189" s="230">
        <v>876400</v>
      </c>
      <c r="CI189" s="229">
        <v>2.0072999999999999</v>
      </c>
      <c r="CJ189" s="230">
        <v>26200</v>
      </c>
      <c r="CK189" s="230">
        <v>28400</v>
      </c>
      <c r="CL189" s="230">
        <v>-2200</v>
      </c>
      <c r="CM189" s="229">
        <v>-7.7499999999999999E-2</v>
      </c>
      <c r="CN189" s="230">
        <v>2149800</v>
      </c>
      <c r="CO189" s="230">
        <v>2200000</v>
      </c>
      <c r="CP189" s="230">
        <v>-50200</v>
      </c>
      <c r="CQ189" s="229">
        <v>-2.2800000000000001E-2</v>
      </c>
      <c r="CR189" s="230">
        <v>1259800</v>
      </c>
      <c r="CS189" s="230">
        <v>1174000</v>
      </c>
      <c r="CT189" s="230">
        <v>85800</v>
      </c>
      <c r="CU189" s="229">
        <v>7.3099999999999998E-2</v>
      </c>
      <c r="CV189" s="230">
        <v>7272000</v>
      </c>
      <c r="CW189" s="230">
        <v>7703000</v>
      </c>
      <c r="CX189" s="230">
        <v>-431000</v>
      </c>
      <c r="CY189" s="229">
        <v>-5.6000000000000001E-2</v>
      </c>
      <c r="CZ189" s="228">
        <v>37.58</v>
      </c>
      <c r="DA189" s="228">
        <v>32.96</v>
      </c>
      <c r="DB189" s="228">
        <v>4.62</v>
      </c>
      <c r="DC189" s="228">
        <v>4.62</v>
      </c>
      <c r="DD189" s="228">
        <v>36.4</v>
      </c>
      <c r="DE189" s="228">
        <v>36.39</v>
      </c>
      <c r="DF189" s="228">
        <v>1.18</v>
      </c>
      <c r="DG189" s="228">
        <v>0.01</v>
      </c>
      <c r="DH189" s="228">
        <v>37.86</v>
      </c>
      <c r="DI189" s="228">
        <v>32.090000000000003</v>
      </c>
      <c r="DJ189" s="228">
        <v>5.77</v>
      </c>
      <c r="DK189" s="228">
        <v>5.77</v>
      </c>
      <c r="DL189" s="228">
        <v>36.82</v>
      </c>
      <c r="DM189" s="228">
        <v>35.21</v>
      </c>
      <c r="DN189" s="228">
        <v>1.61</v>
      </c>
      <c r="DO189" s="228">
        <v>1.61</v>
      </c>
      <c r="DP189" s="228">
        <v>0.59</v>
      </c>
      <c r="DQ189" s="228">
        <v>0.53</v>
      </c>
      <c r="DR189" s="228">
        <v>0.06</v>
      </c>
      <c r="DS189" s="229">
        <v>0.1132</v>
      </c>
      <c r="DT189" s="231">
        <v>2500</v>
      </c>
      <c r="DU189" s="231">
        <v>2500</v>
      </c>
      <c r="DV189" s="228">
        <v>0.26</v>
      </c>
      <c r="DW189" s="228">
        <v>0.39</v>
      </c>
      <c r="DX189" s="228">
        <v>-0.13</v>
      </c>
      <c r="DY189" s="229">
        <v>-0.33329999999999999</v>
      </c>
      <c r="DZ189" s="229">
        <v>0.34670000000000001</v>
      </c>
      <c r="EA189" s="230">
        <v>465000</v>
      </c>
      <c r="EB189" s="229">
        <v>2.5999999999999999E-3</v>
      </c>
      <c r="EC189" s="229">
        <v>0.34670000000000001</v>
      </c>
      <c r="ED189" s="228">
        <v>8.7200000000000006</v>
      </c>
      <c r="EE189" s="229">
        <v>3.5000000000000001E-3</v>
      </c>
      <c r="EF189" s="230">
        <v>592014</v>
      </c>
      <c r="EG189" s="230">
        <v>247566</v>
      </c>
      <c r="EH189" s="229">
        <v>1.3913</v>
      </c>
      <c r="EI189" s="229">
        <v>0.59940000000000004</v>
      </c>
      <c r="EJ189" s="231">
        <v>182652</v>
      </c>
      <c r="EK189" s="231">
        <v>45170.81</v>
      </c>
      <c r="EL189" s="231">
        <v>91887.44</v>
      </c>
      <c r="EM189" s="231">
        <v>3141</v>
      </c>
      <c r="EN189" s="231">
        <v>319710.25</v>
      </c>
      <c r="EO189" s="231">
        <v>134850.35999999999</v>
      </c>
      <c r="EP189" s="231">
        <v>184859.89</v>
      </c>
      <c r="EQ189" s="229">
        <v>1.3709</v>
      </c>
      <c r="ER189" s="231">
        <v>55906</v>
      </c>
      <c r="ES189" s="231">
        <v>30953</v>
      </c>
      <c r="ET189" s="231">
        <v>98217</v>
      </c>
      <c r="EU189" s="231">
        <v>19721628</v>
      </c>
      <c r="EV189" s="231">
        <v>185076</v>
      </c>
      <c r="EW189" s="231">
        <v>193449</v>
      </c>
      <c r="EX189" s="231">
        <v>-8373</v>
      </c>
      <c r="EY189" s="229">
        <v>-4.3299999999999998E-2</v>
      </c>
      <c r="EZ189" s="229">
        <v>0.36870000000000003</v>
      </c>
      <c r="FA189" s="227" t="s">
        <v>693</v>
      </c>
      <c r="FB189" s="161">
        <f t="shared" si="4"/>
        <v>0</v>
      </c>
    </row>
    <row r="190" spans="1:158" ht="17.25" thickBot="1" x14ac:dyDescent="0.3">
      <c r="A190" s="226">
        <v>46135</v>
      </c>
      <c r="B190" s="227" t="s">
        <v>170</v>
      </c>
      <c r="C190" s="227" t="s">
        <v>288</v>
      </c>
      <c r="D190" s="228">
        <v>350</v>
      </c>
      <c r="E190" s="231">
        <v>1676.7</v>
      </c>
      <c r="F190" s="231">
        <v>1667.2</v>
      </c>
      <c r="G190" s="228">
        <v>9.5</v>
      </c>
      <c r="H190" s="229">
        <v>5.7000000000000002E-3</v>
      </c>
      <c r="I190" s="231">
        <v>1680.1</v>
      </c>
      <c r="J190" s="231">
        <v>1669.8</v>
      </c>
      <c r="K190" s="228">
        <v>10.3</v>
      </c>
      <c r="L190" s="229">
        <v>6.1999999999999998E-3</v>
      </c>
      <c r="M190" s="231">
        <v>1676.7</v>
      </c>
      <c r="N190" s="231">
        <v>1667.2</v>
      </c>
      <c r="O190" s="228">
        <v>9.5</v>
      </c>
      <c r="P190" s="229">
        <v>5.7000000000000002E-3</v>
      </c>
      <c r="Q190" s="231">
        <v>1686</v>
      </c>
      <c r="R190" s="231">
        <v>1676.5</v>
      </c>
      <c r="S190" s="228">
        <v>9.5</v>
      </c>
      <c r="T190" s="229">
        <v>5.7000000000000002E-3</v>
      </c>
      <c r="U190" s="231">
        <v>1696.8</v>
      </c>
      <c r="V190" s="231">
        <v>1687.7</v>
      </c>
      <c r="W190" s="228">
        <v>9.1</v>
      </c>
      <c r="X190" s="229">
        <v>5.4000000000000003E-3</v>
      </c>
      <c r="Y190" s="228">
        <v>-3.4</v>
      </c>
      <c r="Z190" s="228">
        <v>-2.6</v>
      </c>
      <c r="AA190" s="228">
        <v>-0.8</v>
      </c>
      <c r="AB190" s="229">
        <v>-2E-3</v>
      </c>
      <c r="AC190" s="228">
        <v>-3.4</v>
      </c>
      <c r="AD190" s="228">
        <v>-2.6</v>
      </c>
      <c r="AE190" s="228">
        <v>-0.8</v>
      </c>
      <c r="AF190" s="229">
        <v>-2E-3</v>
      </c>
      <c r="AG190" s="228">
        <v>5.9</v>
      </c>
      <c r="AH190" s="228">
        <v>6.7</v>
      </c>
      <c r="AI190" s="228">
        <v>-0.8</v>
      </c>
      <c r="AJ190" s="229">
        <v>3.5000000000000001E-3</v>
      </c>
      <c r="AK190" s="228">
        <v>16.7</v>
      </c>
      <c r="AL190" s="228">
        <v>17.899999999999999</v>
      </c>
      <c r="AM190" s="228">
        <v>-1.2</v>
      </c>
      <c r="AN190" s="229">
        <v>9.9000000000000008E-3</v>
      </c>
      <c r="AO190" s="231">
        <v>1688.4</v>
      </c>
      <c r="AP190" s="231">
        <v>1697.48</v>
      </c>
      <c r="AQ190" s="228">
        <v>0</v>
      </c>
      <c r="AR190" s="230">
        <v>9653700</v>
      </c>
      <c r="AS190" s="230">
        <v>2814000</v>
      </c>
      <c r="AT190" s="230">
        <v>6839700</v>
      </c>
      <c r="AU190" s="229">
        <v>2.4306000000000001</v>
      </c>
      <c r="AV190" s="230">
        <v>4912950</v>
      </c>
      <c r="AW190" s="230">
        <v>2006550</v>
      </c>
      <c r="AX190" s="230">
        <v>2906400</v>
      </c>
      <c r="AY190" s="229">
        <v>1.4484999999999999</v>
      </c>
      <c r="AZ190" s="230">
        <v>4628750</v>
      </c>
      <c r="BA190" s="230">
        <v>451150</v>
      </c>
      <c r="BB190" s="230">
        <v>4177600</v>
      </c>
      <c r="BC190" s="229">
        <v>9.2599</v>
      </c>
      <c r="BD190" s="230">
        <v>112000</v>
      </c>
      <c r="BE190" s="230">
        <v>356300</v>
      </c>
      <c r="BF190" s="230">
        <v>-244300</v>
      </c>
      <c r="BG190" s="229">
        <v>-0.68569999999999998</v>
      </c>
      <c r="BH190" s="230">
        <v>30054150</v>
      </c>
      <c r="BI190" s="230">
        <v>9032450</v>
      </c>
      <c r="BJ190" s="230">
        <v>21021700</v>
      </c>
      <c r="BK190" s="229">
        <v>2.3273999999999999</v>
      </c>
      <c r="BL190" s="230">
        <v>12125050</v>
      </c>
      <c r="BM190" s="230">
        <v>4959850</v>
      </c>
      <c r="BN190" s="230">
        <v>7165200</v>
      </c>
      <c r="BO190" s="229">
        <v>1.4446000000000001</v>
      </c>
      <c r="BP190" s="230">
        <v>51832900</v>
      </c>
      <c r="BQ190" s="230">
        <v>16806300</v>
      </c>
      <c r="BR190" s="230">
        <v>35026600</v>
      </c>
      <c r="BS190" s="229">
        <v>2.0840999999999998</v>
      </c>
      <c r="BT190" s="230">
        <v>3351932</v>
      </c>
      <c r="BU190" s="230">
        <v>2248749</v>
      </c>
      <c r="BV190" s="230">
        <v>1103183</v>
      </c>
      <c r="BW190" s="229">
        <v>0.49059999999999998</v>
      </c>
      <c r="BX190" s="230">
        <v>18451650</v>
      </c>
      <c r="BY190" s="230">
        <v>18427150</v>
      </c>
      <c r="BZ190" s="230">
        <v>24500</v>
      </c>
      <c r="CA190" s="229">
        <v>1.2999999999999999E-3</v>
      </c>
      <c r="CB190" s="230">
        <v>9535050</v>
      </c>
      <c r="CC190" s="230">
        <v>12967150</v>
      </c>
      <c r="CD190" s="230">
        <v>-3432100</v>
      </c>
      <c r="CE190" s="229">
        <v>-0.26469999999999999</v>
      </c>
      <c r="CF190" s="230">
        <v>6872950</v>
      </c>
      <c r="CG190" s="230">
        <v>3469200</v>
      </c>
      <c r="CH190" s="230">
        <v>3403750</v>
      </c>
      <c r="CI190" s="229">
        <v>0.98109999999999997</v>
      </c>
      <c r="CJ190" s="230">
        <v>2043650</v>
      </c>
      <c r="CK190" s="230">
        <v>1990800</v>
      </c>
      <c r="CL190" s="230">
        <v>52850</v>
      </c>
      <c r="CM190" s="229">
        <v>2.6499999999999999E-2</v>
      </c>
      <c r="CN190" s="230">
        <v>8215900</v>
      </c>
      <c r="CO190" s="230">
        <v>8037400</v>
      </c>
      <c r="CP190" s="230">
        <v>178500</v>
      </c>
      <c r="CQ190" s="229">
        <v>2.2200000000000001E-2</v>
      </c>
      <c r="CR190" s="230">
        <v>6001100</v>
      </c>
      <c r="CS190" s="230">
        <v>5232150</v>
      </c>
      <c r="CT190" s="230">
        <v>768950</v>
      </c>
      <c r="CU190" s="229">
        <v>0.14699999999999999</v>
      </c>
      <c r="CV190" s="230">
        <v>32668650</v>
      </c>
      <c r="CW190" s="230">
        <v>31696700</v>
      </c>
      <c r="CX190" s="230">
        <v>971950</v>
      </c>
      <c r="CY190" s="229">
        <v>3.0700000000000002E-2</v>
      </c>
      <c r="CZ190" s="228">
        <v>27.34</v>
      </c>
      <c r="DA190" s="228">
        <v>23.2</v>
      </c>
      <c r="DB190" s="228">
        <v>4.1399999999999997</v>
      </c>
      <c r="DC190" s="228">
        <v>4.1399999999999997</v>
      </c>
      <c r="DD190" s="228">
        <v>23.53</v>
      </c>
      <c r="DE190" s="228">
        <v>23.58</v>
      </c>
      <c r="DF190" s="228">
        <v>3.81</v>
      </c>
      <c r="DG190" s="228">
        <v>-0.05</v>
      </c>
      <c r="DH190" s="228">
        <v>27.22</v>
      </c>
      <c r="DI190" s="228">
        <v>22.54</v>
      </c>
      <c r="DJ190" s="228">
        <v>4.68</v>
      </c>
      <c r="DK190" s="228">
        <v>4.68</v>
      </c>
      <c r="DL190" s="228">
        <v>27.73</v>
      </c>
      <c r="DM190" s="228">
        <v>24.39</v>
      </c>
      <c r="DN190" s="228">
        <v>3.34</v>
      </c>
      <c r="DO190" s="228">
        <v>3.34</v>
      </c>
      <c r="DP190" s="228">
        <v>0.73</v>
      </c>
      <c r="DQ190" s="228">
        <v>0.65</v>
      </c>
      <c r="DR190" s="228">
        <v>0.08</v>
      </c>
      <c r="DS190" s="229">
        <v>0.1231</v>
      </c>
      <c r="DT190" s="231">
        <v>1800</v>
      </c>
      <c r="DU190" s="231">
        <v>1690</v>
      </c>
      <c r="DV190" s="228">
        <v>0.4</v>
      </c>
      <c r="DW190" s="228">
        <v>0.55000000000000004</v>
      </c>
      <c r="DX190" s="228">
        <v>-0.15</v>
      </c>
      <c r="DY190" s="229">
        <v>-0.2727</v>
      </c>
      <c r="DZ190" s="229">
        <v>0.48320000000000002</v>
      </c>
      <c r="EA190" s="230">
        <v>5460000</v>
      </c>
      <c r="EB190" s="229">
        <v>5.4999999999999997E-3</v>
      </c>
      <c r="EC190" s="229">
        <v>0.48320000000000002</v>
      </c>
      <c r="ED190" s="228">
        <v>9.08</v>
      </c>
      <c r="EE190" s="229">
        <v>5.4000000000000003E-3</v>
      </c>
      <c r="EF190" s="230">
        <v>1905182</v>
      </c>
      <c r="EG190" s="230">
        <v>1507342</v>
      </c>
      <c r="EH190" s="229">
        <v>0.26390000000000002</v>
      </c>
      <c r="EI190" s="229">
        <v>0.56840000000000002</v>
      </c>
      <c r="EJ190" s="231">
        <v>519812.08</v>
      </c>
      <c r="EK190" s="231">
        <v>203562.68</v>
      </c>
      <c r="EL190" s="231">
        <v>163437.29</v>
      </c>
      <c r="EM190" s="231">
        <v>8423</v>
      </c>
      <c r="EN190" s="231">
        <v>886812.05</v>
      </c>
      <c r="EO190" s="231">
        <v>283988.21000000002</v>
      </c>
      <c r="EP190" s="231">
        <v>602823.84</v>
      </c>
      <c r="EQ190" s="229">
        <v>2.1227</v>
      </c>
      <c r="ER190" s="231">
        <v>143770</v>
      </c>
      <c r="ES190" s="231">
        <v>99233</v>
      </c>
      <c r="ET190" s="231">
        <v>310429</v>
      </c>
      <c r="EU190" s="231">
        <v>121755902</v>
      </c>
      <c r="EV190" s="231">
        <v>553432</v>
      </c>
      <c r="EW190" s="231">
        <v>534736</v>
      </c>
      <c r="EX190" s="231">
        <v>18696</v>
      </c>
      <c r="EY190" s="229">
        <v>3.5000000000000003E-2</v>
      </c>
      <c r="EZ190" s="229">
        <v>0.26829999999999998</v>
      </c>
      <c r="FA190" s="227" t="s">
        <v>555</v>
      </c>
      <c r="FB190" s="161">
        <f t="shared" si="4"/>
        <v>0</v>
      </c>
    </row>
    <row r="191" spans="1:158" ht="17.25" thickBot="1" x14ac:dyDescent="0.3">
      <c r="A191" s="226">
        <v>46135</v>
      </c>
      <c r="B191" s="227" t="s">
        <v>184</v>
      </c>
      <c r="C191" s="227" t="s">
        <v>573</v>
      </c>
      <c r="D191" s="228">
        <v>175</v>
      </c>
      <c r="E191" s="231">
        <v>3688.6</v>
      </c>
      <c r="F191" s="231">
        <v>3703.4</v>
      </c>
      <c r="G191" s="228">
        <v>-14.8</v>
      </c>
      <c r="H191" s="229">
        <v>-4.0000000000000001E-3</v>
      </c>
      <c r="I191" s="231">
        <v>3677.3</v>
      </c>
      <c r="J191" s="231">
        <v>3691.4</v>
      </c>
      <c r="K191" s="228">
        <v>-14.1</v>
      </c>
      <c r="L191" s="229">
        <v>-3.8E-3</v>
      </c>
      <c r="M191" s="231">
        <v>3688.6</v>
      </c>
      <c r="N191" s="231">
        <v>3703.4</v>
      </c>
      <c r="O191" s="228">
        <v>-14.8</v>
      </c>
      <c r="P191" s="229">
        <v>-4.0000000000000001E-3</v>
      </c>
      <c r="Q191" s="231">
        <v>3703.4</v>
      </c>
      <c r="R191" s="231">
        <v>3716.2</v>
      </c>
      <c r="S191" s="228">
        <v>-12.8</v>
      </c>
      <c r="T191" s="229">
        <v>-3.3999999999999998E-3</v>
      </c>
      <c r="U191" s="231">
        <v>3692.1</v>
      </c>
      <c r="V191" s="231">
        <v>3730.2</v>
      </c>
      <c r="W191" s="228">
        <v>-38.1</v>
      </c>
      <c r="X191" s="229">
        <v>-1.0200000000000001E-2</v>
      </c>
      <c r="Y191" s="228">
        <v>11.3</v>
      </c>
      <c r="Z191" s="228">
        <v>12</v>
      </c>
      <c r="AA191" s="228">
        <v>-0.7</v>
      </c>
      <c r="AB191" s="229">
        <v>3.0999999999999999E-3</v>
      </c>
      <c r="AC191" s="228">
        <v>11.3</v>
      </c>
      <c r="AD191" s="228">
        <v>12</v>
      </c>
      <c r="AE191" s="228">
        <v>-0.7</v>
      </c>
      <c r="AF191" s="229">
        <v>3.0999999999999999E-3</v>
      </c>
      <c r="AG191" s="228">
        <v>26.1</v>
      </c>
      <c r="AH191" s="228">
        <v>24.8</v>
      </c>
      <c r="AI191" s="228">
        <v>1.3</v>
      </c>
      <c r="AJ191" s="229">
        <v>7.1000000000000004E-3</v>
      </c>
      <c r="AK191" s="228">
        <v>14.8</v>
      </c>
      <c r="AL191" s="228">
        <v>38.799999999999997</v>
      </c>
      <c r="AM191" s="228">
        <v>-24</v>
      </c>
      <c r="AN191" s="229">
        <v>4.0000000000000001E-3</v>
      </c>
      <c r="AO191" s="231">
        <v>3693.05</v>
      </c>
      <c r="AP191" s="231">
        <v>3708.15</v>
      </c>
      <c r="AQ191" s="228">
        <v>0</v>
      </c>
      <c r="AR191" s="230">
        <v>1483300</v>
      </c>
      <c r="AS191" s="230">
        <v>425250</v>
      </c>
      <c r="AT191" s="230">
        <v>1058050</v>
      </c>
      <c r="AU191" s="229">
        <v>2.4881000000000002</v>
      </c>
      <c r="AV191" s="230">
        <v>721525</v>
      </c>
      <c r="AW191" s="230">
        <v>289450</v>
      </c>
      <c r="AX191" s="230">
        <v>432075</v>
      </c>
      <c r="AY191" s="229">
        <v>1.4926999999999999</v>
      </c>
      <c r="AZ191" s="230">
        <v>759500</v>
      </c>
      <c r="BA191" s="230">
        <v>132825</v>
      </c>
      <c r="BB191" s="230">
        <v>626675</v>
      </c>
      <c r="BC191" s="229">
        <v>4.7180999999999997</v>
      </c>
      <c r="BD191" s="230">
        <v>2275</v>
      </c>
      <c r="BE191" s="230">
        <v>2975</v>
      </c>
      <c r="BF191" s="228">
        <v>-700</v>
      </c>
      <c r="BG191" s="229">
        <v>-0.23530000000000001</v>
      </c>
      <c r="BH191" s="230">
        <v>1118425</v>
      </c>
      <c r="BI191" s="230">
        <v>760900</v>
      </c>
      <c r="BJ191" s="230">
        <v>357525</v>
      </c>
      <c r="BK191" s="229">
        <v>0.46989999999999998</v>
      </c>
      <c r="BL191" s="230">
        <v>297850</v>
      </c>
      <c r="BM191" s="230">
        <v>243425</v>
      </c>
      <c r="BN191" s="230">
        <v>54425</v>
      </c>
      <c r="BO191" s="229">
        <v>0.22359999999999999</v>
      </c>
      <c r="BP191" s="230">
        <v>2899575</v>
      </c>
      <c r="BQ191" s="230">
        <v>1429575</v>
      </c>
      <c r="BR191" s="230">
        <v>1470000</v>
      </c>
      <c r="BS191" s="229">
        <v>1.0283</v>
      </c>
      <c r="BT191" s="230">
        <v>360542</v>
      </c>
      <c r="BU191" s="230">
        <v>272139</v>
      </c>
      <c r="BV191" s="230">
        <v>88403</v>
      </c>
      <c r="BW191" s="229">
        <v>0.32479999999999998</v>
      </c>
      <c r="BX191" s="230">
        <v>2387000</v>
      </c>
      <c r="BY191" s="230">
        <v>2279725</v>
      </c>
      <c r="BZ191" s="230">
        <v>107275</v>
      </c>
      <c r="CA191" s="229">
        <v>4.7100000000000003E-2</v>
      </c>
      <c r="CB191" s="230">
        <v>1650600</v>
      </c>
      <c r="CC191" s="230">
        <v>2058525</v>
      </c>
      <c r="CD191" s="230">
        <v>-407925</v>
      </c>
      <c r="CE191" s="229">
        <v>-0.19819999999999999</v>
      </c>
      <c r="CF191" s="230">
        <v>729925</v>
      </c>
      <c r="CG191" s="230">
        <v>214375</v>
      </c>
      <c r="CH191" s="230">
        <v>515550</v>
      </c>
      <c r="CI191" s="229">
        <v>2.4049</v>
      </c>
      <c r="CJ191" s="230">
        <v>6475</v>
      </c>
      <c r="CK191" s="230">
        <v>6825</v>
      </c>
      <c r="CL191" s="228">
        <v>-350</v>
      </c>
      <c r="CM191" s="229">
        <v>-5.1299999999999998E-2</v>
      </c>
      <c r="CN191" s="230">
        <v>883575</v>
      </c>
      <c r="CO191" s="230">
        <v>874825</v>
      </c>
      <c r="CP191" s="230">
        <v>8750</v>
      </c>
      <c r="CQ191" s="229">
        <v>0.01</v>
      </c>
      <c r="CR191" s="230">
        <v>426475</v>
      </c>
      <c r="CS191" s="230">
        <v>423500</v>
      </c>
      <c r="CT191" s="230">
        <v>2975</v>
      </c>
      <c r="CU191" s="229">
        <v>7.0000000000000001E-3</v>
      </c>
      <c r="CV191" s="230">
        <v>3697050</v>
      </c>
      <c r="CW191" s="230">
        <v>3578050</v>
      </c>
      <c r="CX191" s="230">
        <v>119000</v>
      </c>
      <c r="CY191" s="229">
        <v>3.3300000000000003E-2</v>
      </c>
      <c r="CZ191" s="228">
        <v>36.6</v>
      </c>
      <c r="DA191" s="228">
        <v>42.76</v>
      </c>
      <c r="DB191" s="228">
        <v>-6.16</v>
      </c>
      <c r="DC191" s="228">
        <v>-6.16</v>
      </c>
      <c r="DD191" s="228">
        <v>38.03</v>
      </c>
      <c r="DE191" s="228">
        <v>38.119999999999997</v>
      </c>
      <c r="DF191" s="228">
        <v>-1.43</v>
      </c>
      <c r="DG191" s="228">
        <v>-0.09</v>
      </c>
      <c r="DH191" s="228">
        <v>36.44</v>
      </c>
      <c r="DI191" s="228">
        <v>42.62</v>
      </c>
      <c r="DJ191" s="228">
        <v>-6.18</v>
      </c>
      <c r="DK191" s="228">
        <v>-6.18</v>
      </c>
      <c r="DL191" s="228">
        <v>37.44</v>
      </c>
      <c r="DM191" s="228">
        <v>43.19</v>
      </c>
      <c r="DN191" s="228">
        <v>-5.75</v>
      </c>
      <c r="DO191" s="228">
        <v>-5.75</v>
      </c>
      <c r="DP191" s="228">
        <v>0.48</v>
      </c>
      <c r="DQ191" s="228">
        <v>0.48</v>
      </c>
      <c r="DR191" s="228">
        <v>0</v>
      </c>
      <c r="DS191" s="229">
        <v>0</v>
      </c>
      <c r="DT191" s="231">
        <v>3700</v>
      </c>
      <c r="DU191" s="231">
        <v>3500</v>
      </c>
      <c r="DV191" s="228">
        <v>0.27</v>
      </c>
      <c r="DW191" s="228">
        <v>0.32</v>
      </c>
      <c r="DX191" s="228">
        <v>-0.05</v>
      </c>
      <c r="DY191" s="229">
        <v>-0.15620000000000001</v>
      </c>
      <c r="DZ191" s="229">
        <v>0.3085</v>
      </c>
      <c r="EA191" s="230">
        <v>221200</v>
      </c>
      <c r="EB191" s="229">
        <v>4.0000000000000001E-3</v>
      </c>
      <c r="EC191" s="229">
        <v>0.3085</v>
      </c>
      <c r="ED191" s="228">
        <v>15.1</v>
      </c>
      <c r="EE191" s="229">
        <v>4.1000000000000003E-3</v>
      </c>
      <c r="EF191" s="230">
        <v>189082</v>
      </c>
      <c r="EG191" s="230">
        <v>151140</v>
      </c>
      <c r="EH191" s="229">
        <v>0.251</v>
      </c>
      <c r="EI191" s="229">
        <v>0.52439999999999998</v>
      </c>
      <c r="EJ191" s="231">
        <v>43740.17</v>
      </c>
      <c r="EK191" s="231">
        <v>10671.18</v>
      </c>
      <c r="EL191" s="231">
        <v>54893.77</v>
      </c>
      <c r="EM191" s="231">
        <v>2922</v>
      </c>
      <c r="EN191" s="231">
        <v>109305.12</v>
      </c>
      <c r="EO191" s="231">
        <v>54545.599999999999</v>
      </c>
      <c r="EP191" s="231">
        <v>54759.519999999997</v>
      </c>
      <c r="EQ191" s="229">
        <v>1.0039</v>
      </c>
      <c r="ER191" s="231">
        <v>34573</v>
      </c>
      <c r="ES191" s="231">
        <v>15355</v>
      </c>
      <c r="ET191" s="231">
        <v>88155</v>
      </c>
      <c r="EU191" s="231">
        <v>9724371</v>
      </c>
      <c r="EV191" s="231">
        <v>138083</v>
      </c>
      <c r="EW191" s="231">
        <v>134056</v>
      </c>
      <c r="EX191" s="231">
        <v>4027</v>
      </c>
      <c r="EY191" s="229">
        <v>0.03</v>
      </c>
      <c r="EZ191" s="229">
        <v>0.38019999999999998</v>
      </c>
      <c r="FA191" s="227" t="s">
        <v>566</v>
      </c>
      <c r="FB191" s="161">
        <f t="shared" si="4"/>
        <v>0</v>
      </c>
    </row>
    <row r="192" spans="1:158" ht="17.25" thickBot="1" x14ac:dyDescent="0.3">
      <c r="A192" s="226">
        <v>46135</v>
      </c>
      <c r="B192" s="227" t="s">
        <v>161</v>
      </c>
      <c r="C192" s="227" t="s">
        <v>682</v>
      </c>
      <c r="D192" s="228">
        <v>9025</v>
      </c>
      <c r="E192" s="228">
        <v>53.73</v>
      </c>
      <c r="F192" s="228">
        <v>54.55</v>
      </c>
      <c r="G192" s="228">
        <v>-0.82</v>
      </c>
      <c r="H192" s="229">
        <v>-1.4999999999999999E-2</v>
      </c>
      <c r="I192" s="228">
        <v>53.73</v>
      </c>
      <c r="J192" s="228">
        <v>54.57</v>
      </c>
      <c r="K192" s="228">
        <v>-0.84</v>
      </c>
      <c r="L192" s="229">
        <v>-1.54E-2</v>
      </c>
      <c r="M192" s="228">
        <v>53.73</v>
      </c>
      <c r="N192" s="228">
        <v>54.55</v>
      </c>
      <c r="O192" s="228">
        <v>-0.82</v>
      </c>
      <c r="P192" s="229">
        <v>-1.4999999999999999E-2</v>
      </c>
      <c r="Q192" s="228">
        <v>53.89</v>
      </c>
      <c r="R192" s="228">
        <v>54.89</v>
      </c>
      <c r="S192" s="228">
        <v>-1</v>
      </c>
      <c r="T192" s="229">
        <v>-1.8200000000000001E-2</v>
      </c>
      <c r="U192" s="228">
        <v>54.21</v>
      </c>
      <c r="V192" s="228">
        <v>55.23</v>
      </c>
      <c r="W192" s="228">
        <v>-1.02</v>
      </c>
      <c r="X192" s="229">
        <v>-1.8499999999999999E-2</v>
      </c>
      <c r="Y192" s="228">
        <v>0</v>
      </c>
      <c r="Z192" s="228">
        <v>-0.02</v>
      </c>
      <c r="AA192" s="228">
        <v>0.02</v>
      </c>
      <c r="AB192" s="229">
        <v>0</v>
      </c>
      <c r="AC192" s="228">
        <v>0</v>
      </c>
      <c r="AD192" s="228">
        <v>-0.02</v>
      </c>
      <c r="AE192" s="228">
        <v>0.02</v>
      </c>
      <c r="AF192" s="229">
        <v>0</v>
      </c>
      <c r="AG192" s="228">
        <v>0.16</v>
      </c>
      <c r="AH192" s="228">
        <v>0.32</v>
      </c>
      <c r="AI192" s="228">
        <v>-0.16</v>
      </c>
      <c r="AJ192" s="229">
        <v>3.0000000000000001E-3</v>
      </c>
      <c r="AK192" s="228">
        <v>0.48</v>
      </c>
      <c r="AL192" s="228">
        <v>0.66</v>
      </c>
      <c r="AM192" s="228">
        <v>-0.18</v>
      </c>
      <c r="AN192" s="229">
        <v>8.8999999999999999E-3</v>
      </c>
      <c r="AO192" s="228">
        <v>54.14</v>
      </c>
      <c r="AP192" s="228">
        <v>54.35</v>
      </c>
      <c r="AQ192" s="228">
        <v>0</v>
      </c>
      <c r="AR192" s="230">
        <v>250082750</v>
      </c>
      <c r="AS192" s="230">
        <v>108679050</v>
      </c>
      <c r="AT192" s="230">
        <v>141403700</v>
      </c>
      <c r="AU192" s="229">
        <v>1.3010999999999999</v>
      </c>
      <c r="AV192" s="230">
        <v>136954375</v>
      </c>
      <c r="AW192" s="230">
        <v>68626100</v>
      </c>
      <c r="AX192" s="230">
        <v>68328275</v>
      </c>
      <c r="AY192" s="229">
        <v>0.99570000000000003</v>
      </c>
      <c r="AZ192" s="230">
        <v>107866800</v>
      </c>
      <c r="BA192" s="230">
        <v>37616200</v>
      </c>
      <c r="BB192" s="230">
        <v>70250600</v>
      </c>
      <c r="BC192" s="229">
        <v>1.8675999999999999</v>
      </c>
      <c r="BD192" s="230">
        <v>5261575</v>
      </c>
      <c r="BE192" s="230">
        <v>2436750</v>
      </c>
      <c r="BF192" s="230">
        <v>2824825</v>
      </c>
      <c r="BG192" s="229">
        <v>1.1593</v>
      </c>
      <c r="BH192" s="230">
        <v>301868200</v>
      </c>
      <c r="BI192" s="230">
        <v>348229625</v>
      </c>
      <c r="BJ192" s="230">
        <v>-46361425</v>
      </c>
      <c r="BK192" s="229">
        <v>-0.1331</v>
      </c>
      <c r="BL192" s="230">
        <v>143650925</v>
      </c>
      <c r="BM192" s="230">
        <v>184841025</v>
      </c>
      <c r="BN192" s="230">
        <v>-41190100</v>
      </c>
      <c r="BO192" s="229">
        <v>-0.2228</v>
      </c>
      <c r="BP192" s="230">
        <v>695601875</v>
      </c>
      <c r="BQ192" s="230">
        <v>641749700</v>
      </c>
      <c r="BR192" s="230">
        <v>53852175</v>
      </c>
      <c r="BS192" s="229">
        <v>8.3900000000000002E-2</v>
      </c>
      <c r="BT192" s="230">
        <v>120587652</v>
      </c>
      <c r="BU192" s="230">
        <v>154062094</v>
      </c>
      <c r="BV192" s="230">
        <v>-33474442</v>
      </c>
      <c r="BW192" s="229">
        <v>-0.21729999999999999</v>
      </c>
      <c r="BX192" s="230">
        <v>346984175</v>
      </c>
      <c r="BY192" s="230">
        <v>373418400</v>
      </c>
      <c r="BZ192" s="230">
        <v>-26434225</v>
      </c>
      <c r="CA192" s="229">
        <v>-7.0800000000000002E-2</v>
      </c>
      <c r="CB192" s="230">
        <v>176808775</v>
      </c>
      <c r="CC192" s="230">
        <v>270750000</v>
      </c>
      <c r="CD192" s="230">
        <v>-93941225</v>
      </c>
      <c r="CE192" s="229">
        <v>-0.34699999999999998</v>
      </c>
      <c r="CF192" s="230">
        <v>148262700</v>
      </c>
      <c r="CG192" s="230">
        <v>84455950</v>
      </c>
      <c r="CH192" s="230">
        <v>63806750</v>
      </c>
      <c r="CI192" s="229">
        <v>0.75549999999999995</v>
      </c>
      <c r="CJ192" s="230">
        <v>21912700</v>
      </c>
      <c r="CK192" s="230">
        <v>18212450</v>
      </c>
      <c r="CL192" s="230">
        <v>3700250</v>
      </c>
      <c r="CM192" s="229">
        <v>0.20319999999999999</v>
      </c>
      <c r="CN192" s="230">
        <v>206862025</v>
      </c>
      <c r="CO192" s="230">
        <v>211410625</v>
      </c>
      <c r="CP192" s="230">
        <v>-4548600</v>
      </c>
      <c r="CQ192" s="229">
        <v>-2.1499999999999998E-2</v>
      </c>
      <c r="CR192" s="230">
        <v>170211500</v>
      </c>
      <c r="CS192" s="230">
        <v>179525300</v>
      </c>
      <c r="CT192" s="230">
        <v>-9313800</v>
      </c>
      <c r="CU192" s="229">
        <v>-5.1900000000000002E-2</v>
      </c>
      <c r="CV192" s="230">
        <v>724057700</v>
      </c>
      <c r="CW192" s="230">
        <v>764354325</v>
      </c>
      <c r="CX192" s="230">
        <v>-40296625</v>
      </c>
      <c r="CY192" s="229">
        <v>-5.2699999999999997E-2</v>
      </c>
      <c r="CZ192" s="228">
        <v>47.09</v>
      </c>
      <c r="DA192" s="228">
        <v>39.96</v>
      </c>
      <c r="DB192" s="228">
        <v>7.13</v>
      </c>
      <c r="DC192" s="228">
        <v>7.13</v>
      </c>
      <c r="DD192" s="228">
        <v>47.26</v>
      </c>
      <c r="DE192" s="228">
        <v>47.33</v>
      </c>
      <c r="DF192" s="228">
        <v>-0.17</v>
      </c>
      <c r="DG192" s="228">
        <v>-7.0000000000000007E-2</v>
      </c>
      <c r="DH192" s="228">
        <v>46.93</v>
      </c>
      <c r="DI192" s="228">
        <v>38.81</v>
      </c>
      <c r="DJ192" s="228">
        <v>8.1199999999999992</v>
      </c>
      <c r="DK192" s="228">
        <v>8.1199999999999992</v>
      </c>
      <c r="DL192" s="228">
        <v>47.74</v>
      </c>
      <c r="DM192" s="228">
        <v>42.13</v>
      </c>
      <c r="DN192" s="228">
        <v>5.61</v>
      </c>
      <c r="DO192" s="228">
        <v>5.61</v>
      </c>
      <c r="DP192" s="228">
        <v>0.82</v>
      </c>
      <c r="DQ192" s="228">
        <v>0.85</v>
      </c>
      <c r="DR192" s="228">
        <v>-0.03</v>
      </c>
      <c r="DS192" s="229">
        <v>-3.5299999999999998E-2</v>
      </c>
      <c r="DT192" s="228">
        <v>60</v>
      </c>
      <c r="DU192" s="228">
        <v>46</v>
      </c>
      <c r="DV192" s="228">
        <v>0.48</v>
      </c>
      <c r="DW192" s="228">
        <v>0.53</v>
      </c>
      <c r="DX192" s="228">
        <v>-0.05</v>
      </c>
      <c r="DY192" s="229">
        <v>-9.4299999999999995E-2</v>
      </c>
      <c r="DZ192" s="229">
        <v>0.4904</v>
      </c>
      <c r="EA192" s="230">
        <v>102668400</v>
      </c>
      <c r="EB192" s="229">
        <v>3.0000000000000001E-3</v>
      </c>
      <c r="EC192" s="229">
        <v>0.4904</v>
      </c>
      <c r="ED192" s="228">
        <v>0.21</v>
      </c>
      <c r="EE192" s="229">
        <v>3.8999999999999998E-3</v>
      </c>
      <c r="EF192" s="230">
        <v>42491203</v>
      </c>
      <c r="EG192" s="230">
        <v>55807682</v>
      </c>
      <c r="EH192" s="229">
        <v>-0.23860000000000001</v>
      </c>
      <c r="EI192" s="229">
        <v>0.35239999999999999</v>
      </c>
      <c r="EJ192" s="231">
        <v>170451.05</v>
      </c>
      <c r="EK192" s="231">
        <v>73381.23</v>
      </c>
      <c r="EL192" s="231">
        <v>135650.14000000001</v>
      </c>
      <c r="EM192" s="231">
        <v>13613</v>
      </c>
      <c r="EN192" s="231">
        <v>379482.42</v>
      </c>
      <c r="EO192" s="231">
        <v>350001.39</v>
      </c>
      <c r="EP192" s="231">
        <v>29481.03</v>
      </c>
      <c r="EQ192" s="229">
        <v>8.4199999999999997E-2</v>
      </c>
      <c r="ER192" s="231">
        <v>108880</v>
      </c>
      <c r="ES192" s="231">
        <v>79846</v>
      </c>
      <c r="ET192" s="231">
        <v>186777</v>
      </c>
      <c r="EU192" s="231">
        <v>1815546735</v>
      </c>
      <c r="EV192" s="231">
        <v>375503</v>
      </c>
      <c r="EW192" s="231">
        <v>397000</v>
      </c>
      <c r="EX192" s="231">
        <v>-21497</v>
      </c>
      <c r="EY192" s="229">
        <v>-5.4100000000000002E-2</v>
      </c>
      <c r="EZ192" s="229">
        <v>0.39879999999999999</v>
      </c>
      <c r="FA192" s="227" t="s">
        <v>567</v>
      </c>
      <c r="FB192" s="161">
        <f t="shared" si="4"/>
        <v>0</v>
      </c>
    </row>
    <row r="193" spans="1:158" ht="17.25" thickBot="1" x14ac:dyDescent="0.3">
      <c r="A193" s="226">
        <v>46135</v>
      </c>
      <c r="B193" s="227" t="s">
        <v>614</v>
      </c>
      <c r="C193" s="227" t="s">
        <v>691</v>
      </c>
      <c r="D193" s="228">
        <v>1300</v>
      </c>
      <c r="E193" s="228">
        <v>292.8</v>
      </c>
      <c r="F193" s="228">
        <v>294.45</v>
      </c>
      <c r="G193" s="228">
        <v>-1.65</v>
      </c>
      <c r="H193" s="229">
        <v>-5.5999999999999999E-3</v>
      </c>
      <c r="I193" s="228">
        <v>293.05</v>
      </c>
      <c r="J193" s="228">
        <v>294.7</v>
      </c>
      <c r="K193" s="228">
        <v>-1.65</v>
      </c>
      <c r="L193" s="229">
        <v>-5.5999999999999999E-3</v>
      </c>
      <c r="M193" s="228">
        <v>292.8</v>
      </c>
      <c r="N193" s="228">
        <v>294.45</v>
      </c>
      <c r="O193" s="228">
        <v>-1.65</v>
      </c>
      <c r="P193" s="229">
        <v>-5.5999999999999999E-3</v>
      </c>
      <c r="Q193" s="228">
        <v>290.14999999999998</v>
      </c>
      <c r="R193" s="228">
        <v>292.55</v>
      </c>
      <c r="S193" s="228">
        <v>-2.4</v>
      </c>
      <c r="T193" s="229">
        <v>-8.2000000000000007E-3</v>
      </c>
      <c r="U193" s="228">
        <v>289.3</v>
      </c>
      <c r="V193" s="228">
        <v>292.85000000000002</v>
      </c>
      <c r="W193" s="228">
        <v>-3.55</v>
      </c>
      <c r="X193" s="229">
        <v>-1.21E-2</v>
      </c>
      <c r="Y193" s="228">
        <v>-0.25</v>
      </c>
      <c r="Z193" s="228">
        <v>-0.25</v>
      </c>
      <c r="AA193" s="228">
        <v>0</v>
      </c>
      <c r="AB193" s="229">
        <v>-8.9999999999999998E-4</v>
      </c>
      <c r="AC193" s="228">
        <v>-0.25</v>
      </c>
      <c r="AD193" s="228">
        <v>-0.25</v>
      </c>
      <c r="AE193" s="228">
        <v>0</v>
      </c>
      <c r="AF193" s="229">
        <v>-8.9999999999999998E-4</v>
      </c>
      <c r="AG193" s="228">
        <v>-2.9</v>
      </c>
      <c r="AH193" s="228">
        <v>-2.15</v>
      </c>
      <c r="AI193" s="228">
        <v>-0.75</v>
      </c>
      <c r="AJ193" s="229">
        <v>-9.9000000000000008E-3</v>
      </c>
      <c r="AK193" s="228">
        <v>-3.75</v>
      </c>
      <c r="AL193" s="228">
        <v>-1.85</v>
      </c>
      <c r="AM193" s="228">
        <v>-1.9</v>
      </c>
      <c r="AN193" s="229">
        <v>-1.2800000000000001E-2</v>
      </c>
      <c r="AO193" s="228">
        <v>292.64999999999998</v>
      </c>
      <c r="AP193" s="228">
        <v>290.35000000000002</v>
      </c>
      <c r="AQ193" s="228">
        <v>0</v>
      </c>
      <c r="AR193" s="230">
        <v>47985600</v>
      </c>
      <c r="AS193" s="230">
        <v>12106900</v>
      </c>
      <c r="AT193" s="230">
        <v>35878700</v>
      </c>
      <c r="AU193" s="229">
        <v>2.9634999999999998</v>
      </c>
      <c r="AV193" s="230">
        <v>24905400</v>
      </c>
      <c r="AW193" s="230">
        <v>9059700</v>
      </c>
      <c r="AX193" s="230">
        <v>15845700</v>
      </c>
      <c r="AY193" s="229">
        <v>1.7490000000000001</v>
      </c>
      <c r="AZ193" s="230">
        <v>22908600</v>
      </c>
      <c r="BA193" s="230">
        <v>2852200</v>
      </c>
      <c r="BB193" s="230">
        <v>20056400</v>
      </c>
      <c r="BC193" s="229">
        <v>7.0319000000000003</v>
      </c>
      <c r="BD193" s="230">
        <v>171600</v>
      </c>
      <c r="BE193" s="230">
        <v>195000</v>
      </c>
      <c r="BF193" s="230">
        <v>-23400</v>
      </c>
      <c r="BG193" s="229">
        <v>-0.12</v>
      </c>
      <c r="BH193" s="230">
        <v>23692500</v>
      </c>
      <c r="BI193" s="230">
        <v>32818500</v>
      </c>
      <c r="BJ193" s="230">
        <v>-9126000</v>
      </c>
      <c r="BK193" s="229">
        <v>-0.27810000000000001</v>
      </c>
      <c r="BL193" s="230">
        <v>8327800</v>
      </c>
      <c r="BM193" s="230">
        <v>11328200</v>
      </c>
      <c r="BN193" s="230">
        <v>-3000400</v>
      </c>
      <c r="BO193" s="229">
        <v>-0.26490000000000002</v>
      </c>
      <c r="BP193" s="230">
        <v>80005900</v>
      </c>
      <c r="BQ193" s="230">
        <v>56253600</v>
      </c>
      <c r="BR193" s="230">
        <v>23752300</v>
      </c>
      <c r="BS193" s="229">
        <v>0.42220000000000002</v>
      </c>
      <c r="BT193" s="230">
        <v>10095456</v>
      </c>
      <c r="BU193" s="230">
        <v>11377031</v>
      </c>
      <c r="BV193" s="230">
        <v>-1281575</v>
      </c>
      <c r="BW193" s="229">
        <v>-0.11260000000000001</v>
      </c>
      <c r="BX193" s="230">
        <v>51051000</v>
      </c>
      <c r="BY193" s="230">
        <v>54641600</v>
      </c>
      <c r="BZ193" s="230">
        <v>-3590600</v>
      </c>
      <c r="CA193" s="229">
        <v>-6.5699999999999995E-2</v>
      </c>
      <c r="CB193" s="230">
        <v>30862000</v>
      </c>
      <c r="CC193" s="230">
        <v>47834800</v>
      </c>
      <c r="CD193" s="230">
        <v>-16972800</v>
      </c>
      <c r="CE193" s="229">
        <v>-0.3548</v>
      </c>
      <c r="CF193" s="230">
        <v>19741800</v>
      </c>
      <c r="CG193" s="230">
        <v>6337500</v>
      </c>
      <c r="CH193" s="230">
        <v>13404300</v>
      </c>
      <c r="CI193" s="229">
        <v>2.1151</v>
      </c>
      <c r="CJ193" s="230">
        <v>447200</v>
      </c>
      <c r="CK193" s="230">
        <v>469300</v>
      </c>
      <c r="CL193" s="230">
        <v>-22100</v>
      </c>
      <c r="CM193" s="229">
        <v>-4.7100000000000003E-2</v>
      </c>
      <c r="CN193" s="230">
        <v>9298900</v>
      </c>
      <c r="CO193" s="230">
        <v>9640800</v>
      </c>
      <c r="CP193" s="230">
        <v>-341900</v>
      </c>
      <c r="CQ193" s="229">
        <v>-3.5499999999999997E-2</v>
      </c>
      <c r="CR193" s="230">
        <v>6637800</v>
      </c>
      <c r="CS193" s="230">
        <v>6878300</v>
      </c>
      <c r="CT193" s="230">
        <v>-240500</v>
      </c>
      <c r="CU193" s="229">
        <v>-3.5000000000000003E-2</v>
      </c>
      <c r="CV193" s="230">
        <v>66987700</v>
      </c>
      <c r="CW193" s="230">
        <v>71160700</v>
      </c>
      <c r="CX193" s="230">
        <v>-4173000</v>
      </c>
      <c r="CY193" s="229">
        <v>-5.8599999999999999E-2</v>
      </c>
      <c r="CZ193" s="228">
        <v>51.79</v>
      </c>
      <c r="DA193" s="228">
        <v>46.35</v>
      </c>
      <c r="DB193" s="228">
        <v>5.44</v>
      </c>
      <c r="DC193" s="228">
        <v>5.44</v>
      </c>
      <c r="DD193" s="228">
        <v>45.38</v>
      </c>
      <c r="DE193" s="228">
        <v>45.49</v>
      </c>
      <c r="DF193" s="228">
        <v>6.41</v>
      </c>
      <c r="DG193" s="228">
        <v>-0.11</v>
      </c>
      <c r="DH193" s="228">
        <v>52</v>
      </c>
      <c r="DI193" s="228">
        <v>45.58</v>
      </c>
      <c r="DJ193" s="228">
        <v>6.42</v>
      </c>
      <c r="DK193" s="228">
        <v>6.42</v>
      </c>
      <c r="DL193" s="228">
        <v>50.94</v>
      </c>
      <c r="DM193" s="228">
        <v>48.58</v>
      </c>
      <c r="DN193" s="228">
        <v>2.36</v>
      </c>
      <c r="DO193" s="228">
        <v>2.36</v>
      </c>
      <c r="DP193" s="228">
        <v>0.71</v>
      </c>
      <c r="DQ193" s="228">
        <v>0.71</v>
      </c>
      <c r="DR193" s="228">
        <v>0</v>
      </c>
      <c r="DS193" s="229">
        <v>0</v>
      </c>
      <c r="DT193" s="228">
        <v>300</v>
      </c>
      <c r="DU193" s="228">
        <v>280</v>
      </c>
      <c r="DV193" s="228">
        <v>0.35</v>
      </c>
      <c r="DW193" s="228">
        <v>0.35</v>
      </c>
      <c r="DX193" s="228">
        <v>0</v>
      </c>
      <c r="DY193" s="229">
        <v>0</v>
      </c>
      <c r="DZ193" s="229">
        <v>0.39550000000000002</v>
      </c>
      <c r="EA193" s="230">
        <v>6806800</v>
      </c>
      <c r="EB193" s="229">
        <v>-9.1000000000000004E-3</v>
      </c>
      <c r="EC193" s="229">
        <v>0.39550000000000002</v>
      </c>
      <c r="ED193" s="228">
        <v>-2.2999999999999998</v>
      </c>
      <c r="EE193" s="229">
        <v>-7.9000000000000008E-3</v>
      </c>
      <c r="EF193" s="230">
        <v>4855905</v>
      </c>
      <c r="EG193" s="230">
        <v>4402395</v>
      </c>
      <c r="EH193" s="229">
        <v>0.10299999999999999</v>
      </c>
      <c r="EI193" s="229">
        <v>0.48099999999999998</v>
      </c>
      <c r="EJ193" s="231">
        <v>72190.47</v>
      </c>
      <c r="EK193" s="231">
        <v>24153.64</v>
      </c>
      <c r="EL193" s="231">
        <v>139897.16</v>
      </c>
      <c r="EM193" s="231">
        <v>7636</v>
      </c>
      <c r="EN193" s="231">
        <v>236241.27</v>
      </c>
      <c r="EO193" s="231">
        <v>166012.53</v>
      </c>
      <c r="EP193" s="231">
        <v>70228.740000000005</v>
      </c>
      <c r="EQ193" s="229">
        <v>0.42299999999999999</v>
      </c>
      <c r="ER193" s="231">
        <v>27530</v>
      </c>
      <c r="ES193" s="231">
        <v>18473</v>
      </c>
      <c r="ET193" s="231">
        <v>148939</v>
      </c>
      <c r="EU193" s="231">
        <v>389472858</v>
      </c>
      <c r="EV193" s="231">
        <v>194941</v>
      </c>
      <c r="EW193" s="231">
        <v>208179</v>
      </c>
      <c r="EX193" s="231">
        <v>-13238</v>
      </c>
      <c r="EY193" s="229">
        <v>-6.3600000000000004E-2</v>
      </c>
      <c r="EZ193" s="229">
        <v>0.17199999999999999</v>
      </c>
      <c r="FA193" s="227" t="s">
        <v>567</v>
      </c>
      <c r="FB193" s="161">
        <f t="shared" si="4"/>
        <v>0</v>
      </c>
    </row>
    <row r="194" spans="1:158" ht="17.25" thickBot="1" x14ac:dyDescent="0.3">
      <c r="A194" s="226">
        <v>46135</v>
      </c>
      <c r="B194" s="227" t="s">
        <v>168</v>
      </c>
      <c r="C194" s="227" t="s">
        <v>291</v>
      </c>
      <c r="D194" s="228">
        <v>550</v>
      </c>
      <c r="E194" s="231">
        <v>1182.8</v>
      </c>
      <c r="F194" s="231">
        <v>1177.3</v>
      </c>
      <c r="G194" s="228">
        <v>5.5</v>
      </c>
      <c r="H194" s="229">
        <v>4.7000000000000002E-3</v>
      </c>
      <c r="I194" s="231">
        <v>1184.4000000000001</v>
      </c>
      <c r="J194" s="231">
        <v>1178.5999999999999</v>
      </c>
      <c r="K194" s="228">
        <v>5.8</v>
      </c>
      <c r="L194" s="229">
        <v>4.8999999999999998E-3</v>
      </c>
      <c r="M194" s="231">
        <v>1182.8</v>
      </c>
      <c r="N194" s="231">
        <v>1177.3</v>
      </c>
      <c r="O194" s="228">
        <v>5.5</v>
      </c>
      <c r="P194" s="229">
        <v>4.7000000000000002E-3</v>
      </c>
      <c r="Q194" s="231">
        <v>1186.7</v>
      </c>
      <c r="R194" s="231">
        <v>1181.8</v>
      </c>
      <c r="S194" s="228">
        <v>4.9000000000000004</v>
      </c>
      <c r="T194" s="229">
        <v>4.1000000000000003E-3</v>
      </c>
      <c r="U194" s="231">
        <v>1186.5</v>
      </c>
      <c r="V194" s="231">
        <v>1183.4000000000001</v>
      </c>
      <c r="W194" s="228">
        <v>3.1</v>
      </c>
      <c r="X194" s="229">
        <v>2.5999999999999999E-3</v>
      </c>
      <c r="Y194" s="228">
        <v>-1.6</v>
      </c>
      <c r="Z194" s="228">
        <v>-1.3</v>
      </c>
      <c r="AA194" s="228">
        <v>-0.3</v>
      </c>
      <c r="AB194" s="229">
        <v>-1.4E-3</v>
      </c>
      <c r="AC194" s="228">
        <v>-1.6</v>
      </c>
      <c r="AD194" s="228">
        <v>-1.3</v>
      </c>
      <c r="AE194" s="228">
        <v>-0.3</v>
      </c>
      <c r="AF194" s="229">
        <v>-1.4E-3</v>
      </c>
      <c r="AG194" s="228">
        <v>2.2999999999999998</v>
      </c>
      <c r="AH194" s="228">
        <v>3.2</v>
      </c>
      <c r="AI194" s="228">
        <v>-0.9</v>
      </c>
      <c r="AJ194" s="229">
        <v>1.9E-3</v>
      </c>
      <c r="AK194" s="228">
        <v>2.1</v>
      </c>
      <c r="AL194" s="228">
        <v>4.8</v>
      </c>
      <c r="AM194" s="228">
        <v>-2.7</v>
      </c>
      <c r="AN194" s="229">
        <v>1.8E-3</v>
      </c>
      <c r="AO194" s="231">
        <v>1178.83</v>
      </c>
      <c r="AP194" s="231">
        <v>1182.54</v>
      </c>
      <c r="AQ194" s="228">
        <v>0</v>
      </c>
      <c r="AR194" s="230">
        <v>5133700</v>
      </c>
      <c r="AS194" s="230">
        <v>4452250</v>
      </c>
      <c r="AT194" s="230">
        <v>681450</v>
      </c>
      <c r="AU194" s="229">
        <v>0.15310000000000001</v>
      </c>
      <c r="AV194" s="230">
        <v>2916650</v>
      </c>
      <c r="AW194" s="230">
        <v>3608550</v>
      </c>
      <c r="AX194" s="230">
        <v>-691900</v>
      </c>
      <c r="AY194" s="229">
        <v>-0.19170000000000001</v>
      </c>
      <c r="AZ194" s="230">
        <v>2162050</v>
      </c>
      <c r="BA194" s="230">
        <v>750200</v>
      </c>
      <c r="BB194" s="230">
        <v>1411850</v>
      </c>
      <c r="BC194" s="229">
        <v>1.8819999999999999</v>
      </c>
      <c r="BD194" s="230">
        <v>55000</v>
      </c>
      <c r="BE194" s="230">
        <v>93500</v>
      </c>
      <c r="BF194" s="230">
        <v>-38500</v>
      </c>
      <c r="BG194" s="229">
        <v>-0.4118</v>
      </c>
      <c r="BH194" s="230">
        <v>4744300</v>
      </c>
      <c r="BI194" s="230">
        <v>22512050</v>
      </c>
      <c r="BJ194" s="230">
        <v>-17767750</v>
      </c>
      <c r="BK194" s="229">
        <v>-0.7893</v>
      </c>
      <c r="BL194" s="230">
        <v>3484800</v>
      </c>
      <c r="BM194" s="230">
        <v>9251000</v>
      </c>
      <c r="BN194" s="230">
        <v>-5766200</v>
      </c>
      <c r="BO194" s="229">
        <v>-0.62329999999999997</v>
      </c>
      <c r="BP194" s="230">
        <v>13362800</v>
      </c>
      <c r="BQ194" s="230">
        <v>36215300</v>
      </c>
      <c r="BR194" s="230">
        <v>-22852500</v>
      </c>
      <c r="BS194" s="229">
        <v>-0.63100000000000001</v>
      </c>
      <c r="BT194" s="230">
        <v>1633965</v>
      </c>
      <c r="BU194" s="230">
        <v>4496735</v>
      </c>
      <c r="BV194" s="230">
        <v>-2862770</v>
      </c>
      <c r="BW194" s="229">
        <v>-0.63660000000000005</v>
      </c>
      <c r="BX194" s="230">
        <v>11517000</v>
      </c>
      <c r="BY194" s="230">
        <v>11846450</v>
      </c>
      <c r="BZ194" s="230">
        <v>-329450</v>
      </c>
      <c r="CA194" s="229">
        <v>-2.7799999999999998E-2</v>
      </c>
      <c r="CB194" s="230">
        <v>9007900</v>
      </c>
      <c r="CC194" s="230">
        <v>10549000</v>
      </c>
      <c r="CD194" s="230">
        <v>-1541100</v>
      </c>
      <c r="CE194" s="229">
        <v>-0.14610000000000001</v>
      </c>
      <c r="CF194" s="230">
        <v>2343000</v>
      </c>
      <c r="CG194" s="230">
        <v>1159950</v>
      </c>
      <c r="CH194" s="230">
        <v>1183050</v>
      </c>
      <c r="CI194" s="229">
        <v>1.0199</v>
      </c>
      <c r="CJ194" s="230">
        <v>166100</v>
      </c>
      <c r="CK194" s="230">
        <v>137500</v>
      </c>
      <c r="CL194" s="230">
        <v>28600</v>
      </c>
      <c r="CM194" s="229">
        <v>0.20799999999999999</v>
      </c>
      <c r="CN194" s="230">
        <v>2916100</v>
      </c>
      <c r="CO194" s="230">
        <v>3001350</v>
      </c>
      <c r="CP194" s="230">
        <v>-85250</v>
      </c>
      <c r="CQ194" s="229">
        <v>-2.8400000000000002E-2</v>
      </c>
      <c r="CR194" s="230">
        <v>3885750</v>
      </c>
      <c r="CS194" s="230">
        <v>3576650</v>
      </c>
      <c r="CT194" s="230">
        <v>309100</v>
      </c>
      <c r="CU194" s="229">
        <v>8.6400000000000005E-2</v>
      </c>
      <c r="CV194" s="230">
        <v>18318850</v>
      </c>
      <c r="CW194" s="230">
        <v>18424450</v>
      </c>
      <c r="CX194" s="230">
        <v>-105600</v>
      </c>
      <c r="CY194" s="229">
        <v>-5.7000000000000002E-3</v>
      </c>
      <c r="CZ194" s="228">
        <v>27.17</v>
      </c>
      <c r="DA194" s="228">
        <v>28.76</v>
      </c>
      <c r="DB194" s="228">
        <v>-1.59</v>
      </c>
      <c r="DC194" s="228">
        <v>-1.59</v>
      </c>
      <c r="DD194" s="228">
        <v>27.56</v>
      </c>
      <c r="DE194" s="228">
        <v>27.62</v>
      </c>
      <c r="DF194" s="228">
        <v>-0.39</v>
      </c>
      <c r="DG194" s="228">
        <v>-0.06</v>
      </c>
      <c r="DH194" s="228">
        <v>26.87</v>
      </c>
      <c r="DI194" s="228">
        <v>28.35</v>
      </c>
      <c r="DJ194" s="228">
        <v>-1.48</v>
      </c>
      <c r="DK194" s="228">
        <v>-1.48</v>
      </c>
      <c r="DL194" s="228">
        <v>28.19</v>
      </c>
      <c r="DM194" s="228">
        <v>29.76</v>
      </c>
      <c r="DN194" s="228">
        <v>-1.57</v>
      </c>
      <c r="DO194" s="228">
        <v>-1.57</v>
      </c>
      <c r="DP194" s="228">
        <v>1.33</v>
      </c>
      <c r="DQ194" s="228">
        <v>1.19</v>
      </c>
      <c r="DR194" s="228">
        <v>0.14000000000000001</v>
      </c>
      <c r="DS194" s="229">
        <v>0.1176</v>
      </c>
      <c r="DT194" s="231">
        <v>1200</v>
      </c>
      <c r="DU194" s="228">
        <v>930</v>
      </c>
      <c r="DV194" s="228">
        <v>0.73</v>
      </c>
      <c r="DW194" s="228">
        <v>0.41</v>
      </c>
      <c r="DX194" s="228">
        <v>0.32</v>
      </c>
      <c r="DY194" s="229">
        <v>0.78049999999999997</v>
      </c>
      <c r="DZ194" s="229">
        <v>0.21790000000000001</v>
      </c>
      <c r="EA194" s="230">
        <v>1297450</v>
      </c>
      <c r="EB194" s="229">
        <v>3.3E-3</v>
      </c>
      <c r="EC194" s="229">
        <v>0.21790000000000001</v>
      </c>
      <c r="ED194" s="228">
        <v>3.71</v>
      </c>
      <c r="EE194" s="229">
        <v>3.0999999999999999E-3</v>
      </c>
      <c r="EF194" s="230">
        <v>925930</v>
      </c>
      <c r="EG194" s="230">
        <v>2648561</v>
      </c>
      <c r="EH194" s="229">
        <v>-0.65039999999999998</v>
      </c>
      <c r="EI194" s="229">
        <v>0.56669999999999998</v>
      </c>
      <c r="EJ194" s="231">
        <v>57360.42</v>
      </c>
      <c r="EK194" s="231">
        <v>40412.21</v>
      </c>
      <c r="EL194" s="231">
        <v>60600.21</v>
      </c>
      <c r="EM194" s="231">
        <v>3941</v>
      </c>
      <c r="EN194" s="231">
        <v>158372.84</v>
      </c>
      <c r="EO194" s="231">
        <v>428538.02</v>
      </c>
      <c r="EP194" s="231">
        <v>-270165.18</v>
      </c>
      <c r="EQ194" s="229">
        <v>-0.63039999999999996</v>
      </c>
      <c r="ER194" s="231">
        <v>33995</v>
      </c>
      <c r="ES194" s="231">
        <v>41421</v>
      </c>
      <c r="ET194" s="231">
        <v>136321</v>
      </c>
      <c r="EU194" s="231">
        <v>65472757</v>
      </c>
      <c r="EV194" s="231">
        <v>211736</v>
      </c>
      <c r="EW194" s="231">
        <v>212220</v>
      </c>
      <c r="EX194" s="228">
        <v>-484</v>
      </c>
      <c r="EY194" s="229">
        <v>-2.3E-3</v>
      </c>
      <c r="EZ194" s="229">
        <v>0.27979999999999999</v>
      </c>
      <c r="FA194" s="227" t="s">
        <v>693</v>
      </c>
      <c r="FB194" s="161">
        <f t="shared" si="4"/>
        <v>0</v>
      </c>
    </row>
    <row r="195" spans="1:158" ht="17.25" thickBot="1" x14ac:dyDescent="0.3">
      <c r="A195" s="226">
        <v>46135</v>
      </c>
      <c r="B195" s="227" t="s">
        <v>221</v>
      </c>
      <c r="C195" s="227" t="s">
        <v>603</v>
      </c>
      <c r="D195" s="228">
        <v>100</v>
      </c>
      <c r="E195" s="231">
        <v>4226.3999999999996</v>
      </c>
      <c r="F195" s="231">
        <v>4311.6000000000004</v>
      </c>
      <c r="G195" s="228">
        <v>-85.2</v>
      </c>
      <c r="H195" s="229">
        <v>-1.9800000000000002E-2</v>
      </c>
      <c r="I195" s="231">
        <v>4233.5</v>
      </c>
      <c r="J195" s="231">
        <v>4362.5</v>
      </c>
      <c r="K195" s="228">
        <v>-129</v>
      </c>
      <c r="L195" s="229">
        <v>-2.9600000000000001E-2</v>
      </c>
      <c r="M195" s="231">
        <v>4226.3999999999996</v>
      </c>
      <c r="N195" s="231">
        <v>4311.6000000000004</v>
      </c>
      <c r="O195" s="228">
        <v>-85.2</v>
      </c>
      <c r="P195" s="229">
        <v>-1.9800000000000002E-2</v>
      </c>
      <c r="Q195" s="231">
        <v>4167.7</v>
      </c>
      <c r="R195" s="231">
        <v>4289.8</v>
      </c>
      <c r="S195" s="228">
        <v>-122.1</v>
      </c>
      <c r="T195" s="229">
        <v>-2.8500000000000001E-2</v>
      </c>
      <c r="U195" s="231">
        <v>4072.2</v>
      </c>
      <c r="V195" s="231">
        <v>4229.8999999999996</v>
      </c>
      <c r="W195" s="228">
        <v>-157.69999999999999</v>
      </c>
      <c r="X195" s="229">
        <v>-3.73E-2</v>
      </c>
      <c r="Y195" s="228">
        <v>-7.1</v>
      </c>
      <c r="Z195" s="228">
        <v>-50.9</v>
      </c>
      <c r="AA195" s="228">
        <v>43.8</v>
      </c>
      <c r="AB195" s="229">
        <v>-1.6999999999999999E-3</v>
      </c>
      <c r="AC195" s="228">
        <v>-7.1</v>
      </c>
      <c r="AD195" s="228">
        <v>-50.9</v>
      </c>
      <c r="AE195" s="228">
        <v>43.8</v>
      </c>
      <c r="AF195" s="229">
        <v>-1.6999999999999999E-3</v>
      </c>
      <c r="AG195" s="228">
        <v>-65.8</v>
      </c>
      <c r="AH195" s="228">
        <v>-72.7</v>
      </c>
      <c r="AI195" s="228">
        <v>6.9</v>
      </c>
      <c r="AJ195" s="229">
        <v>-1.55E-2</v>
      </c>
      <c r="AK195" s="228">
        <v>-161.30000000000001</v>
      </c>
      <c r="AL195" s="228">
        <v>-132.6</v>
      </c>
      <c r="AM195" s="228">
        <v>-28.7</v>
      </c>
      <c r="AN195" s="229">
        <v>-3.8100000000000002E-2</v>
      </c>
      <c r="AO195" s="231">
        <v>4243.3500000000004</v>
      </c>
      <c r="AP195" s="231">
        <v>4188.99</v>
      </c>
      <c r="AQ195" s="228">
        <v>0</v>
      </c>
      <c r="AR195" s="230">
        <v>3137900</v>
      </c>
      <c r="AS195" s="230">
        <v>2627500</v>
      </c>
      <c r="AT195" s="230">
        <v>510400</v>
      </c>
      <c r="AU195" s="229">
        <v>0.1943</v>
      </c>
      <c r="AV195" s="230">
        <v>1421900</v>
      </c>
      <c r="AW195" s="230">
        <v>1727200</v>
      </c>
      <c r="AX195" s="230">
        <v>-305300</v>
      </c>
      <c r="AY195" s="229">
        <v>-0.17680000000000001</v>
      </c>
      <c r="AZ195" s="230">
        <v>1631300</v>
      </c>
      <c r="BA195" s="230">
        <v>834200</v>
      </c>
      <c r="BB195" s="230">
        <v>797100</v>
      </c>
      <c r="BC195" s="229">
        <v>0.95550000000000002</v>
      </c>
      <c r="BD195" s="230">
        <v>84700</v>
      </c>
      <c r="BE195" s="230">
        <v>66100</v>
      </c>
      <c r="BF195" s="230">
        <v>18600</v>
      </c>
      <c r="BG195" s="229">
        <v>0.28139999999999998</v>
      </c>
      <c r="BH195" s="230">
        <v>7061100</v>
      </c>
      <c r="BI195" s="230">
        <v>11489600</v>
      </c>
      <c r="BJ195" s="230">
        <v>-4428500</v>
      </c>
      <c r="BK195" s="229">
        <v>-0.38540000000000002</v>
      </c>
      <c r="BL195" s="230">
        <v>3000900</v>
      </c>
      <c r="BM195" s="230">
        <v>6621000</v>
      </c>
      <c r="BN195" s="230">
        <v>-3620100</v>
      </c>
      <c r="BO195" s="229">
        <v>-0.54679999999999995</v>
      </c>
      <c r="BP195" s="230">
        <v>13199900</v>
      </c>
      <c r="BQ195" s="230">
        <v>20738100</v>
      </c>
      <c r="BR195" s="230">
        <v>-7538200</v>
      </c>
      <c r="BS195" s="229">
        <v>-0.36349999999999999</v>
      </c>
      <c r="BT195" s="230">
        <v>704874</v>
      </c>
      <c r="BU195" s="230">
        <v>1877219</v>
      </c>
      <c r="BV195" s="230">
        <v>-1172345</v>
      </c>
      <c r="BW195" s="229">
        <v>-0.62450000000000006</v>
      </c>
      <c r="BX195" s="230">
        <v>2747900</v>
      </c>
      <c r="BY195" s="230">
        <v>2905000</v>
      </c>
      <c r="BZ195" s="230">
        <v>-157100</v>
      </c>
      <c r="CA195" s="229">
        <v>-5.4100000000000002E-2</v>
      </c>
      <c r="CB195" s="230">
        <v>1122200</v>
      </c>
      <c r="CC195" s="230">
        <v>1983300</v>
      </c>
      <c r="CD195" s="230">
        <v>-861100</v>
      </c>
      <c r="CE195" s="229">
        <v>-0.43419999999999997</v>
      </c>
      <c r="CF195" s="230">
        <v>1515300</v>
      </c>
      <c r="CG195" s="230">
        <v>846300</v>
      </c>
      <c r="CH195" s="230">
        <v>669000</v>
      </c>
      <c r="CI195" s="229">
        <v>0.79049999999999998</v>
      </c>
      <c r="CJ195" s="230">
        <v>110400</v>
      </c>
      <c r="CK195" s="230">
        <v>75400</v>
      </c>
      <c r="CL195" s="230">
        <v>35000</v>
      </c>
      <c r="CM195" s="229">
        <v>0.4642</v>
      </c>
      <c r="CN195" s="230">
        <v>2862800</v>
      </c>
      <c r="CO195" s="230">
        <v>2685100</v>
      </c>
      <c r="CP195" s="230">
        <v>177700</v>
      </c>
      <c r="CQ195" s="229">
        <v>6.6199999999999995E-2</v>
      </c>
      <c r="CR195" s="230">
        <v>980800</v>
      </c>
      <c r="CS195" s="230">
        <v>942700</v>
      </c>
      <c r="CT195" s="230">
        <v>38100</v>
      </c>
      <c r="CU195" s="229">
        <v>4.0399999999999998E-2</v>
      </c>
      <c r="CV195" s="230">
        <v>6591500</v>
      </c>
      <c r="CW195" s="230">
        <v>6532800</v>
      </c>
      <c r="CX195" s="230">
        <v>58700</v>
      </c>
      <c r="CY195" s="229">
        <v>8.9999999999999993E-3</v>
      </c>
      <c r="CZ195" s="228">
        <v>41.44</v>
      </c>
      <c r="DA195" s="228">
        <v>48.21</v>
      </c>
      <c r="DB195" s="228">
        <v>-6.77</v>
      </c>
      <c r="DC195" s="228">
        <v>-6.77</v>
      </c>
      <c r="DD195" s="228">
        <v>40.19</v>
      </c>
      <c r="DE195" s="228">
        <v>40.200000000000003</v>
      </c>
      <c r="DF195" s="228">
        <v>1.25</v>
      </c>
      <c r="DG195" s="228">
        <v>-0.01</v>
      </c>
      <c r="DH195" s="228">
        <v>41.93</v>
      </c>
      <c r="DI195" s="228">
        <v>50.04</v>
      </c>
      <c r="DJ195" s="228">
        <v>-8.11</v>
      </c>
      <c r="DK195" s="228">
        <v>-8.11</v>
      </c>
      <c r="DL195" s="228">
        <v>40.119999999999997</v>
      </c>
      <c r="DM195" s="228">
        <v>45.03</v>
      </c>
      <c r="DN195" s="228">
        <v>-4.91</v>
      </c>
      <c r="DO195" s="228">
        <v>-4.91</v>
      </c>
      <c r="DP195" s="228">
        <v>0.34</v>
      </c>
      <c r="DQ195" s="228">
        <v>0.35</v>
      </c>
      <c r="DR195" s="228">
        <v>-0.01</v>
      </c>
      <c r="DS195" s="229">
        <v>-2.86E-2</v>
      </c>
      <c r="DT195" s="231">
        <v>4500</v>
      </c>
      <c r="DU195" s="231">
        <v>4000</v>
      </c>
      <c r="DV195" s="228">
        <v>0.42</v>
      </c>
      <c r="DW195" s="228">
        <v>0.57999999999999996</v>
      </c>
      <c r="DX195" s="228">
        <v>-0.16</v>
      </c>
      <c r="DY195" s="229">
        <v>-0.27589999999999998</v>
      </c>
      <c r="DZ195" s="229">
        <v>0.59160000000000001</v>
      </c>
      <c r="EA195" s="230">
        <v>921700</v>
      </c>
      <c r="EB195" s="229">
        <v>-1.3899999999999999E-2</v>
      </c>
      <c r="EC195" s="229">
        <v>0.59160000000000001</v>
      </c>
      <c r="ED195" s="228">
        <v>-54.36</v>
      </c>
      <c r="EE195" s="229">
        <v>-1.2800000000000001E-2</v>
      </c>
      <c r="EF195" s="230">
        <v>226796</v>
      </c>
      <c r="EG195" s="230">
        <v>690998</v>
      </c>
      <c r="EH195" s="229">
        <v>-0.67179999999999995</v>
      </c>
      <c r="EI195" s="229">
        <v>0.32179999999999997</v>
      </c>
      <c r="EJ195" s="231">
        <v>322357.21999999997</v>
      </c>
      <c r="EK195" s="231">
        <v>127536.76</v>
      </c>
      <c r="EL195" s="231">
        <v>132143.96</v>
      </c>
      <c r="EM195" s="231">
        <v>9741</v>
      </c>
      <c r="EN195" s="231">
        <v>582037.93999999994</v>
      </c>
      <c r="EO195" s="231">
        <v>949859.45</v>
      </c>
      <c r="EP195" s="231">
        <v>-367821.51</v>
      </c>
      <c r="EQ195" s="229">
        <v>-0.38719999999999999</v>
      </c>
      <c r="ER195" s="231">
        <v>133183</v>
      </c>
      <c r="ES195" s="231">
        <v>41747</v>
      </c>
      <c r="ET195" s="231">
        <v>115078</v>
      </c>
      <c r="EU195" s="231">
        <v>5241946</v>
      </c>
      <c r="EV195" s="231">
        <v>290007</v>
      </c>
      <c r="EW195" s="231">
        <v>291332</v>
      </c>
      <c r="EX195" s="231">
        <v>-1325</v>
      </c>
      <c r="EY195" s="229">
        <v>-4.4999999999999997E-3</v>
      </c>
      <c r="EZ195" s="229">
        <v>1.2575000000000001</v>
      </c>
      <c r="FA195" s="227" t="s">
        <v>567</v>
      </c>
      <c r="FB195" s="161">
        <f t="shared" ref="FB195:FB258" si="5">BX266-CB266</f>
        <v>0</v>
      </c>
    </row>
    <row r="196" spans="1:158" ht="17.25" thickBot="1" x14ac:dyDescent="0.3">
      <c r="A196" s="226">
        <v>46135</v>
      </c>
      <c r="B196" s="227" t="s">
        <v>161</v>
      </c>
      <c r="C196" s="227" t="s">
        <v>293</v>
      </c>
      <c r="D196" s="228">
        <v>1450</v>
      </c>
      <c r="E196" s="228">
        <v>430.75</v>
      </c>
      <c r="F196" s="228">
        <v>436.6</v>
      </c>
      <c r="G196" s="228">
        <v>-5.85</v>
      </c>
      <c r="H196" s="229">
        <v>-1.34E-2</v>
      </c>
      <c r="I196" s="228">
        <v>430.3</v>
      </c>
      <c r="J196" s="228">
        <v>436.05</v>
      </c>
      <c r="K196" s="228">
        <v>-5.75</v>
      </c>
      <c r="L196" s="229">
        <v>-1.32E-2</v>
      </c>
      <c r="M196" s="228">
        <v>430.75</v>
      </c>
      <c r="N196" s="228">
        <v>436.6</v>
      </c>
      <c r="O196" s="228">
        <v>-5.85</v>
      </c>
      <c r="P196" s="229">
        <v>-1.34E-2</v>
      </c>
      <c r="Q196" s="228">
        <v>433.1</v>
      </c>
      <c r="R196" s="228">
        <v>439</v>
      </c>
      <c r="S196" s="228">
        <v>-5.9</v>
      </c>
      <c r="T196" s="229">
        <v>-1.34E-2</v>
      </c>
      <c r="U196" s="228">
        <v>433.75</v>
      </c>
      <c r="V196" s="228">
        <v>439.35</v>
      </c>
      <c r="W196" s="228">
        <v>-5.6</v>
      </c>
      <c r="X196" s="229">
        <v>-1.2699999999999999E-2</v>
      </c>
      <c r="Y196" s="228">
        <v>0.45</v>
      </c>
      <c r="Z196" s="228">
        <v>0.55000000000000004</v>
      </c>
      <c r="AA196" s="228">
        <v>-0.1</v>
      </c>
      <c r="AB196" s="229">
        <v>1E-3</v>
      </c>
      <c r="AC196" s="228">
        <v>0.45</v>
      </c>
      <c r="AD196" s="228">
        <v>0.55000000000000004</v>
      </c>
      <c r="AE196" s="228">
        <v>-0.1</v>
      </c>
      <c r="AF196" s="229">
        <v>1E-3</v>
      </c>
      <c r="AG196" s="228">
        <v>2.8</v>
      </c>
      <c r="AH196" s="228">
        <v>2.95</v>
      </c>
      <c r="AI196" s="228">
        <v>-0.15</v>
      </c>
      <c r="AJ196" s="229">
        <v>6.4999999999999997E-3</v>
      </c>
      <c r="AK196" s="228">
        <v>3.45</v>
      </c>
      <c r="AL196" s="228">
        <v>3.3</v>
      </c>
      <c r="AM196" s="228">
        <v>0.15</v>
      </c>
      <c r="AN196" s="229">
        <v>8.0000000000000002E-3</v>
      </c>
      <c r="AO196" s="228">
        <v>432.4</v>
      </c>
      <c r="AP196" s="228">
        <v>434.74</v>
      </c>
      <c r="AQ196" s="228">
        <v>0</v>
      </c>
      <c r="AR196" s="230">
        <v>30558750</v>
      </c>
      <c r="AS196" s="230">
        <v>10397950</v>
      </c>
      <c r="AT196" s="230">
        <v>20160800</v>
      </c>
      <c r="AU196" s="229">
        <v>1.9389000000000001</v>
      </c>
      <c r="AV196" s="230">
        <v>15571550</v>
      </c>
      <c r="AW196" s="230">
        <v>6577200</v>
      </c>
      <c r="AX196" s="230">
        <v>8994350</v>
      </c>
      <c r="AY196" s="229">
        <v>1.3674999999999999</v>
      </c>
      <c r="AZ196" s="230">
        <v>14753750</v>
      </c>
      <c r="BA196" s="230">
        <v>3658350</v>
      </c>
      <c r="BB196" s="230">
        <v>11095400</v>
      </c>
      <c r="BC196" s="229">
        <v>3.0329000000000002</v>
      </c>
      <c r="BD196" s="230">
        <v>233450</v>
      </c>
      <c r="BE196" s="230">
        <v>162400</v>
      </c>
      <c r="BF196" s="230">
        <v>71050</v>
      </c>
      <c r="BG196" s="229">
        <v>0.4375</v>
      </c>
      <c r="BH196" s="230">
        <v>48263250</v>
      </c>
      <c r="BI196" s="230">
        <v>52536400</v>
      </c>
      <c r="BJ196" s="230">
        <v>-4273150</v>
      </c>
      <c r="BK196" s="229">
        <v>-8.1299999999999997E-2</v>
      </c>
      <c r="BL196" s="230">
        <v>30874850</v>
      </c>
      <c r="BM196" s="230">
        <v>29907700</v>
      </c>
      <c r="BN196" s="230">
        <v>967150</v>
      </c>
      <c r="BO196" s="229">
        <v>3.2300000000000002E-2</v>
      </c>
      <c r="BP196" s="230">
        <v>109696850</v>
      </c>
      <c r="BQ196" s="230">
        <v>92842050</v>
      </c>
      <c r="BR196" s="230">
        <v>16854800</v>
      </c>
      <c r="BS196" s="229">
        <v>0.18149999999999999</v>
      </c>
      <c r="BT196" s="230">
        <v>8390812</v>
      </c>
      <c r="BU196" s="230">
        <v>6332928</v>
      </c>
      <c r="BV196" s="230">
        <v>2057884</v>
      </c>
      <c r="BW196" s="229">
        <v>0.32490000000000002</v>
      </c>
      <c r="BX196" s="230">
        <v>60096700</v>
      </c>
      <c r="BY196" s="230">
        <v>58616250</v>
      </c>
      <c r="BZ196" s="230">
        <v>1480450</v>
      </c>
      <c r="CA196" s="229">
        <v>2.53E-2</v>
      </c>
      <c r="CB196" s="230">
        <v>38300300</v>
      </c>
      <c r="CC196" s="230">
        <v>48701150</v>
      </c>
      <c r="CD196" s="230">
        <v>-10400850</v>
      </c>
      <c r="CE196" s="229">
        <v>-0.21360000000000001</v>
      </c>
      <c r="CF196" s="230">
        <v>21080100</v>
      </c>
      <c r="CG196" s="230">
        <v>9316250</v>
      </c>
      <c r="CH196" s="230">
        <v>11763850</v>
      </c>
      <c r="CI196" s="229">
        <v>1.2626999999999999</v>
      </c>
      <c r="CJ196" s="230">
        <v>716300</v>
      </c>
      <c r="CK196" s="230">
        <v>598850</v>
      </c>
      <c r="CL196" s="230">
        <v>117450</v>
      </c>
      <c r="CM196" s="229">
        <v>0.1961</v>
      </c>
      <c r="CN196" s="230">
        <v>36893800</v>
      </c>
      <c r="CO196" s="230">
        <v>36080350</v>
      </c>
      <c r="CP196" s="230">
        <v>813450</v>
      </c>
      <c r="CQ196" s="229">
        <v>2.2499999999999999E-2</v>
      </c>
      <c r="CR196" s="230">
        <v>28159000</v>
      </c>
      <c r="CS196" s="230">
        <v>29964250</v>
      </c>
      <c r="CT196" s="230">
        <v>-1805250</v>
      </c>
      <c r="CU196" s="229">
        <v>-6.0199999999999997E-2</v>
      </c>
      <c r="CV196" s="230">
        <v>125149500</v>
      </c>
      <c r="CW196" s="230">
        <v>124660850</v>
      </c>
      <c r="CX196" s="230">
        <v>488650</v>
      </c>
      <c r="CY196" s="229">
        <v>3.8999999999999998E-3</v>
      </c>
      <c r="CZ196" s="228">
        <v>29.63</v>
      </c>
      <c r="DA196" s="228">
        <v>28.78</v>
      </c>
      <c r="DB196" s="228">
        <v>0.85</v>
      </c>
      <c r="DC196" s="228">
        <v>0.85</v>
      </c>
      <c r="DD196" s="228">
        <v>31.36</v>
      </c>
      <c r="DE196" s="228">
        <v>31.39</v>
      </c>
      <c r="DF196" s="228">
        <v>-1.73</v>
      </c>
      <c r="DG196" s="228">
        <v>-0.03</v>
      </c>
      <c r="DH196" s="228">
        <v>29.91</v>
      </c>
      <c r="DI196" s="228">
        <v>28.46</v>
      </c>
      <c r="DJ196" s="228">
        <v>1.45</v>
      </c>
      <c r="DK196" s="228">
        <v>1.45</v>
      </c>
      <c r="DL196" s="228">
        <v>28.99</v>
      </c>
      <c r="DM196" s="228">
        <v>29.33</v>
      </c>
      <c r="DN196" s="228">
        <v>-0.34</v>
      </c>
      <c r="DO196" s="228">
        <v>-0.34</v>
      </c>
      <c r="DP196" s="228">
        <v>0.76</v>
      </c>
      <c r="DQ196" s="228">
        <v>0.83</v>
      </c>
      <c r="DR196" s="228">
        <v>-7.0000000000000007E-2</v>
      </c>
      <c r="DS196" s="229">
        <v>-8.43E-2</v>
      </c>
      <c r="DT196" s="228">
        <v>440</v>
      </c>
      <c r="DU196" s="228">
        <v>400</v>
      </c>
      <c r="DV196" s="228">
        <v>0.64</v>
      </c>
      <c r="DW196" s="228">
        <v>0.56999999999999995</v>
      </c>
      <c r="DX196" s="228">
        <v>7.0000000000000007E-2</v>
      </c>
      <c r="DY196" s="229">
        <v>0.12280000000000001</v>
      </c>
      <c r="DZ196" s="229">
        <v>0.36270000000000002</v>
      </c>
      <c r="EA196" s="230">
        <v>9915100</v>
      </c>
      <c r="EB196" s="229">
        <v>5.4999999999999997E-3</v>
      </c>
      <c r="EC196" s="229">
        <v>0.36270000000000002</v>
      </c>
      <c r="ED196" s="228">
        <v>2.34</v>
      </c>
      <c r="EE196" s="229">
        <v>5.4000000000000003E-3</v>
      </c>
      <c r="EF196" s="230">
        <v>4603754</v>
      </c>
      <c r="EG196" s="230">
        <v>2778329</v>
      </c>
      <c r="EH196" s="229">
        <v>0.65700000000000003</v>
      </c>
      <c r="EI196" s="229">
        <v>0.54869999999999997</v>
      </c>
      <c r="EJ196" s="231">
        <v>215870.89</v>
      </c>
      <c r="EK196" s="231">
        <v>132226.1</v>
      </c>
      <c r="EL196" s="231">
        <v>132488.25</v>
      </c>
      <c r="EM196" s="231">
        <v>9955</v>
      </c>
      <c r="EN196" s="231">
        <v>480585.24</v>
      </c>
      <c r="EO196" s="231">
        <v>411141.81</v>
      </c>
      <c r="EP196" s="231">
        <v>69443.429999999993</v>
      </c>
      <c r="EQ196" s="229">
        <v>0.16889999999999999</v>
      </c>
      <c r="ER196" s="231">
        <v>158600</v>
      </c>
      <c r="ES196" s="231">
        <v>113742</v>
      </c>
      <c r="ET196" s="231">
        <v>259383</v>
      </c>
      <c r="EU196" s="231">
        <v>169808198</v>
      </c>
      <c r="EV196" s="231">
        <v>531726</v>
      </c>
      <c r="EW196" s="231">
        <v>532043</v>
      </c>
      <c r="EX196" s="228">
        <v>-317</v>
      </c>
      <c r="EY196" s="229">
        <v>-5.9999999999999995E-4</v>
      </c>
      <c r="EZ196" s="229">
        <v>0.73699999999999999</v>
      </c>
      <c r="FA196" s="227" t="s">
        <v>566</v>
      </c>
      <c r="FB196" s="161">
        <f t="shared" si="5"/>
        <v>0</v>
      </c>
    </row>
    <row r="197" spans="1:158" ht="17.25" thickBot="1" x14ac:dyDescent="0.3">
      <c r="A197" s="226">
        <v>46135</v>
      </c>
      <c r="B197" s="227" t="s">
        <v>227</v>
      </c>
      <c r="C197" s="227" t="s">
        <v>294</v>
      </c>
      <c r="D197" s="228">
        <v>5500</v>
      </c>
      <c r="E197" s="228">
        <v>210.67</v>
      </c>
      <c r="F197" s="228">
        <v>213.02</v>
      </c>
      <c r="G197" s="228">
        <v>-2.35</v>
      </c>
      <c r="H197" s="229">
        <v>-1.0999999999999999E-2</v>
      </c>
      <c r="I197" s="228">
        <v>210.91</v>
      </c>
      <c r="J197" s="228">
        <v>213.03</v>
      </c>
      <c r="K197" s="228">
        <v>-2.12</v>
      </c>
      <c r="L197" s="229">
        <v>-0.01</v>
      </c>
      <c r="M197" s="228">
        <v>210.67</v>
      </c>
      <c r="N197" s="228">
        <v>213.02</v>
      </c>
      <c r="O197" s="228">
        <v>-2.35</v>
      </c>
      <c r="P197" s="229">
        <v>-1.0999999999999999E-2</v>
      </c>
      <c r="Q197" s="228">
        <v>211.84</v>
      </c>
      <c r="R197" s="228">
        <v>214.13</v>
      </c>
      <c r="S197" s="228">
        <v>-2.29</v>
      </c>
      <c r="T197" s="229">
        <v>-1.0699999999999999E-2</v>
      </c>
      <c r="U197" s="228">
        <v>210.03</v>
      </c>
      <c r="V197" s="228">
        <v>212.32</v>
      </c>
      <c r="W197" s="228">
        <v>-2.29</v>
      </c>
      <c r="X197" s="229">
        <v>-1.0800000000000001E-2</v>
      </c>
      <c r="Y197" s="228">
        <v>-0.24</v>
      </c>
      <c r="Z197" s="228">
        <v>-0.01</v>
      </c>
      <c r="AA197" s="228">
        <v>-0.23</v>
      </c>
      <c r="AB197" s="229">
        <v>-1.1000000000000001E-3</v>
      </c>
      <c r="AC197" s="228">
        <v>-0.24</v>
      </c>
      <c r="AD197" s="228">
        <v>-0.01</v>
      </c>
      <c r="AE197" s="228">
        <v>-0.23</v>
      </c>
      <c r="AF197" s="229">
        <v>-1.1000000000000001E-3</v>
      </c>
      <c r="AG197" s="228">
        <v>0.93</v>
      </c>
      <c r="AH197" s="228">
        <v>1.1000000000000001</v>
      </c>
      <c r="AI197" s="228">
        <v>-0.17</v>
      </c>
      <c r="AJ197" s="229">
        <v>4.4000000000000003E-3</v>
      </c>
      <c r="AK197" s="228">
        <v>-0.88</v>
      </c>
      <c r="AL197" s="228">
        <v>-0.71</v>
      </c>
      <c r="AM197" s="228">
        <v>-0.17</v>
      </c>
      <c r="AN197" s="229">
        <v>-4.1999999999999997E-3</v>
      </c>
      <c r="AO197" s="228">
        <v>211.04</v>
      </c>
      <c r="AP197" s="228">
        <v>212.22</v>
      </c>
      <c r="AQ197" s="228">
        <v>0</v>
      </c>
      <c r="AR197" s="230">
        <v>75641500</v>
      </c>
      <c r="AS197" s="230">
        <v>37933500</v>
      </c>
      <c r="AT197" s="230">
        <v>37708000</v>
      </c>
      <c r="AU197" s="229">
        <v>0.99409999999999998</v>
      </c>
      <c r="AV197" s="230">
        <v>39902500</v>
      </c>
      <c r="AW197" s="230">
        <v>22803000</v>
      </c>
      <c r="AX197" s="230">
        <v>17099500</v>
      </c>
      <c r="AY197" s="229">
        <v>0.74990000000000001</v>
      </c>
      <c r="AZ197" s="230">
        <v>34347500</v>
      </c>
      <c r="BA197" s="230">
        <v>13854500</v>
      </c>
      <c r="BB197" s="230">
        <v>20493000</v>
      </c>
      <c r="BC197" s="229">
        <v>1.4792000000000001</v>
      </c>
      <c r="BD197" s="230">
        <v>1391500</v>
      </c>
      <c r="BE197" s="230">
        <v>1276000</v>
      </c>
      <c r="BF197" s="230">
        <v>115500</v>
      </c>
      <c r="BG197" s="229">
        <v>9.0499999999999997E-2</v>
      </c>
      <c r="BH197" s="230">
        <v>86894500</v>
      </c>
      <c r="BI197" s="230">
        <v>118096000</v>
      </c>
      <c r="BJ197" s="230">
        <v>-31201500</v>
      </c>
      <c r="BK197" s="229">
        <v>-0.26419999999999999</v>
      </c>
      <c r="BL197" s="230">
        <v>53630500</v>
      </c>
      <c r="BM197" s="230">
        <v>71802500</v>
      </c>
      <c r="BN197" s="230">
        <v>-18172000</v>
      </c>
      <c r="BO197" s="229">
        <v>-0.25309999999999999</v>
      </c>
      <c r="BP197" s="230">
        <v>216166500</v>
      </c>
      <c r="BQ197" s="230">
        <v>227832000</v>
      </c>
      <c r="BR197" s="230">
        <v>-11665500</v>
      </c>
      <c r="BS197" s="229">
        <v>-5.1200000000000002E-2</v>
      </c>
      <c r="BT197" s="230">
        <v>20415328</v>
      </c>
      <c r="BU197" s="230">
        <v>22304183</v>
      </c>
      <c r="BV197" s="230">
        <v>-1888855</v>
      </c>
      <c r="BW197" s="229">
        <v>-8.4699999999999998E-2</v>
      </c>
      <c r="BX197" s="230">
        <v>182792500</v>
      </c>
      <c r="BY197" s="230">
        <v>180554000</v>
      </c>
      <c r="BZ197" s="230">
        <v>2238500</v>
      </c>
      <c r="CA197" s="229">
        <v>1.24E-2</v>
      </c>
      <c r="CB197" s="230">
        <v>116545000</v>
      </c>
      <c r="CC197" s="230">
        <v>140910000</v>
      </c>
      <c r="CD197" s="230">
        <v>-24365000</v>
      </c>
      <c r="CE197" s="229">
        <v>-0.1729</v>
      </c>
      <c r="CF197" s="230">
        <v>59290000</v>
      </c>
      <c r="CG197" s="230">
        <v>33429000</v>
      </c>
      <c r="CH197" s="230">
        <v>25861000</v>
      </c>
      <c r="CI197" s="229">
        <v>0.77359999999999995</v>
      </c>
      <c r="CJ197" s="230">
        <v>6957500</v>
      </c>
      <c r="CK197" s="230">
        <v>6215000</v>
      </c>
      <c r="CL197" s="230">
        <v>742500</v>
      </c>
      <c r="CM197" s="229">
        <v>0.1195</v>
      </c>
      <c r="CN197" s="230">
        <v>122023000</v>
      </c>
      <c r="CO197" s="230">
        <v>124492500</v>
      </c>
      <c r="CP197" s="230">
        <v>-2469500</v>
      </c>
      <c r="CQ197" s="229">
        <v>-1.9800000000000002E-2</v>
      </c>
      <c r="CR197" s="230">
        <v>95969500</v>
      </c>
      <c r="CS197" s="230">
        <v>100342000</v>
      </c>
      <c r="CT197" s="230">
        <v>-4372500</v>
      </c>
      <c r="CU197" s="229">
        <v>-4.36E-2</v>
      </c>
      <c r="CV197" s="230">
        <v>400785000</v>
      </c>
      <c r="CW197" s="230">
        <v>405388500</v>
      </c>
      <c r="CX197" s="230">
        <v>-4603500</v>
      </c>
      <c r="CY197" s="229">
        <v>-1.14E-2</v>
      </c>
      <c r="CZ197" s="228">
        <v>30.37</v>
      </c>
      <c r="DA197" s="228">
        <v>28.96</v>
      </c>
      <c r="DB197" s="228">
        <v>1.41</v>
      </c>
      <c r="DC197" s="228">
        <v>1.41</v>
      </c>
      <c r="DD197" s="228">
        <v>35.840000000000003</v>
      </c>
      <c r="DE197" s="228">
        <v>35.9</v>
      </c>
      <c r="DF197" s="228">
        <v>-5.47</v>
      </c>
      <c r="DG197" s="228">
        <v>-0.06</v>
      </c>
      <c r="DH197" s="228">
        <v>30.11</v>
      </c>
      <c r="DI197" s="228">
        <v>27.48</v>
      </c>
      <c r="DJ197" s="228">
        <v>2.63</v>
      </c>
      <c r="DK197" s="228">
        <v>2.63</v>
      </c>
      <c r="DL197" s="228">
        <v>30.84</v>
      </c>
      <c r="DM197" s="228">
        <v>31.4</v>
      </c>
      <c r="DN197" s="228">
        <v>-0.56000000000000005</v>
      </c>
      <c r="DO197" s="228">
        <v>-0.56000000000000005</v>
      </c>
      <c r="DP197" s="228">
        <v>0.79</v>
      </c>
      <c r="DQ197" s="228">
        <v>0.81</v>
      </c>
      <c r="DR197" s="228">
        <v>-0.02</v>
      </c>
      <c r="DS197" s="229">
        <v>-2.47E-2</v>
      </c>
      <c r="DT197" s="228">
        <v>195</v>
      </c>
      <c r="DU197" s="228">
        <v>200</v>
      </c>
      <c r="DV197" s="228">
        <v>0.62</v>
      </c>
      <c r="DW197" s="228">
        <v>0.61</v>
      </c>
      <c r="DX197" s="228">
        <v>0.01</v>
      </c>
      <c r="DY197" s="229">
        <v>1.6400000000000001E-2</v>
      </c>
      <c r="DZ197" s="229">
        <v>0.3624</v>
      </c>
      <c r="EA197" s="230">
        <v>39644000</v>
      </c>
      <c r="EB197" s="229">
        <v>5.5999999999999999E-3</v>
      </c>
      <c r="EC197" s="229">
        <v>0.3624</v>
      </c>
      <c r="ED197" s="228">
        <v>1.18</v>
      </c>
      <c r="EE197" s="229">
        <v>5.5999999999999999E-3</v>
      </c>
      <c r="EF197" s="230">
        <v>8967831</v>
      </c>
      <c r="EG197" s="230">
        <v>8100886</v>
      </c>
      <c r="EH197" s="229">
        <v>0.107</v>
      </c>
      <c r="EI197" s="229">
        <v>0.43930000000000002</v>
      </c>
      <c r="EJ197" s="231">
        <v>189306.05</v>
      </c>
      <c r="EK197" s="231">
        <v>110716.34</v>
      </c>
      <c r="EL197" s="231">
        <v>160031.48000000001</v>
      </c>
      <c r="EM197" s="231">
        <v>6074</v>
      </c>
      <c r="EN197" s="231">
        <v>460053.87</v>
      </c>
      <c r="EO197" s="231">
        <v>487917.35</v>
      </c>
      <c r="EP197" s="231">
        <v>-27863.48</v>
      </c>
      <c r="EQ197" s="229">
        <v>-5.7099999999999998E-2</v>
      </c>
      <c r="ER197" s="231">
        <v>254972</v>
      </c>
      <c r="ES197" s="231">
        <v>188694</v>
      </c>
      <c r="ET197" s="231">
        <v>385738</v>
      </c>
      <c r="EU197" s="231">
        <v>1049350971</v>
      </c>
      <c r="EV197" s="231">
        <v>829404</v>
      </c>
      <c r="EW197" s="231">
        <v>842127</v>
      </c>
      <c r="EX197" s="231">
        <v>-12723</v>
      </c>
      <c r="EY197" s="229">
        <v>-1.5100000000000001E-2</v>
      </c>
      <c r="EZ197" s="229">
        <v>0.38190000000000002</v>
      </c>
      <c r="FA197" s="227" t="s">
        <v>566</v>
      </c>
      <c r="FB197" s="161">
        <f t="shared" si="5"/>
        <v>0</v>
      </c>
    </row>
    <row r="198" spans="1:158" ht="17.25" thickBot="1" x14ac:dyDescent="0.3">
      <c r="A198" s="226">
        <v>46135</v>
      </c>
      <c r="B198" s="227" t="s">
        <v>221</v>
      </c>
      <c r="C198" s="227" t="s">
        <v>662</v>
      </c>
      <c r="D198" s="228">
        <v>800</v>
      </c>
      <c r="E198" s="228">
        <v>562.70000000000005</v>
      </c>
      <c r="F198" s="228">
        <v>575.4</v>
      </c>
      <c r="G198" s="228">
        <v>-12.7</v>
      </c>
      <c r="H198" s="229">
        <v>-2.2100000000000002E-2</v>
      </c>
      <c r="I198" s="228">
        <v>563.5</v>
      </c>
      <c r="J198" s="228">
        <v>575.29999999999995</v>
      </c>
      <c r="K198" s="228">
        <v>-11.8</v>
      </c>
      <c r="L198" s="229">
        <v>-2.0500000000000001E-2</v>
      </c>
      <c r="M198" s="228">
        <v>562.70000000000005</v>
      </c>
      <c r="N198" s="228">
        <v>575.4</v>
      </c>
      <c r="O198" s="228">
        <v>-12.7</v>
      </c>
      <c r="P198" s="229">
        <v>-2.2100000000000002E-2</v>
      </c>
      <c r="Q198" s="228">
        <v>0</v>
      </c>
      <c r="R198" s="228">
        <v>0</v>
      </c>
      <c r="S198" s="228">
        <v>0</v>
      </c>
      <c r="T198" s="229">
        <v>0</v>
      </c>
      <c r="U198" s="228">
        <v>0</v>
      </c>
      <c r="V198" s="228">
        <v>0</v>
      </c>
      <c r="W198" s="228">
        <v>0</v>
      </c>
      <c r="X198" s="229">
        <v>0</v>
      </c>
      <c r="Y198" s="228">
        <v>-0.8</v>
      </c>
      <c r="Z198" s="228">
        <v>0.1</v>
      </c>
      <c r="AA198" s="228">
        <v>-0.9</v>
      </c>
      <c r="AB198" s="229">
        <v>-1.4E-3</v>
      </c>
      <c r="AC198" s="228">
        <v>-0.8</v>
      </c>
      <c r="AD198" s="228">
        <v>0.1</v>
      </c>
      <c r="AE198" s="228">
        <v>-0.9</v>
      </c>
      <c r="AF198" s="229">
        <v>-1.4E-3</v>
      </c>
      <c r="AG198" s="228">
        <v>0</v>
      </c>
      <c r="AH198" s="228">
        <v>0</v>
      </c>
      <c r="AI198" s="228">
        <v>0</v>
      </c>
      <c r="AJ198" s="229">
        <v>0</v>
      </c>
      <c r="AK198" s="228">
        <v>0</v>
      </c>
      <c r="AL198" s="228">
        <v>0</v>
      </c>
      <c r="AM198" s="228">
        <v>0</v>
      </c>
      <c r="AN198" s="229">
        <v>0</v>
      </c>
      <c r="AO198" s="228">
        <v>566.9</v>
      </c>
      <c r="AP198" s="228">
        <v>0</v>
      </c>
      <c r="AQ198" s="228">
        <v>0</v>
      </c>
      <c r="AR198" s="230">
        <v>1877600</v>
      </c>
      <c r="AS198" s="230">
        <v>628800</v>
      </c>
      <c r="AT198" s="230">
        <v>1248800</v>
      </c>
      <c r="AU198" s="229">
        <v>1.986</v>
      </c>
      <c r="AV198" s="230">
        <v>1877600</v>
      </c>
      <c r="AW198" s="230">
        <v>628800</v>
      </c>
      <c r="AX198" s="230">
        <v>1248800</v>
      </c>
      <c r="AY198" s="229">
        <v>1.986</v>
      </c>
      <c r="AZ198" s="228">
        <v>0</v>
      </c>
      <c r="BA198" s="228">
        <v>0</v>
      </c>
      <c r="BB198" s="228">
        <v>0</v>
      </c>
      <c r="BC198" s="229">
        <v>0</v>
      </c>
      <c r="BD198" s="228">
        <v>0</v>
      </c>
      <c r="BE198" s="228">
        <v>0</v>
      </c>
      <c r="BF198" s="228">
        <v>0</v>
      </c>
      <c r="BG198" s="229">
        <v>0</v>
      </c>
      <c r="BH198" s="230">
        <v>2521600</v>
      </c>
      <c r="BI198" s="230">
        <v>2056000</v>
      </c>
      <c r="BJ198" s="230">
        <v>465600</v>
      </c>
      <c r="BK198" s="229">
        <v>0.22650000000000001</v>
      </c>
      <c r="BL198" s="230">
        <v>1869600</v>
      </c>
      <c r="BM198" s="230">
        <v>1097600</v>
      </c>
      <c r="BN198" s="230">
        <v>772000</v>
      </c>
      <c r="BO198" s="229">
        <v>0.70340000000000003</v>
      </c>
      <c r="BP198" s="230">
        <v>6268800</v>
      </c>
      <c r="BQ198" s="230">
        <v>3782400</v>
      </c>
      <c r="BR198" s="230">
        <v>2486400</v>
      </c>
      <c r="BS198" s="229">
        <v>0.65739999999999998</v>
      </c>
      <c r="BT198" s="230">
        <v>890833</v>
      </c>
      <c r="BU198" s="230">
        <v>791215</v>
      </c>
      <c r="BV198" s="230">
        <v>99618</v>
      </c>
      <c r="BW198" s="229">
        <v>0.12590000000000001</v>
      </c>
      <c r="BX198" s="230">
        <v>4682400</v>
      </c>
      <c r="BY198" s="230">
        <v>5592800</v>
      </c>
      <c r="BZ198" s="230">
        <v>-910400</v>
      </c>
      <c r="CA198" s="229">
        <v>-0.1628</v>
      </c>
      <c r="CB198" s="230">
        <v>4682400</v>
      </c>
      <c r="CC198" s="230">
        <v>5592800</v>
      </c>
      <c r="CD198" s="230">
        <v>-910400</v>
      </c>
      <c r="CE198" s="229">
        <v>-0.1628</v>
      </c>
      <c r="CF198" s="228">
        <v>0</v>
      </c>
      <c r="CG198" s="228">
        <v>0</v>
      </c>
      <c r="CH198" s="228">
        <v>0</v>
      </c>
      <c r="CI198" s="229">
        <v>0</v>
      </c>
      <c r="CJ198" s="228">
        <v>0</v>
      </c>
      <c r="CK198" s="228">
        <v>0</v>
      </c>
      <c r="CL198" s="228">
        <v>0</v>
      </c>
      <c r="CM198" s="229">
        <v>0</v>
      </c>
      <c r="CN198" s="230">
        <v>2712800</v>
      </c>
      <c r="CO198" s="230">
        <v>2600800</v>
      </c>
      <c r="CP198" s="230">
        <v>112000</v>
      </c>
      <c r="CQ198" s="229">
        <v>4.3099999999999999E-2</v>
      </c>
      <c r="CR198" s="230">
        <v>2123200</v>
      </c>
      <c r="CS198" s="230">
        <v>2002400</v>
      </c>
      <c r="CT198" s="230">
        <v>120800</v>
      </c>
      <c r="CU198" s="229">
        <v>6.0299999999999999E-2</v>
      </c>
      <c r="CV198" s="230">
        <v>9518400</v>
      </c>
      <c r="CW198" s="230">
        <v>10196000</v>
      </c>
      <c r="CX198" s="230">
        <v>-677600</v>
      </c>
      <c r="CY198" s="229">
        <v>-6.6500000000000004E-2</v>
      </c>
      <c r="CZ198" s="228">
        <v>33.74</v>
      </c>
      <c r="DA198" s="228">
        <v>33.46</v>
      </c>
      <c r="DB198" s="228">
        <v>0.28000000000000003</v>
      </c>
      <c r="DC198" s="228">
        <v>0.28000000000000003</v>
      </c>
      <c r="DD198" s="228">
        <v>33.74</v>
      </c>
      <c r="DE198" s="228">
        <v>33.69</v>
      </c>
      <c r="DF198" s="228">
        <v>0</v>
      </c>
      <c r="DG198" s="228">
        <v>0.05</v>
      </c>
      <c r="DH198" s="228">
        <v>33.74</v>
      </c>
      <c r="DI198" s="228">
        <v>32.47</v>
      </c>
      <c r="DJ198" s="228">
        <v>1.27</v>
      </c>
      <c r="DK198" s="228">
        <v>1.27</v>
      </c>
      <c r="DL198" s="228">
        <v>33.74</v>
      </c>
      <c r="DM198" s="228">
        <v>35.31</v>
      </c>
      <c r="DN198" s="228">
        <v>-1.57</v>
      </c>
      <c r="DO198" s="228">
        <v>-1.57</v>
      </c>
      <c r="DP198" s="228">
        <v>0.78</v>
      </c>
      <c r="DQ198" s="228">
        <v>0.77</v>
      </c>
      <c r="DR198" s="228">
        <v>0.01</v>
      </c>
      <c r="DS198" s="229">
        <v>1.2999999999999999E-2</v>
      </c>
      <c r="DT198" s="228">
        <v>600</v>
      </c>
      <c r="DU198" s="228">
        <v>550</v>
      </c>
      <c r="DV198" s="228">
        <v>0.74</v>
      </c>
      <c r="DW198" s="228">
        <v>0.53</v>
      </c>
      <c r="DX198" s="228">
        <v>0.21</v>
      </c>
      <c r="DY198" s="229">
        <v>0.3962</v>
      </c>
      <c r="DZ198" s="229">
        <v>0</v>
      </c>
      <c r="EA198" s="228">
        <v>0</v>
      </c>
      <c r="EB198" s="229">
        <v>0</v>
      </c>
      <c r="EC198" s="229">
        <v>0</v>
      </c>
      <c r="ED198" s="228">
        <v>0</v>
      </c>
      <c r="EE198" s="229">
        <v>0</v>
      </c>
      <c r="EF198" s="230">
        <v>399295</v>
      </c>
      <c r="EG198" s="230">
        <v>357414</v>
      </c>
      <c r="EH198" s="229">
        <v>0.1172</v>
      </c>
      <c r="EI198" s="229">
        <v>0.44819999999999999</v>
      </c>
      <c r="EJ198" s="231">
        <v>14827.26</v>
      </c>
      <c r="EK198" s="231">
        <v>10600.59</v>
      </c>
      <c r="EL198" s="231">
        <v>10644.12</v>
      </c>
      <c r="EM198" s="228">
        <v>918</v>
      </c>
      <c r="EN198" s="231">
        <v>36071.97</v>
      </c>
      <c r="EO198" s="231">
        <v>22160.33</v>
      </c>
      <c r="EP198" s="231">
        <v>13911.64</v>
      </c>
      <c r="EQ198" s="229">
        <v>0.62780000000000002</v>
      </c>
      <c r="ER198" s="231">
        <v>16026</v>
      </c>
      <c r="ES198" s="231">
        <v>11778</v>
      </c>
      <c r="ET198" s="231">
        <v>26348</v>
      </c>
      <c r="EU198" s="231">
        <v>27144562</v>
      </c>
      <c r="EV198" s="231">
        <v>54152</v>
      </c>
      <c r="EW198" s="231">
        <v>58706</v>
      </c>
      <c r="EX198" s="231">
        <v>-4554</v>
      </c>
      <c r="EY198" s="229">
        <v>-7.7600000000000002E-2</v>
      </c>
      <c r="EZ198" s="229">
        <v>0.35070000000000001</v>
      </c>
      <c r="FA198" s="227" t="s">
        <v>567</v>
      </c>
      <c r="FB198" s="161">
        <f t="shared" si="5"/>
        <v>0</v>
      </c>
    </row>
    <row r="199" spans="1:158" ht="17.25" thickBot="1" x14ac:dyDescent="0.3">
      <c r="A199" s="226">
        <v>46135</v>
      </c>
      <c r="B199" s="227" t="s">
        <v>221</v>
      </c>
      <c r="C199" s="227" t="s">
        <v>295</v>
      </c>
      <c r="D199" s="228">
        <v>175</v>
      </c>
      <c r="E199" s="231">
        <v>2516.9</v>
      </c>
      <c r="F199" s="231">
        <v>2529.1999999999998</v>
      </c>
      <c r="G199" s="228">
        <v>-12.3</v>
      </c>
      <c r="H199" s="229">
        <v>-4.8999999999999998E-3</v>
      </c>
      <c r="I199" s="231">
        <v>2521.8000000000002</v>
      </c>
      <c r="J199" s="231">
        <v>2538.5</v>
      </c>
      <c r="K199" s="228">
        <v>-16.7</v>
      </c>
      <c r="L199" s="229">
        <v>-6.6E-3</v>
      </c>
      <c r="M199" s="231">
        <v>2516.9</v>
      </c>
      <c r="N199" s="231">
        <v>2529.1999999999998</v>
      </c>
      <c r="O199" s="228">
        <v>-12.3</v>
      </c>
      <c r="P199" s="229">
        <v>-4.8999999999999998E-3</v>
      </c>
      <c r="Q199" s="231">
        <v>2502.4</v>
      </c>
      <c r="R199" s="231">
        <v>2530.9</v>
      </c>
      <c r="S199" s="228">
        <v>-28.5</v>
      </c>
      <c r="T199" s="229">
        <v>-1.1299999999999999E-2</v>
      </c>
      <c r="U199" s="231">
        <v>2497.3000000000002</v>
      </c>
      <c r="V199" s="231">
        <v>2530.1</v>
      </c>
      <c r="W199" s="228">
        <v>-32.799999999999997</v>
      </c>
      <c r="X199" s="229">
        <v>-1.2999999999999999E-2</v>
      </c>
      <c r="Y199" s="228">
        <v>-4.9000000000000004</v>
      </c>
      <c r="Z199" s="228">
        <v>-9.3000000000000007</v>
      </c>
      <c r="AA199" s="228">
        <v>4.4000000000000004</v>
      </c>
      <c r="AB199" s="229">
        <v>-1.9E-3</v>
      </c>
      <c r="AC199" s="228">
        <v>-4.9000000000000004</v>
      </c>
      <c r="AD199" s="228">
        <v>-9.3000000000000007</v>
      </c>
      <c r="AE199" s="228">
        <v>4.4000000000000004</v>
      </c>
      <c r="AF199" s="229">
        <v>-1.9E-3</v>
      </c>
      <c r="AG199" s="228">
        <v>-19.399999999999999</v>
      </c>
      <c r="AH199" s="228">
        <v>-7.6</v>
      </c>
      <c r="AI199" s="228">
        <v>-11.8</v>
      </c>
      <c r="AJ199" s="229">
        <v>-7.7000000000000002E-3</v>
      </c>
      <c r="AK199" s="228">
        <v>-24.5</v>
      </c>
      <c r="AL199" s="228">
        <v>-8.4</v>
      </c>
      <c r="AM199" s="228">
        <v>-16.100000000000001</v>
      </c>
      <c r="AN199" s="229">
        <v>-9.7000000000000003E-3</v>
      </c>
      <c r="AO199" s="231">
        <v>2537.37</v>
      </c>
      <c r="AP199" s="231">
        <v>2523.3000000000002</v>
      </c>
      <c r="AQ199" s="228">
        <v>0</v>
      </c>
      <c r="AR199" s="230">
        <v>21437850</v>
      </c>
      <c r="AS199" s="230">
        <v>8652175</v>
      </c>
      <c r="AT199" s="230">
        <v>12785675</v>
      </c>
      <c r="AU199" s="229">
        <v>1.4777</v>
      </c>
      <c r="AV199" s="230">
        <v>10707550</v>
      </c>
      <c r="AW199" s="230">
        <v>6003725</v>
      </c>
      <c r="AX199" s="230">
        <v>4703825</v>
      </c>
      <c r="AY199" s="229">
        <v>0.78349999999999997</v>
      </c>
      <c r="AZ199" s="230">
        <v>10189550</v>
      </c>
      <c r="BA199" s="230">
        <v>2323825</v>
      </c>
      <c r="BB199" s="230">
        <v>7865725</v>
      </c>
      <c r="BC199" s="229">
        <v>3.3847999999999998</v>
      </c>
      <c r="BD199" s="230">
        <v>540750</v>
      </c>
      <c r="BE199" s="230">
        <v>324625</v>
      </c>
      <c r="BF199" s="230">
        <v>216125</v>
      </c>
      <c r="BG199" s="229">
        <v>0.66579999999999995</v>
      </c>
      <c r="BH199" s="230">
        <v>23879275</v>
      </c>
      <c r="BI199" s="230">
        <v>41686750</v>
      </c>
      <c r="BJ199" s="230">
        <v>-17807475</v>
      </c>
      <c r="BK199" s="229">
        <v>-0.42720000000000002</v>
      </c>
      <c r="BL199" s="230">
        <v>13696725</v>
      </c>
      <c r="BM199" s="230">
        <v>25130700</v>
      </c>
      <c r="BN199" s="230">
        <v>-11433975</v>
      </c>
      <c r="BO199" s="229">
        <v>-0.45500000000000002</v>
      </c>
      <c r="BP199" s="230">
        <v>59013850</v>
      </c>
      <c r="BQ199" s="230">
        <v>75469625</v>
      </c>
      <c r="BR199" s="230">
        <v>-16455775</v>
      </c>
      <c r="BS199" s="229">
        <v>-0.218</v>
      </c>
      <c r="BT199" s="230">
        <v>2715816</v>
      </c>
      <c r="BU199" s="230">
        <v>5533440</v>
      </c>
      <c r="BV199" s="230">
        <v>-2817624</v>
      </c>
      <c r="BW199" s="229">
        <v>-0.50919999999999999</v>
      </c>
      <c r="BX199" s="230">
        <v>36055600</v>
      </c>
      <c r="BY199" s="230">
        <v>36884050</v>
      </c>
      <c r="BZ199" s="230">
        <v>-828450</v>
      </c>
      <c r="CA199" s="229">
        <v>-2.2499999999999999E-2</v>
      </c>
      <c r="CB199" s="230">
        <v>24370150</v>
      </c>
      <c r="CC199" s="230">
        <v>30850400</v>
      </c>
      <c r="CD199" s="230">
        <v>-6480250</v>
      </c>
      <c r="CE199" s="229">
        <v>-0.21010000000000001</v>
      </c>
      <c r="CF199" s="230">
        <v>10458000</v>
      </c>
      <c r="CG199" s="230">
        <v>5119625</v>
      </c>
      <c r="CH199" s="230">
        <v>5338375</v>
      </c>
      <c r="CI199" s="229">
        <v>1.0427</v>
      </c>
      <c r="CJ199" s="230">
        <v>1227450</v>
      </c>
      <c r="CK199" s="230">
        <v>914025</v>
      </c>
      <c r="CL199" s="230">
        <v>313425</v>
      </c>
      <c r="CM199" s="229">
        <v>0.34289999999999998</v>
      </c>
      <c r="CN199" s="230">
        <v>18975775</v>
      </c>
      <c r="CO199" s="230">
        <v>18209275</v>
      </c>
      <c r="CP199" s="230">
        <v>766500</v>
      </c>
      <c r="CQ199" s="229">
        <v>4.2099999999999999E-2</v>
      </c>
      <c r="CR199" s="230">
        <v>11519025</v>
      </c>
      <c r="CS199" s="230">
        <v>10989650</v>
      </c>
      <c r="CT199" s="230">
        <v>529375</v>
      </c>
      <c r="CU199" s="229">
        <v>4.82E-2</v>
      </c>
      <c r="CV199" s="230">
        <v>66550400</v>
      </c>
      <c r="CW199" s="230">
        <v>66082975</v>
      </c>
      <c r="CX199" s="230">
        <v>467425</v>
      </c>
      <c r="CY199" s="229">
        <v>7.1000000000000004E-3</v>
      </c>
      <c r="CZ199" s="228">
        <v>26.97</v>
      </c>
      <c r="DA199" s="228">
        <v>26.4</v>
      </c>
      <c r="DB199" s="228">
        <v>0.56999999999999995</v>
      </c>
      <c r="DC199" s="228">
        <v>0.56999999999999995</v>
      </c>
      <c r="DD199" s="228">
        <v>27.37</v>
      </c>
      <c r="DE199" s="228">
        <v>27.42</v>
      </c>
      <c r="DF199" s="228">
        <v>-0.4</v>
      </c>
      <c r="DG199" s="228">
        <v>-0.05</v>
      </c>
      <c r="DH199" s="228">
        <v>27.29</v>
      </c>
      <c r="DI199" s="228">
        <v>25.44</v>
      </c>
      <c r="DJ199" s="228">
        <v>1.85</v>
      </c>
      <c r="DK199" s="228">
        <v>1.85</v>
      </c>
      <c r="DL199" s="228">
        <v>26.47</v>
      </c>
      <c r="DM199" s="228">
        <v>27.98</v>
      </c>
      <c r="DN199" s="228">
        <v>-1.51</v>
      </c>
      <c r="DO199" s="228">
        <v>-1.51</v>
      </c>
      <c r="DP199" s="228">
        <v>0.61</v>
      </c>
      <c r="DQ199" s="228">
        <v>0.6</v>
      </c>
      <c r="DR199" s="228">
        <v>0.01</v>
      </c>
      <c r="DS199" s="229">
        <v>1.67E-2</v>
      </c>
      <c r="DT199" s="231">
        <v>2600</v>
      </c>
      <c r="DU199" s="231">
        <v>2400</v>
      </c>
      <c r="DV199" s="228">
        <v>0.56999999999999995</v>
      </c>
      <c r="DW199" s="228">
        <v>0.6</v>
      </c>
      <c r="DX199" s="228">
        <v>-0.03</v>
      </c>
      <c r="DY199" s="229">
        <v>-0.05</v>
      </c>
      <c r="DZ199" s="229">
        <v>0.3241</v>
      </c>
      <c r="EA199" s="230">
        <v>6033650</v>
      </c>
      <c r="EB199" s="229">
        <v>-5.7999999999999996E-3</v>
      </c>
      <c r="EC199" s="229">
        <v>0.3241</v>
      </c>
      <c r="ED199" s="228">
        <v>-14.07</v>
      </c>
      <c r="EE199" s="229">
        <v>-5.4999999999999997E-3</v>
      </c>
      <c r="EF199" s="230">
        <v>1240471</v>
      </c>
      <c r="EG199" s="230">
        <v>3020997</v>
      </c>
      <c r="EH199" s="229">
        <v>-0.58940000000000003</v>
      </c>
      <c r="EI199" s="229">
        <v>0.45679999999999998</v>
      </c>
      <c r="EJ199" s="231">
        <v>627321.71</v>
      </c>
      <c r="EK199" s="231">
        <v>348142.06</v>
      </c>
      <c r="EL199" s="231">
        <v>542407.5</v>
      </c>
      <c r="EM199" s="231">
        <v>26788</v>
      </c>
      <c r="EN199" s="231">
        <v>1517871.27</v>
      </c>
      <c r="EO199" s="231">
        <v>1951317.96</v>
      </c>
      <c r="EP199" s="231">
        <v>-433446.69</v>
      </c>
      <c r="EQ199" s="229">
        <v>-0.22209999999999999</v>
      </c>
      <c r="ER199" s="231">
        <v>501585</v>
      </c>
      <c r="ES199" s="231">
        <v>292055</v>
      </c>
      <c r="ET199" s="231">
        <v>905726</v>
      </c>
      <c r="EU199" s="231">
        <v>153229333</v>
      </c>
      <c r="EV199" s="231">
        <v>1699367</v>
      </c>
      <c r="EW199" s="231">
        <v>1693843</v>
      </c>
      <c r="EX199" s="231">
        <v>5524</v>
      </c>
      <c r="EY199" s="229">
        <v>3.3E-3</v>
      </c>
      <c r="EZ199" s="229">
        <v>0.43430000000000002</v>
      </c>
      <c r="FA199" s="227" t="s">
        <v>567</v>
      </c>
      <c r="FB199" s="161">
        <f t="shared" si="5"/>
        <v>0</v>
      </c>
    </row>
    <row r="200" spans="1:158" ht="17.25" thickBot="1" x14ac:dyDescent="0.3">
      <c r="A200" s="226">
        <v>46135</v>
      </c>
      <c r="B200" s="227" t="s">
        <v>221</v>
      </c>
      <c r="C200" s="227" t="s">
        <v>296</v>
      </c>
      <c r="D200" s="228">
        <v>600</v>
      </c>
      <c r="E200" s="231">
        <v>1424.8</v>
      </c>
      <c r="F200" s="231">
        <v>1466.7</v>
      </c>
      <c r="G200" s="228">
        <v>-41.9</v>
      </c>
      <c r="H200" s="229">
        <v>-2.86E-2</v>
      </c>
      <c r="I200" s="231">
        <v>1421.5</v>
      </c>
      <c r="J200" s="231">
        <v>1462.6</v>
      </c>
      <c r="K200" s="228">
        <v>-41.1</v>
      </c>
      <c r="L200" s="229">
        <v>-2.81E-2</v>
      </c>
      <c r="M200" s="231">
        <v>1424.8</v>
      </c>
      <c r="N200" s="231">
        <v>1466.7</v>
      </c>
      <c r="O200" s="228">
        <v>-41.9</v>
      </c>
      <c r="P200" s="229">
        <v>-2.86E-2</v>
      </c>
      <c r="Q200" s="231">
        <v>1420.5</v>
      </c>
      <c r="R200" s="231">
        <v>1468.5</v>
      </c>
      <c r="S200" s="228">
        <v>-48</v>
      </c>
      <c r="T200" s="229">
        <v>-3.27E-2</v>
      </c>
      <c r="U200" s="231">
        <v>1419.6</v>
      </c>
      <c r="V200" s="231">
        <v>1474.6</v>
      </c>
      <c r="W200" s="228">
        <v>-55</v>
      </c>
      <c r="X200" s="229">
        <v>-3.73E-2</v>
      </c>
      <c r="Y200" s="228">
        <v>3.3</v>
      </c>
      <c r="Z200" s="228">
        <v>4.0999999999999996</v>
      </c>
      <c r="AA200" s="228">
        <v>-0.8</v>
      </c>
      <c r="AB200" s="229">
        <v>2.3E-3</v>
      </c>
      <c r="AC200" s="228">
        <v>3.3</v>
      </c>
      <c r="AD200" s="228">
        <v>4.0999999999999996</v>
      </c>
      <c r="AE200" s="228">
        <v>-0.8</v>
      </c>
      <c r="AF200" s="229">
        <v>2.3E-3</v>
      </c>
      <c r="AG200" s="228">
        <v>-1</v>
      </c>
      <c r="AH200" s="228">
        <v>5.9</v>
      </c>
      <c r="AI200" s="228">
        <v>-6.9</v>
      </c>
      <c r="AJ200" s="229">
        <v>-6.9999999999999999E-4</v>
      </c>
      <c r="AK200" s="228">
        <v>-1.9</v>
      </c>
      <c r="AL200" s="228">
        <v>12</v>
      </c>
      <c r="AM200" s="228">
        <v>-13.9</v>
      </c>
      <c r="AN200" s="229">
        <v>-1.2999999999999999E-3</v>
      </c>
      <c r="AO200" s="231">
        <v>1436.5</v>
      </c>
      <c r="AP200" s="231">
        <v>1431.9</v>
      </c>
      <c r="AQ200" s="228">
        <v>0</v>
      </c>
      <c r="AR200" s="230">
        <v>19875600</v>
      </c>
      <c r="AS200" s="230">
        <v>21679200</v>
      </c>
      <c r="AT200" s="230">
        <v>-1803600</v>
      </c>
      <c r="AU200" s="229">
        <v>-8.3199999999999996E-2</v>
      </c>
      <c r="AV200" s="230">
        <v>10483800</v>
      </c>
      <c r="AW200" s="230">
        <v>16988400</v>
      </c>
      <c r="AX200" s="230">
        <v>-6504600</v>
      </c>
      <c r="AY200" s="229">
        <v>-0.38290000000000002</v>
      </c>
      <c r="AZ200" s="230">
        <v>9143400</v>
      </c>
      <c r="BA200" s="230">
        <v>4512000</v>
      </c>
      <c r="BB200" s="230">
        <v>4631400</v>
      </c>
      <c r="BC200" s="229">
        <v>1.0265</v>
      </c>
      <c r="BD200" s="230">
        <v>248400</v>
      </c>
      <c r="BE200" s="230">
        <v>178800</v>
      </c>
      <c r="BF200" s="230">
        <v>69600</v>
      </c>
      <c r="BG200" s="229">
        <v>0.38929999999999998</v>
      </c>
      <c r="BH200" s="230">
        <v>46210800</v>
      </c>
      <c r="BI200" s="230">
        <v>115022400</v>
      </c>
      <c r="BJ200" s="230">
        <v>-68811600</v>
      </c>
      <c r="BK200" s="229">
        <v>-0.59819999999999995</v>
      </c>
      <c r="BL200" s="230">
        <v>24505800</v>
      </c>
      <c r="BM200" s="230">
        <v>76855800</v>
      </c>
      <c r="BN200" s="230">
        <v>-52350000</v>
      </c>
      <c r="BO200" s="229">
        <v>-0.68110000000000004</v>
      </c>
      <c r="BP200" s="230">
        <v>90592200</v>
      </c>
      <c r="BQ200" s="230">
        <v>213557400</v>
      </c>
      <c r="BR200" s="230">
        <v>-122965200</v>
      </c>
      <c r="BS200" s="229">
        <v>-0.57579999999999998</v>
      </c>
      <c r="BT200" s="230">
        <v>4323764</v>
      </c>
      <c r="BU200" s="230">
        <v>12203411</v>
      </c>
      <c r="BV200" s="230">
        <v>-7879647</v>
      </c>
      <c r="BW200" s="229">
        <v>-0.64570000000000005</v>
      </c>
      <c r="BX200" s="230">
        <v>19813200</v>
      </c>
      <c r="BY200" s="230">
        <v>19483800</v>
      </c>
      <c r="BZ200" s="230">
        <v>329400</v>
      </c>
      <c r="CA200" s="229">
        <v>1.6899999999999998E-2</v>
      </c>
      <c r="CB200" s="230">
        <v>11574600</v>
      </c>
      <c r="CC200" s="230">
        <v>16849800</v>
      </c>
      <c r="CD200" s="230">
        <v>-5275200</v>
      </c>
      <c r="CE200" s="229">
        <v>-0.31309999999999999</v>
      </c>
      <c r="CF200" s="230">
        <v>8011200</v>
      </c>
      <c r="CG200" s="230">
        <v>2449800</v>
      </c>
      <c r="CH200" s="230">
        <v>5561400</v>
      </c>
      <c r="CI200" s="229">
        <v>2.2700999999999998</v>
      </c>
      <c r="CJ200" s="230">
        <v>227400</v>
      </c>
      <c r="CK200" s="230">
        <v>184200</v>
      </c>
      <c r="CL200" s="230">
        <v>43200</v>
      </c>
      <c r="CM200" s="229">
        <v>0.23449999999999999</v>
      </c>
      <c r="CN200" s="230">
        <v>12700800</v>
      </c>
      <c r="CO200" s="230">
        <v>11309400</v>
      </c>
      <c r="CP200" s="230">
        <v>1391400</v>
      </c>
      <c r="CQ200" s="229">
        <v>0.123</v>
      </c>
      <c r="CR200" s="230">
        <v>6052800</v>
      </c>
      <c r="CS200" s="230">
        <v>7930200</v>
      </c>
      <c r="CT200" s="230">
        <v>-1877400</v>
      </c>
      <c r="CU200" s="229">
        <v>-0.23669999999999999</v>
      </c>
      <c r="CV200" s="230">
        <v>38566800</v>
      </c>
      <c r="CW200" s="230">
        <v>38723400</v>
      </c>
      <c r="CX200" s="230">
        <v>-156600</v>
      </c>
      <c r="CY200" s="229">
        <v>-4.0000000000000001E-3</v>
      </c>
      <c r="CZ200" s="228">
        <v>31.9</v>
      </c>
      <c r="DA200" s="228">
        <v>40.799999999999997</v>
      </c>
      <c r="DB200" s="228">
        <v>-8.9</v>
      </c>
      <c r="DC200" s="228">
        <v>-8.9</v>
      </c>
      <c r="DD200" s="228">
        <v>31.43</v>
      </c>
      <c r="DE200" s="228">
        <v>31.27</v>
      </c>
      <c r="DF200" s="228">
        <v>0.47</v>
      </c>
      <c r="DG200" s="228">
        <v>0.16</v>
      </c>
      <c r="DH200" s="228">
        <v>31.92</v>
      </c>
      <c r="DI200" s="228">
        <v>39.380000000000003</v>
      </c>
      <c r="DJ200" s="228">
        <v>-7.46</v>
      </c>
      <c r="DK200" s="228">
        <v>-7.46</v>
      </c>
      <c r="DL200" s="228">
        <v>31.87</v>
      </c>
      <c r="DM200" s="228">
        <v>42.92</v>
      </c>
      <c r="DN200" s="228">
        <v>-11.05</v>
      </c>
      <c r="DO200" s="228">
        <v>-11.05</v>
      </c>
      <c r="DP200" s="228">
        <v>0.48</v>
      </c>
      <c r="DQ200" s="228">
        <v>0.7</v>
      </c>
      <c r="DR200" s="228">
        <v>-0.22</v>
      </c>
      <c r="DS200" s="229">
        <v>-0.31430000000000002</v>
      </c>
      <c r="DT200" s="231">
        <v>1500</v>
      </c>
      <c r="DU200" s="231">
        <v>1400</v>
      </c>
      <c r="DV200" s="228">
        <v>0.53</v>
      </c>
      <c r="DW200" s="228">
        <v>0.67</v>
      </c>
      <c r="DX200" s="228">
        <v>-0.14000000000000001</v>
      </c>
      <c r="DY200" s="229">
        <v>-0.20899999999999999</v>
      </c>
      <c r="DZ200" s="229">
        <v>0.4158</v>
      </c>
      <c r="EA200" s="230">
        <v>2634000</v>
      </c>
      <c r="EB200" s="229">
        <v>-3.0000000000000001E-3</v>
      </c>
      <c r="EC200" s="229">
        <v>0.4158</v>
      </c>
      <c r="ED200" s="228">
        <v>-4.5999999999999996</v>
      </c>
      <c r="EE200" s="229">
        <v>-3.2000000000000002E-3</v>
      </c>
      <c r="EF200" s="230">
        <v>1972888</v>
      </c>
      <c r="EG200" s="230">
        <v>4328643</v>
      </c>
      <c r="EH200" s="229">
        <v>-0.54420000000000002</v>
      </c>
      <c r="EI200" s="229">
        <v>0.45629999999999998</v>
      </c>
      <c r="EJ200" s="231">
        <v>696500.93</v>
      </c>
      <c r="EK200" s="231">
        <v>348280.43</v>
      </c>
      <c r="EL200" s="231">
        <v>285078.71999999997</v>
      </c>
      <c r="EM200" s="231">
        <v>11268</v>
      </c>
      <c r="EN200" s="231">
        <v>1329860.08</v>
      </c>
      <c r="EO200" s="231">
        <v>3178501.74</v>
      </c>
      <c r="EP200" s="231">
        <v>-1848641.66</v>
      </c>
      <c r="EQ200" s="229">
        <v>-0.58160000000000001</v>
      </c>
      <c r="ER200" s="231">
        <v>192736</v>
      </c>
      <c r="ES200" s="231">
        <v>85303</v>
      </c>
      <c r="ET200" s="231">
        <v>281942</v>
      </c>
      <c r="EU200" s="231">
        <v>95553300</v>
      </c>
      <c r="EV200" s="231">
        <v>559981</v>
      </c>
      <c r="EW200" s="231">
        <v>570195</v>
      </c>
      <c r="EX200" s="231">
        <v>-10214</v>
      </c>
      <c r="EY200" s="229">
        <v>-1.7899999999999999E-2</v>
      </c>
      <c r="EZ200" s="229">
        <v>0.40360000000000001</v>
      </c>
      <c r="FA200" s="227" t="s">
        <v>566</v>
      </c>
      <c r="FB200" s="161">
        <f t="shared" si="5"/>
        <v>0</v>
      </c>
    </row>
    <row r="201" spans="1:158" ht="17.25" thickBot="1" x14ac:dyDescent="0.3">
      <c r="A201" s="226">
        <v>46135</v>
      </c>
      <c r="B201" s="227" t="s">
        <v>184</v>
      </c>
      <c r="C201" s="227" t="s">
        <v>594</v>
      </c>
      <c r="D201" s="228">
        <v>200</v>
      </c>
      <c r="E201" s="231">
        <v>3099</v>
      </c>
      <c r="F201" s="231">
        <v>3027.7</v>
      </c>
      <c r="G201" s="228">
        <v>71.3</v>
      </c>
      <c r="H201" s="229">
        <v>2.35E-2</v>
      </c>
      <c r="I201" s="231">
        <v>3086.8</v>
      </c>
      <c r="J201" s="231">
        <v>3024.4</v>
      </c>
      <c r="K201" s="228">
        <v>62.4</v>
      </c>
      <c r="L201" s="229">
        <v>2.06E-2</v>
      </c>
      <c r="M201" s="231">
        <v>3099</v>
      </c>
      <c r="N201" s="231">
        <v>3027.7</v>
      </c>
      <c r="O201" s="228">
        <v>71.3</v>
      </c>
      <c r="P201" s="229">
        <v>2.35E-2</v>
      </c>
      <c r="Q201" s="231">
        <v>3102.8</v>
      </c>
      <c r="R201" s="231">
        <v>3041.3</v>
      </c>
      <c r="S201" s="228">
        <v>61.5</v>
      </c>
      <c r="T201" s="229">
        <v>2.0199999999999999E-2</v>
      </c>
      <c r="U201" s="231">
        <v>3111.6</v>
      </c>
      <c r="V201" s="231">
        <v>3055</v>
      </c>
      <c r="W201" s="228">
        <v>56.6</v>
      </c>
      <c r="X201" s="229">
        <v>1.8499999999999999E-2</v>
      </c>
      <c r="Y201" s="228">
        <v>12.2</v>
      </c>
      <c r="Z201" s="228">
        <v>3.3</v>
      </c>
      <c r="AA201" s="228">
        <v>8.9</v>
      </c>
      <c r="AB201" s="229">
        <v>4.0000000000000001E-3</v>
      </c>
      <c r="AC201" s="228">
        <v>12.2</v>
      </c>
      <c r="AD201" s="228">
        <v>3.3</v>
      </c>
      <c r="AE201" s="228">
        <v>8.9</v>
      </c>
      <c r="AF201" s="229">
        <v>4.0000000000000001E-3</v>
      </c>
      <c r="AG201" s="228">
        <v>16</v>
      </c>
      <c r="AH201" s="228">
        <v>16.899999999999999</v>
      </c>
      <c r="AI201" s="228">
        <v>-0.9</v>
      </c>
      <c r="AJ201" s="229">
        <v>5.1999999999999998E-3</v>
      </c>
      <c r="AK201" s="228">
        <v>24.8</v>
      </c>
      <c r="AL201" s="228">
        <v>30.6</v>
      </c>
      <c r="AM201" s="228">
        <v>-5.8</v>
      </c>
      <c r="AN201" s="229">
        <v>8.0000000000000002E-3</v>
      </c>
      <c r="AO201" s="231">
        <v>3101.32</v>
      </c>
      <c r="AP201" s="231">
        <v>3097.67</v>
      </c>
      <c r="AQ201" s="228">
        <v>0</v>
      </c>
      <c r="AR201" s="230">
        <v>2432800</v>
      </c>
      <c r="AS201" s="230">
        <v>571800</v>
      </c>
      <c r="AT201" s="230">
        <v>1861000</v>
      </c>
      <c r="AU201" s="229">
        <v>3.2545999999999999</v>
      </c>
      <c r="AV201" s="230">
        <v>1347200</v>
      </c>
      <c r="AW201" s="230">
        <v>448600</v>
      </c>
      <c r="AX201" s="230">
        <v>898600</v>
      </c>
      <c r="AY201" s="229">
        <v>2.0030999999999999</v>
      </c>
      <c r="AZ201" s="230">
        <v>1079000</v>
      </c>
      <c r="BA201" s="230">
        <v>120400</v>
      </c>
      <c r="BB201" s="230">
        <v>958600</v>
      </c>
      <c r="BC201" s="229">
        <v>7.9618000000000002</v>
      </c>
      <c r="BD201" s="230">
        <v>6600</v>
      </c>
      <c r="BE201" s="230">
        <v>2800</v>
      </c>
      <c r="BF201" s="230">
        <v>3800</v>
      </c>
      <c r="BG201" s="229">
        <v>1.3571</v>
      </c>
      <c r="BH201" s="230">
        <v>3463600</v>
      </c>
      <c r="BI201" s="230">
        <v>4131400</v>
      </c>
      <c r="BJ201" s="230">
        <v>-667800</v>
      </c>
      <c r="BK201" s="229">
        <v>-0.16159999999999999</v>
      </c>
      <c r="BL201" s="230">
        <v>1470000</v>
      </c>
      <c r="BM201" s="230">
        <v>1507000</v>
      </c>
      <c r="BN201" s="230">
        <v>-37000</v>
      </c>
      <c r="BO201" s="229">
        <v>-2.46E-2</v>
      </c>
      <c r="BP201" s="230">
        <v>7366400</v>
      </c>
      <c r="BQ201" s="230">
        <v>6210200</v>
      </c>
      <c r="BR201" s="230">
        <v>1156200</v>
      </c>
      <c r="BS201" s="229">
        <v>0.1862</v>
      </c>
      <c r="BT201" s="230">
        <v>798534</v>
      </c>
      <c r="BU201" s="230">
        <v>559785</v>
      </c>
      <c r="BV201" s="230">
        <v>238749</v>
      </c>
      <c r="BW201" s="229">
        <v>0.42649999999999999</v>
      </c>
      <c r="BX201" s="230">
        <v>2542000</v>
      </c>
      <c r="BY201" s="230">
        <v>2524200</v>
      </c>
      <c r="BZ201" s="230">
        <v>17800</v>
      </c>
      <c r="CA201" s="229">
        <v>7.1000000000000004E-3</v>
      </c>
      <c r="CB201" s="230">
        <v>1711800</v>
      </c>
      <c r="CC201" s="230">
        <v>2368000</v>
      </c>
      <c r="CD201" s="230">
        <v>-656200</v>
      </c>
      <c r="CE201" s="229">
        <v>-0.27710000000000001</v>
      </c>
      <c r="CF201" s="230">
        <v>824600</v>
      </c>
      <c r="CG201" s="230">
        <v>151200</v>
      </c>
      <c r="CH201" s="230">
        <v>673400</v>
      </c>
      <c r="CI201" s="229">
        <v>4.4537000000000004</v>
      </c>
      <c r="CJ201" s="230">
        <v>5600</v>
      </c>
      <c r="CK201" s="230">
        <v>5000</v>
      </c>
      <c r="CL201" s="228">
        <v>600</v>
      </c>
      <c r="CM201" s="229">
        <v>0.12</v>
      </c>
      <c r="CN201" s="230">
        <v>841600</v>
      </c>
      <c r="CO201" s="230">
        <v>731600</v>
      </c>
      <c r="CP201" s="230">
        <v>110000</v>
      </c>
      <c r="CQ201" s="229">
        <v>0.15040000000000001</v>
      </c>
      <c r="CR201" s="230">
        <v>701800</v>
      </c>
      <c r="CS201" s="230">
        <v>620600</v>
      </c>
      <c r="CT201" s="230">
        <v>81200</v>
      </c>
      <c r="CU201" s="229">
        <v>0.1308</v>
      </c>
      <c r="CV201" s="230">
        <v>4085400</v>
      </c>
      <c r="CW201" s="230">
        <v>3876400</v>
      </c>
      <c r="CX201" s="230">
        <v>209000</v>
      </c>
      <c r="CY201" s="229">
        <v>5.3900000000000003E-2</v>
      </c>
      <c r="CZ201" s="228">
        <v>37.74</v>
      </c>
      <c r="DA201" s="228">
        <v>35.369999999999997</v>
      </c>
      <c r="DB201" s="228">
        <v>2.37</v>
      </c>
      <c r="DC201" s="228">
        <v>2.37</v>
      </c>
      <c r="DD201" s="228">
        <v>44.39</v>
      </c>
      <c r="DE201" s="228">
        <v>44.39</v>
      </c>
      <c r="DF201" s="228">
        <v>-6.65</v>
      </c>
      <c r="DG201" s="228">
        <v>0</v>
      </c>
      <c r="DH201" s="228">
        <v>36.83</v>
      </c>
      <c r="DI201" s="228">
        <v>34.5</v>
      </c>
      <c r="DJ201" s="228">
        <v>2.33</v>
      </c>
      <c r="DK201" s="228">
        <v>2.33</v>
      </c>
      <c r="DL201" s="228">
        <v>40.26</v>
      </c>
      <c r="DM201" s="228">
        <v>37.76</v>
      </c>
      <c r="DN201" s="228">
        <v>2.5</v>
      </c>
      <c r="DO201" s="228">
        <v>2.5</v>
      </c>
      <c r="DP201" s="228">
        <v>0.83</v>
      </c>
      <c r="DQ201" s="228">
        <v>0.85</v>
      </c>
      <c r="DR201" s="228">
        <v>-0.02</v>
      </c>
      <c r="DS201" s="229">
        <v>-2.35E-2</v>
      </c>
      <c r="DT201" s="231">
        <v>3200</v>
      </c>
      <c r="DU201" s="231">
        <v>3000</v>
      </c>
      <c r="DV201" s="228">
        <v>0.42</v>
      </c>
      <c r="DW201" s="228">
        <v>0.36</v>
      </c>
      <c r="DX201" s="228">
        <v>0.06</v>
      </c>
      <c r="DY201" s="229">
        <v>0.16669999999999999</v>
      </c>
      <c r="DZ201" s="229">
        <v>0.3266</v>
      </c>
      <c r="EA201" s="230">
        <v>156200</v>
      </c>
      <c r="EB201" s="229">
        <v>1.1999999999999999E-3</v>
      </c>
      <c r="EC201" s="229">
        <v>0.3266</v>
      </c>
      <c r="ED201" s="228">
        <v>-3.65</v>
      </c>
      <c r="EE201" s="229">
        <v>-1.1999999999999999E-3</v>
      </c>
      <c r="EF201" s="230">
        <v>356186</v>
      </c>
      <c r="EG201" s="230">
        <v>229584</v>
      </c>
      <c r="EH201" s="229">
        <v>0.5514</v>
      </c>
      <c r="EI201" s="229">
        <v>0.44600000000000001</v>
      </c>
      <c r="EJ201" s="231">
        <v>110419.84</v>
      </c>
      <c r="EK201" s="231">
        <v>43953.09</v>
      </c>
      <c r="EL201" s="231">
        <v>75410.81</v>
      </c>
      <c r="EM201" s="231">
        <v>2184</v>
      </c>
      <c r="EN201" s="231">
        <v>229783.74</v>
      </c>
      <c r="EO201" s="231">
        <v>187333.86</v>
      </c>
      <c r="EP201" s="231">
        <v>42449.88</v>
      </c>
      <c r="EQ201" s="229">
        <v>0.2266</v>
      </c>
      <c r="ER201" s="231">
        <v>25329</v>
      </c>
      <c r="ES201" s="231">
        <v>19903</v>
      </c>
      <c r="ET201" s="231">
        <v>78809</v>
      </c>
      <c r="EU201" s="231">
        <v>16239060</v>
      </c>
      <c r="EV201" s="231">
        <v>124040</v>
      </c>
      <c r="EW201" s="231">
        <v>115259</v>
      </c>
      <c r="EX201" s="231">
        <v>8781</v>
      </c>
      <c r="EY201" s="229">
        <v>7.6200000000000004E-2</v>
      </c>
      <c r="EZ201" s="229">
        <v>0.25159999999999999</v>
      </c>
      <c r="FA201" s="227" t="s">
        <v>555</v>
      </c>
      <c r="FB201" s="161">
        <f t="shared" si="5"/>
        <v>0</v>
      </c>
    </row>
    <row r="202" spans="1:158" ht="17.25" thickBot="1" x14ac:dyDescent="0.3">
      <c r="A202" s="226">
        <v>46135</v>
      </c>
      <c r="B202" s="227" t="s">
        <v>168</v>
      </c>
      <c r="C202" s="227" t="s">
        <v>297</v>
      </c>
      <c r="D202" s="228">
        <v>175</v>
      </c>
      <c r="E202" s="231">
        <v>4453.5</v>
      </c>
      <c r="F202" s="231">
        <v>4455.6000000000004</v>
      </c>
      <c r="G202" s="228">
        <v>-2.1</v>
      </c>
      <c r="H202" s="229">
        <v>-5.0000000000000001E-4</v>
      </c>
      <c r="I202" s="231">
        <v>4456.5</v>
      </c>
      <c r="J202" s="231">
        <v>4454.6000000000004</v>
      </c>
      <c r="K202" s="228">
        <v>1.9</v>
      </c>
      <c r="L202" s="229">
        <v>4.0000000000000002E-4</v>
      </c>
      <c r="M202" s="231">
        <v>4453.5</v>
      </c>
      <c r="N202" s="231">
        <v>4455.6000000000004</v>
      </c>
      <c r="O202" s="228">
        <v>-2.1</v>
      </c>
      <c r="P202" s="229">
        <v>-5.0000000000000001E-4</v>
      </c>
      <c r="Q202" s="231">
        <v>4478</v>
      </c>
      <c r="R202" s="231">
        <v>4479.6000000000004</v>
      </c>
      <c r="S202" s="228">
        <v>-1.6</v>
      </c>
      <c r="T202" s="229">
        <v>-4.0000000000000002E-4</v>
      </c>
      <c r="U202" s="231">
        <v>4504.5</v>
      </c>
      <c r="V202" s="231">
        <v>4510.8</v>
      </c>
      <c r="W202" s="228">
        <v>-6.3</v>
      </c>
      <c r="X202" s="229">
        <v>-1.4E-3</v>
      </c>
      <c r="Y202" s="228">
        <v>-3</v>
      </c>
      <c r="Z202" s="228">
        <v>1</v>
      </c>
      <c r="AA202" s="228">
        <v>-4</v>
      </c>
      <c r="AB202" s="229">
        <v>-6.9999999999999999E-4</v>
      </c>
      <c r="AC202" s="228">
        <v>-3</v>
      </c>
      <c r="AD202" s="228">
        <v>1</v>
      </c>
      <c r="AE202" s="228">
        <v>-4</v>
      </c>
      <c r="AF202" s="229">
        <v>-6.9999999999999999E-4</v>
      </c>
      <c r="AG202" s="228">
        <v>21.5</v>
      </c>
      <c r="AH202" s="228">
        <v>25</v>
      </c>
      <c r="AI202" s="228">
        <v>-3.5</v>
      </c>
      <c r="AJ202" s="229">
        <v>4.7999999999999996E-3</v>
      </c>
      <c r="AK202" s="228">
        <v>48</v>
      </c>
      <c r="AL202" s="228">
        <v>56.2</v>
      </c>
      <c r="AM202" s="228">
        <v>-8.1999999999999993</v>
      </c>
      <c r="AN202" s="229">
        <v>1.0800000000000001E-2</v>
      </c>
      <c r="AO202" s="231">
        <v>4448.63</v>
      </c>
      <c r="AP202" s="231">
        <v>4474.21</v>
      </c>
      <c r="AQ202" s="228">
        <v>0</v>
      </c>
      <c r="AR202" s="230">
        <v>3889200</v>
      </c>
      <c r="AS202" s="230">
        <v>1040900</v>
      </c>
      <c r="AT202" s="230">
        <v>2848300</v>
      </c>
      <c r="AU202" s="229">
        <v>2.7364000000000002</v>
      </c>
      <c r="AV202" s="230">
        <v>1992550</v>
      </c>
      <c r="AW202" s="230">
        <v>663425</v>
      </c>
      <c r="AX202" s="230">
        <v>1329125</v>
      </c>
      <c r="AY202" s="229">
        <v>2.0034000000000001</v>
      </c>
      <c r="AZ202" s="230">
        <v>1741075</v>
      </c>
      <c r="BA202" s="230">
        <v>283325</v>
      </c>
      <c r="BB202" s="230">
        <v>1457750</v>
      </c>
      <c r="BC202" s="229">
        <v>5.1452</v>
      </c>
      <c r="BD202" s="230">
        <v>155575</v>
      </c>
      <c r="BE202" s="230">
        <v>94150</v>
      </c>
      <c r="BF202" s="230">
        <v>61425</v>
      </c>
      <c r="BG202" s="229">
        <v>0.65239999999999998</v>
      </c>
      <c r="BH202" s="230">
        <v>3846325</v>
      </c>
      <c r="BI202" s="230">
        <v>3285275</v>
      </c>
      <c r="BJ202" s="230">
        <v>561050</v>
      </c>
      <c r="BK202" s="229">
        <v>0.17080000000000001</v>
      </c>
      <c r="BL202" s="230">
        <v>3146675</v>
      </c>
      <c r="BM202" s="230">
        <v>2504600</v>
      </c>
      <c r="BN202" s="230">
        <v>642075</v>
      </c>
      <c r="BO202" s="229">
        <v>0.25640000000000002</v>
      </c>
      <c r="BP202" s="230">
        <v>10882200</v>
      </c>
      <c r="BQ202" s="230">
        <v>6830775</v>
      </c>
      <c r="BR202" s="230">
        <v>4051425</v>
      </c>
      <c r="BS202" s="229">
        <v>0.59309999999999996</v>
      </c>
      <c r="BT202" s="230">
        <v>728034</v>
      </c>
      <c r="BU202" s="230">
        <v>620614</v>
      </c>
      <c r="BV202" s="230">
        <v>107420</v>
      </c>
      <c r="BW202" s="229">
        <v>0.1731</v>
      </c>
      <c r="BX202" s="230">
        <v>8947925</v>
      </c>
      <c r="BY202" s="230">
        <v>8763125</v>
      </c>
      <c r="BZ202" s="230">
        <v>184800</v>
      </c>
      <c r="CA202" s="229">
        <v>2.1100000000000001E-2</v>
      </c>
      <c r="CB202" s="230">
        <v>5851475</v>
      </c>
      <c r="CC202" s="230">
        <v>7234675</v>
      </c>
      <c r="CD202" s="230">
        <v>-1383200</v>
      </c>
      <c r="CE202" s="229">
        <v>-0.19120000000000001</v>
      </c>
      <c r="CF202" s="230">
        <v>2468200</v>
      </c>
      <c r="CG202" s="230">
        <v>1043525</v>
      </c>
      <c r="CH202" s="230">
        <v>1424675</v>
      </c>
      <c r="CI202" s="229">
        <v>1.3653</v>
      </c>
      <c r="CJ202" s="230">
        <v>628250</v>
      </c>
      <c r="CK202" s="230">
        <v>484925</v>
      </c>
      <c r="CL202" s="230">
        <v>143325</v>
      </c>
      <c r="CM202" s="229">
        <v>0.29559999999999997</v>
      </c>
      <c r="CN202" s="230">
        <v>3817100</v>
      </c>
      <c r="CO202" s="230">
        <v>3972850</v>
      </c>
      <c r="CP202" s="230">
        <v>-155750</v>
      </c>
      <c r="CQ202" s="229">
        <v>-3.9199999999999999E-2</v>
      </c>
      <c r="CR202" s="230">
        <v>2883650</v>
      </c>
      <c r="CS202" s="230">
        <v>3145625</v>
      </c>
      <c r="CT202" s="230">
        <v>-261975</v>
      </c>
      <c r="CU202" s="229">
        <v>-8.3299999999999999E-2</v>
      </c>
      <c r="CV202" s="230">
        <v>15648675</v>
      </c>
      <c r="CW202" s="230">
        <v>15881600</v>
      </c>
      <c r="CX202" s="230">
        <v>-232925</v>
      </c>
      <c r="CY202" s="229">
        <v>-1.47E-2</v>
      </c>
      <c r="CZ202" s="228">
        <v>29.52</v>
      </c>
      <c r="DA202" s="228">
        <v>25.77</v>
      </c>
      <c r="DB202" s="228">
        <v>3.75</v>
      </c>
      <c r="DC202" s="228">
        <v>3.75</v>
      </c>
      <c r="DD202" s="228">
        <v>27.72</v>
      </c>
      <c r="DE202" s="228">
        <v>27.79</v>
      </c>
      <c r="DF202" s="228">
        <v>1.8</v>
      </c>
      <c r="DG202" s="228">
        <v>-7.0000000000000007E-2</v>
      </c>
      <c r="DH202" s="228">
        <v>29.04</v>
      </c>
      <c r="DI202" s="228">
        <v>25.5</v>
      </c>
      <c r="DJ202" s="228">
        <v>3.54</v>
      </c>
      <c r="DK202" s="228">
        <v>3.54</v>
      </c>
      <c r="DL202" s="228">
        <v>30.07</v>
      </c>
      <c r="DM202" s="228">
        <v>26.13</v>
      </c>
      <c r="DN202" s="228">
        <v>3.94</v>
      </c>
      <c r="DO202" s="228">
        <v>3.94</v>
      </c>
      <c r="DP202" s="228">
        <v>0.76</v>
      </c>
      <c r="DQ202" s="228">
        <v>0.79</v>
      </c>
      <c r="DR202" s="228">
        <v>-0.03</v>
      </c>
      <c r="DS202" s="229">
        <v>-3.7999999999999999E-2</v>
      </c>
      <c r="DT202" s="231">
        <v>4500</v>
      </c>
      <c r="DU202" s="231">
        <v>4400</v>
      </c>
      <c r="DV202" s="228">
        <v>0.82</v>
      </c>
      <c r="DW202" s="228">
        <v>0.76</v>
      </c>
      <c r="DX202" s="228">
        <v>0.06</v>
      </c>
      <c r="DY202" s="229">
        <v>7.8899999999999998E-2</v>
      </c>
      <c r="DZ202" s="229">
        <v>0.34610000000000002</v>
      </c>
      <c r="EA202" s="230">
        <v>1528450</v>
      </c>
      <c r="EB202" s="229">
        <v>5.4999999999999997E-3</v>
      </c>
      <c r="EC202" s="229">
        <v>0.34610000000000002</v>
      </c>
      <c r="ED202" s="228">
        <v>25.58</v>
      </c>
      <c r="EE202" s="229">
        <v>5.7999999999999996E-3</v>
      </c>
      <c r="EF202" s="230">
        <v>368708</v>
      </c>
      <c r="EG202" s="230">
        <v>307958</v>
      </c>
      <c r="EH202" s="229">
        <v>0.1973</v>
      </c>
      <c r="EI202" s="229">
        <v>0.50639999999999996</v>
      </c>
      <c r="EJ202" s="231">
        <v>175982.83</v>
      </c>
      <c r="EK202" s="231">
        <v>138022.6</v>
      </c>
      <c r="EL202" s="231">
        <v>173534.82</v>
      </c>
      <c r="EM202" s="231">
        <v>9023</v>
      </c>
      <c r="EN202" s="231">
        <v>487540.25</v>
      </c>
      <c r="EO202" s="231">
        <v>307527.31</v>
      </c>
      <c r="EP202" s="231">
        <v>180012.94</v>
      </c>
      <c r="EQ202" s="229">
        <v>0.58540000000000003</v>
      </c>
      <c r="ER202" s="231">
        <v>168787</v>
      </c>
      <c r="ES202" s="231">
        <v>119839</v>
      </c>
      <c r="ET202" s="231">
        <v>399421</v>
      </c>
      <c r="EU202" s="231">
        <v>41744334</v>
      </c>
      <c r="EV202" s="231">
        <v>688047</v>
      </c>
      <c r="EW202" s="231">
        <v>698185</v>
      </c>
      <c r="EX202" s="231">
        <v>-10138</v>
      </c>
      <c r="EY202" s="229">
        <v>-1.4500000000000001E-2</v>
      </c>
      <c r="EZ202" s="229">
        <v>0.37490000000000001</v>
      </c>
      <c r="FA202" s="227" t="s">
        <v>566</v>
      </c>
      <c r="FB202" s="161">
        <f t="shared" si="5"/>
        <v>0</v>
      </c>
    </row>
    <row r="203" spans="1:158" ht="17.25" thickBot="1" x14ac:dyDescent="0.3">
      <c r="A203" s="226">
        <v>46135</v>
      </c>
      <c r="B203" s="227" t="s">
        <v>162</v>
      </c>
      <c r="C203" s="227" t="s">
        <v>687</v>
      </c>
      <c r="D203" s="228">
        <v>800</v>
      </c>
      <c r="E203" s="228">
        <v>350.95</v>
      </c>
      <c r="F203" s="228">
        <v>360.5</v>
      </c>
      <c r="G203" s="228">
        <v>-9.5500000000000007</v>
      </c>
      <c r="H203" s="229">
        <v>-2.6499999999999999E-2</v>
      </c>
      <c r="I203" s="228">
        <v>351.95</v>
      </c>
      <c r="J203" s="228">
        <v>361.85</v>
      </c>
      <c r="K203" s="228">
        <v>-9.9</v>
      </c>
      <c r="L203" s="229">
        <v>-2.7400000000000001E-2</v>
      </c>
      <c r="M203" s="228">
        <v>350.95</v>
      </c>
      <c r="N203" s="228">
        <v>360.5</v>
      </c>
      <c r="O203" s="228">
        <v>-9.5500000000000007</v>
      </c>
      <c r="P203" s="229">
        <v>-2.6499999999999999E-2</v>
      </c>
      <c r="Q203" s="228">
        <v>352.2</v>
      </c>
      <c r="R203" s="228">
        <v>362.75</v>
      </c>
      <c r="S203" s="228">
        <v>-10.55</v>
      </c>
      <c r="T203" s="229">
        <v>-2.9100000000000001E-2</v>
      </c>
      <c r="U203" s="228">
        <v>352.35</v>
      </c>
      <c r="V203" s="228">
        <v>362.8</v>
      </c>
      <c r="W203" s="228">
        <v>-10.45</v>
      </c>
      <c r="X203" s="229">
        <v>-2.8799999999999999E-2</v>
      </c>
      <c r="Y203" s="228">
        <v>-1</v>
      </c>
      <c r="Z203" s="228">
        <v>-1.35</v>
      </c>
      <c r="AA203" s="228">
        <v>0.35</v>
      </c>
      <c r="AB203" s="229">
        <v>-2.8E-3</v>
      </c>
      <c r="AC203" s="228">
        <v>-1</v>
      </c>
      <c r="AD203" s="228">
        <v>-1.35</v>
      </c>
      <c r="AE203" s="228">
        <v>0.35</v>
      </c>
      <c r="AF203" s="229">
        <v>-2.8E-3</v>
      </c>
      <c r="AG203" s="228">
        <v>0.25</v>
      </c>
      <c r="AH203" s="228">
        <v>0.9</v>
      </c>
      <c r="AI203" s="228">
        <v>-0.65</v>
      </c>
      <c r="AJ203" s="229">
        <v>6.9999999999999999E-4</v>
      </c>
      <c r="AK203" s="228">
        <v>0.4</v>
      </c>
      <c r="AL203" s="228">
        <v>0.95</v>
      </c>
      <c r="AM203" s="228">
        <v>-0.55000000000000004</v>
      </c>
      <c r="AN203" s="229">
        <v>1.1000000000000001E-3</v>
      </c>
      <c r="AO203" s="228">
        <v>353.93</v>
      </c>
      <c r="AP203" s="228">
        <v>355.23</v>
      </c>
      <c r="AQ203" s="228">
        <v>0</v>
      </c>
      <c r="AR203" s="230">
        <v>52783200</v>
      </c>
      <c r="AS203" s="230">
        <v>19218400</v>
      </c>
      <c r="AT203" s="230">
        <v>33564800</v>
      </c>
      <c r="AU203" s="229">
        <v>1.7464999999999999</v>
      </c>
      <c r="AV203" s="230">
        <v>26792000</v>
      </c>
      <c r="AW203" s="230">
        <v>12304000</v>
      </c>
      <c r="AX203" s="230">
        <v>14488000</v>
      </c>
      <c r="AY203" s="229">
        <v>1.1775</v>
      </c>
      <c r="AZ203" s="230">
        <v>25335200</v>
      </c>
      <c r="BA203" s="230">
        <v>6158400</v>
      </c>
      <c r="BB203" s="230">
        <v>19176800</v>
      </c>
      <c r="BC203" s="229">
        <v>3.1139000000000001</v>
      </c>
      <c r="BD203" s="230">
        <v>656000</v>
      </c>
      <c r="BE203" s="230">
        <v>756000</v>
      </c>
      <c r="BF203" s="230">
        <v>-100000</v>
      </c>
      <c r="BG203" s="229">
        <v>-0.1323</v>
      </c>
      <c r="BH203" s="230">
        <v>61634400</v>
      </c>
      <c r="BI203" s="230">
        <v>89810400</v>
      </c>
      <c r="BJ203" s="230">
        <v>-28176000</v>
      </c>
      <c r="BK203" s="229">
        <v>-0.31369999999999998</v>
      </c>
      <c r="BL203" s="230">
        <v>45276800</v>
      </c>
      <c r="BM203" s="230">
        <v>53477600</v>
      </c>
      <c r="BN203" s="230">
        <v>-8200800</v>
      </c>
      <c r="BO203" s="229">
        <v>-0.15340000000000001</v>
      </c>
      <c r="BP203" s="230">
        <v>159694400</v>
      </c>
      <c r="BQ203" s="230">
        <v>162506400</v>
      </c>
      <c r="BR203" s="230">
        <v>-2812000</v>
      </c>
      <c r="BS203" s="229">
        <v>-1.7299999999999999E-2</v>
      </c>
      <c r="BT203" s="230">
        <v>11374109</v>
      </c>
      <c r="BU203" s="230">
        <v>14994313</v>
      </c>
      <c r="BV203" s="230">
        <v>-3620204</v>
      </c>
      <c r="BW203" s="229">
        <v>-0.2414</v>
      </c>
      <c r="BX203" s="230">
        <v>64608800</v>
      </c>
      <c r="BY203" s="230">
        <v>62835200</v>
      </c>
      <c r="BZ203" s="230">
        <v>1773600</v>
      </c>
      <c r="CA203" s="229">
        <v>2.8199999999999999E-2</v>
      </c>
      <c r="CB203" s="230">
        <v>34161600</v>
      </c>
      <c r="CC203" s="230">
        <v>50808000</v>
      </c>
      <c r="CD203" s="230">
        <v>-16646400</v>
      </c>
      <c r="CE203" s="229">
        <v>-0.3276</v>
      </c>
      <c r="CF203" s="230">
        <v>28890400</v>
      </c>
      <c r="CG203" s="230">
        <v>10749600</v>
      </c>
      <c r="CH203" s="230">
        <v>18140800</v>
      </c>
      <c r="CI203" s="229">
        <v>1.6876</v>
      </c>
      <c r="CJ203" s="230">
        <v>1556800</v>
      </c>
      <c r="CK203" s="230">
        <v>1277600</v>
      </c>
      <c r="CL203" s="230">
        <v>279200</v>
      </c>
      <c r="CM203" s="229">
        <v>0.2185</v>
      </c>
      <c r="CN203" s="230">
        <v>37183200</v>
      </c>
      <c r="CO203" s="230">
        <v>36492800</v>
      </c>
      <c r="CP203" s="230">
        <v>690400</v>
      </c>
      <c r="CQ203" s="229">
        <v>1.89E-2</v>
      </c>
      <c r="CR203" s="230">
        <v>27445600</v>
      </c>
      <c r="CS203" s="230">
        <v>29357600</v>
      </c>
      <c r="CT203" s="230">
        <v>-1912000</v>
      </c>
      <c r="CU203" s="229">
        <v>-6.5100000000000005E-2</v>
      </c>
      <c r="CV203" s="230">
        <v>129237600</v>
      </c>
      <c r="CW203" s="230">
        <v>128685600</v>
      </c>
      <c r="CX203" s="230">
        <v>552000</v>
      </c>
      <c r="CY203" s="229">
        <v>4.3E-3</v>
      </c>
      <c r="CZ203" s="228">
        <v>38.03</v>
      </c>
      <c r="DA203" s="228">
        <v>31.58</v>
      </c>
      <c r="DB203" s="228">
        <v>6.45</v>
      </c>
      <c r="DC203" s="228">
        <v>6.45</v>
      </c>
      <c r="DD203" s="228">
        <v>38.17</v>
      </c>
      <c r="DE203" s="228">
        <v>38.090000000000003</v>
      </c>
      <c r="DF203" s="228">
        <v>-0.14000000000000001</v>
      </c>
      <c r="DG203" s="228">
        <v>0.08</v>
      </c>
      <c r="DH203" s="228">
        <v>38.04</v>
      </c>
      <c r="DI203" s="228">
        <v>29.84</v>
      </c>
      <c r="DJ203" s="228">
        <v>8.1999999999999993</v>
      </c>
      <c r="DK203" s="228">
        <v>8.1999999999999993</v>
      </c>
      <c r="DL203" s="228">
        <v>38.01</v>
      </c>
      <c r="DM203" s="228">
        <v>34.5</v>
      </c>
      <c r="DN203" s="228">
        <v>3.51</v>
      </c>
      <c r="DO203" s="228">
        <v>3.51</v>
      </c>
      <c r="DP203" s="228">
        <v>0.74</v>
      </c>
      <c r="DQ203" s="228">
        <v>0.8</v>
      </c>
      <c r="DR203" s="228">
        <v>-0.06</v>
      </c>
      <c r="DS203" s="229">
        <v>-7.4999999999999997E-2</v>
      </c>
      <c r="DT203" s="228">
        <v>360</v>
      </c>
      <c r="DU203" s="228">
        <v>300</v>
      </c>
      <c r="DV203" s="228">
        <v>0.73</v>
      </c>
      <c r="DW203" s="228">
        <v>0.6</v>
      </c>
      <c r="DX203" s="228">
        <v>0.13</v>
      </c>
      <c r="DY203" s="229">
        <v>0.2167</v>
      </c>
      <c r="DZ203" s="229">
        <v>0.4713</v>
      </c>
      <c r="EA203" s="230">
        <v>12027200</v>
      </c>
      <c r="EB203" s="229">
        <v>3.5999999999999999E-3</v>
      </c>
      <c r="EC203" s="229">
        <v>0.4713</v>
      </c>
      <c r="ED203" s="228">
        <v>1.3</v>
      </c>
      <c r="EE203" s="229">
        <v>3.7000000000000002E-3</v>
      </c>
      <c r="EF203" s="230">
        <v>5753122</v>
      </c>
      <c r="EG203" s="230">
        <v>6902861</v>
      </c>
      <c r="EH203" s="229">
        <v>-0.1666</v>
      </c>
      <c r="EI203" s="229">
        <v>0.50580000000000003</v>
      </c>
      <c r="EJ203" s="231">
        <v>227162.21</v>
      </c>
      <c r="EK203" s="231">
        <v>157868.51999999999</v>
      </c>
      <c r="EL203" s="231">
        <v>187157.54</v>
      </c>
      <c r="EM203" s="231">
        <v>13809</v>
      </c>
      <c r="EN203" s="231">
        <v>572188.27</v>
      </c>
      <c r="EO203" s="231">
        <v>592380.18999999994</v>
      </c>
      <c r="EP203" s="231">
        <v>-20191.919999999998</v>
      </c>
      <c r="EQ203" s="229">
        <v>-3.4099999999999998E-2</v>
      </c>
      <c r="ER203" s="231">
        <v>133297</v>
      </c>
      <c r="ES203" s="231">
        <v>92713</v>
      </c>
      <c r="ET203" s="231">
        <v>227128</v>
      </c>
      <c r="EU203" s="231">
        <v>317244234</v>
      </c>
      <c r="EV203" s="231">
        <v>453137</v>
      </c>
      <c r="EW203" s="231">
        <v>456683</v>
      </c>
      <c r="EX203" s="231">
        <v>-3546</v>
      </c>
      <c r="EY203" s="229">
        <v>-7.7999999999999996E-3</v>
      </c>
      <c r="EZ203" s="229">
        <v>0.40739999999999998</v>
      </c>
      <c r="FA203" s="227" t="s">
        <v>566</v>
      </c>
      <c r="FB203" s="161">
        <f t="shared" si="5"/>
        <v>0</v>
      </c>
    </row>
    <row r="204" spans="1:158" ht="17.25" thickBot="1" x14ac:dyDescent="0.3">
      <c r="A204" s="226">
        <v>46135</v>
      </c>
      <c r="B204" s="227" t="s">
        <v>170</v>
      </c>
      <c r="C204" s="227" t="s">
        <v>298</v>
      </c>
      <c r="D204" s="228">
        <v>250</v>
      </c>
      <c r="E204" s="231">
        <v>4155</v>
      </c>
      <c r="F204" s="231">
        <v>4068.2</v>
      </c>
      <c r="G204" s="228">
        <v>86.8</v>
      </c>
      <c r="H204" s="229">
        <v>2.1299999999999999E-2</v>
      </c>
      <c r="I204" s="231">
        <v>4147.2</v>
      </c>
      <c r="J204" s="231">
        <v>4084.6</v>
      </c>
      <c r="K204" s="228">
        <v>62.6</v>
      </c>
      <c r="L204" s="229">
        <v>1.5299999999999999E-2</v>
      </c>
      <c r="M204" s="231">
        <v>4155</v>
      </c>
      <c r="N204" s="231">
        <v>4068.2</v>
      </c>
      <c r="O204" s="228">
        <v>86.8</v>
      </c>
      <c r="P204" s="229">
        <v>2.1299999999999999E-2</v>
      </c>
      <c r="Q204" s="231">
        <v>4164.8</v>
      </c>
      <c r="R204" s="231">
        <v>4065</v>
      </c>
      <c r="S204" s="228">
        <v>99.8</v>
      </c>
      <c r="T204" s="229">
        <v>2.46E-2</v>
      </c>
      <c r="U204" s="231">
        <v>4143</v>
      </c>
      <c r="V204" s="231">
        <v>4159.2</v>
      </c>
      <c r="W204" s="228">
        <v>-16.2</v>
      </c>
      <c r="X204" s="229">
        <v>-3.8999999999999998E-3</v>
      </c>
      <c r="Y204" s="228">
        <v>7.8</v>
      </c>
      <c r="Z204" s="228">
        <v>-16.399999999999999</v>
      </c>
      <c r="AA204" s="228">
        <v>24.2</v>
      </c>
      <c r="AB204" s="229">
        <v>1.9E-3</v>
      </c>
      <c r="AC204" s="228">
        <v>7.8</v>
      </c>
      <c r="AD204" s="228">
        <v>-16.399999999999999</v>
      </c>
      <c r="AE204" s="228">
        <v>24.2</v>
      </c>
      <c r="AF204" s="229">
        <v>1.9E-3</v>
      </c>
      <c r="AG204" s="228">
        <v>17.600000000000001</v>
      </c>
      <c r="AH204" s="228">
        <v>-19.600000000000001</v>
      </c>
      <c r="AI204" s="228">
        <v>37.200000000000003</v>
      </c>
      <c r="AJ204" s="229">
        <v>4.1999999999999997E-3</v>
      </c>
      <c r="AK204" s="228">
        <v>-4.2</v>
      </c>
      <c r="AL204" s="228">
        <v>74.599999999999994</v>
      </c>
      <c r="AM204" s="228">
        <v>-78.8</v>
      </c>
      <c r="AN204" s="229">
        <v>-1E-3</v>
      </c>
      <c r="AO204" s="231">
        <v>4141.91</v>
      </c>
      <c r="AP204" s="231">
        <v>4143.32</v>
      </c>
      <c r="AQ204" s="228">
        <v>0</v>
      </c>
      <c r="AR204" s="230">
        <v>2807750</v>
      </c>
      <c r="AS204" s="230">
        <v>1009250</v>
      </c>
      <c r="AT204" s="230">
        <v>1798500</v>
      </c>
      <c r="AU204" s="229">
        <v>1.782</v>
      </c>
      <c r="AV204" s="230">
        <v>1525250</v>
      </c>
      <c r="AW204" s="230">
        <v>695000</v>
      </c>
      <c r="AX204" s="230">
        <v>830250</v>
      </c>
      <c r="AY204" s="229">
        <v>1.1946000000000001</v>
      </c>
      <c r="AZ204" s="230">
        <v>1281750</v>
      </c>
      <c r="BA204" s="230">
        <v>314250</v>
      </c>
      <c r="BB204" s="230">
        <v>967500</v>
      </c>
      <c r="BC204" s="229">
        <v>3.0788000000000002</v>
      </c>
      <c r="BD204" s="228">
        <v>750</v>
      </c>
      <c r="BE204" s="228">
        <v>0</v>
      </c>
      <c r="BF204" s="228">
        <v>750</v>
      </c>
      <c r="BG204" s="229">
        <v>0</v>
      </c>
      <c r="BH204" s="230">
        <v>2419750</v>
      </c>
      <c r="BI204" s="230">
        <v>689750</v>
      </c>
      <c r="BJ204" s="230">
        <v>1730000</v>
      </c>
      <c r="BK204" s="229">
        <v>2.5082</v>
      </c>
      <c r="BL204" s="230">
        <v>795000</v>
      </c>
      <c r="BM204" s="230">
        <v>514500</v>
      </c>
      <c r="BN204" s="230">
        <v>280500</v>
      </c>
      <c r="BO204" s="229">
        <v>0.54520000000000002</v>
      </c>
      <c r="BP204" s="230">
        <v>6022500</v>
      </c>
      <c r="BQ204" s="230">
        <v>2213500</v>
      </c>
      <c r="BR204" s="230">
        <v>3809000</v>
      </c>
      <c r="BS204" s="229">
        <v>1.7208000000000001</v>
      </c>
      <c r="BT204" s="230">
        <v>506997</v>
      </c>
      <c r="BU204" s="230">
        <v>431929</v>
      </c>
      <c r="BV204" s="230">
        <v>75068</v>
      </c>
      <c r="BW204" s="229">
        <v>0.17380000000000001</v>
      </c>
      <c r="BX204" s="230">
        <v>3120250</v>
      </c>
      <c r="BY204" s="230">
        <v>3294000</v>
      </c>
      <c r="BZ204" s="230">
        <v>-173750</v>
      </c>
      <c r="CA204" s="229">
        <v>-5.2699999999999997E-2</v>
      </c>
      <c r="CB204" s="230">
        <v>1759250</v>
      </c>
      <c r="CC204" s="230">
        <v>2786250</v>
      </c>
      <c r="CD204" s="230">
        <v>-1027000</v>
      </c>
      <c r="CE204" s="229">
        <v>-0.36859999999999998</v>
      </c>
      <c r="CF204" s="230">
        <v>1356250</v>
      </c>
      <c r="CG204" s="230">
        <v>503500</v>
      </c>
      <c r="CH204" s="230">
        <v>852750</v>
      </c>
      <c r="CI204" s="229">
        <v>1.6936</v>
      </c>
      <c r="CJ204" s="230">
        <v>4750</v>
      </c>
      <c r="CK204" s="230">
        <v>4250</v>
      </c>
      <c r="CL204" s="228">
        <v>500</v>
      </c>
      <c r="CM204" s="229">
        <v>0.1176</v>
      </c>
      <c r="CN204" s="230">
        <v>659750</v>
      </c>
      <c r="CO204" s="230">
        <v>652500</v>
      </c>
      <c r="CP204" s="230">
        <v>7250</v>
      </c>
      <c r="CQ204" s="229">
        <v>1.11E-2</v>
      </c>
      <c r="CR204" s="230">
        <v>474750</v>
      </c>
      <c r="CS204" s="230">
        <v>454250</v>
      </c>
      <c r="CT204" s="230">
        <v>20500</v>
      </c>
      <c r="CU204" s="229">
        <v>4.5100000000000001E-2</v>
      </c>
      <c r="CV204" s="230">
        <v>4254750</v>
      </c>
      <c r="CW204" s="230">
        <v>4400750</v>
      </c>
      <c r="CX204" s="230">
        <v>-146000</v>
      </c>
      <c r="CY204" s="229">
        <v>-3.32E-2</v>
      </c>
      <c r="CZ204" s="228">
        <v>29.15</v>
      </c>
      <c r="DA204" s="228">
        <v>26.32</v>
      </c>
      <c r="DB204" s="228">
        <v>2.83</v>
      </c>
      <c r="DC204" s="228">
        <v>2.83</v>
      </c>
      <c r="DD204" s="228">
        <v>25.38</v>
      </c>
      <c r="DE204" s="228">
        <v>25.36</v>
      </c>
      <c r="DF204" s="228">
        <v>3.77</v>
      </c>
      <c r="DG204" s="228">
        <v>0.02</v>
      </c>
      <c r="DH204" s="228">
        <v>28.63</v>
      </c>
      <c r="DI204" s="228">
        <v>25.1</v>
      </c>
      <c r="DJ204" s="228">
        <v>3.53</v>
      </c>
      <c r="DK204" s="228">
        <v>3.53</v>
      </c>
      <c r="DL204" s="228">
        <v>30.87</v>
      </c>
      <c r="DM204" s="228">
        <v>27.96</v>
      </c>
      <c r="DN204" s="228">
        <v>2.91</v>
      </c>
      <c r="DO204" s="228">
        <v>2.91</v>
      </c>
      <c r="DP204" s="228">
        <v>0.72</v>
      </c>
      <c r="DQ204" s="228">
        <v>0.7</v>
      </c>
      <c r="DR204" s="228">
        <v>0.02</v>
      </c>
      <c r="DS204" s="229">
        <v>2.86E-2</v>
      </c>
      <c r="DT204" s="231">
        <v>4200</v>
      </c>
      <c r="DU204" s="231">
        <v>4100</v>
      </c>
      <c r="DV204" s="228">
        <v>0.33</v>
      </c>
      <c r="DW204" s="228">
        <v>0.75</v>
      </c>
      <c r="DX204" s="228">
        <v>-0.42</v>
      </c>
      <c r="DY204" s="229">
        <v>-0.56000000000000005</v>
      </c>
      <c r="DZ204" s="229">
        <v>0.43619999999999998</v>
      </c>
      <c r="EA204" s="230">
        <v>507750</v>
      </c>
      <c r="EB204" s="229">
        <v>2.3999999999999998E-3</v>
      </c>
      <c r="EC204" s="229">
        <v>0.43619999999999998</v>
      </c>
      <c r="ED204" s="228">
        <v>1.41</v>
      </c>
      <c r="EE204" s="229">
        <v>2.9999999999999997E-4</v>
      </c>
      <c r="EF204" s="230">
        <v>286832</v>
      </c>
      <c r="EG204" s="230">
        <v>261508</v>
      </c>
      <c r="EH204" s="229">
        <v>9.6799999999999997E-2</v>
      </c>
      <c r="EI204" s="229">
        <v>0.56569999999999998</v>
      </c>
      <c r="EJ204" s="231">
        <v>102919.52</v>
      </c>
      <c r="EK204" s="231">
        <v>31584.12</v>
      </c>
      <c r="EL204" s="231">
        <v>116312.59</v>
      </c>
      <c r="EM204" s="231">
        <v>2164</v>
      </c>
      <c r="EN204" s="231">
        <v>250816.23</v>
      </c>
      <c r="EO204" s="231">
        <v>90918.49</v>
      </c>
      <c r="EP204" s="231">
        <v>159897.74</v>
      </c>
      <c r="EQ204" s="229">
        <v>1.7586999999999999</v>
      </c>
      <c r="ER204" s="231">
        <v>28148</v>
      </c>
      <c r="ES204" s="231">
        <v>19184</v>
      </c>
      <c r="ET204" s="231">
        <v>129779</v>
      </c>
      <c r="EU204" s="231">
        <v>10726004</v>
      </c>
      <c r="EV204" s="231">
        <v>177110</v>
      </c>
      <c r="EW204" s="231">
        <v>180071</v>
      </c>
      <c r="EX204" s="231">
        <v>-2961</v>
      </c>
      <c r="EY204" s="229">
        <v>-1.6400000000000001E-2</v>
      </c>
      <c r="EZ204" s="229">
        <v>0.3967</v>
      </c>
      <c r="FA204" s="227" t="s">
        <v>693</v>
      </c>
      <c r="FB204" s="161">
        <f t="shared" si="5"/>
        <v>0</v>
      </c>
    </row>
    <row r="205" spans="1:158" ht="17.25" thickBot="1" x14ac:dyDescent="0.3">
      <c r="A205" s="226">
        <v>46135</v>
      </c>
      <c r="B205" s="227" t="s">
        <v>161</v>
      </c>
      <c r="C205" s="227" t="s">
        <v>299</v>
      </c>
      <c r="D205" s="228">
        <v>425</v>
      </c>
      <c r="E205" s="231">
        <v>1740.4</v>
      </c>
      <c r="F205" s="231">
        <v>1657.1</v>
      </c>
      <c r="G205" s="228">
        <v>83.3</v>
      </c>
      <c r="H205" s="229">
        <v>5.0299999999999997E-2</v>
      </c>
      <c r="I205" s="231">
        <v>1737</v>
      </c>
      <c r="J205" s="231">
        <v>1657.4</v>
      </c>
      <c r="K205" s="228">
        <v>79.599999999999994</v>
      </c>
      <c r="L205" s="229">
        <v>4.8000000000000001E-2</v>
      </c>
      <c r="M205" s="231">
        <v>1740.4</v>
      </c>
      <c r="N205" s="231">
        <v>1657.1</v>
      </c>
      <c r="O205" s="228">
        <v>83.3</v>
      </c>
      <c r="P205" s="229">
        <v>5.0299999999999997E-2</v>
      </c>
      <c r="Q205" s="228">
        <v>0</v>
      </c>
      <c r="R205" s="228">
        <v>0</v>
      </c>
      <c r="S205" s="228">
        <v>0</v>
      </c>
      <c r="T205" s="229">
        <v>0</v>
      </c>
      <c r="U205" s="228">
        <v>0</v>
      </c>
      <c r="V205" s="228">
        <v>0</v>
      </c>
      <c r="W205" s="228">
        <v>0</v>
      </c>
      <c r="X205" s="229">
        <v>0</v>
      </c>
      <c r="Y205" s="228">
        <v>3.4</v>
      </c>
      <c r="Z205" s="228">
        <v>-0.3</v>
      </c>
      <c r="AA205" s="228">
        <v>3.7</v>
      </c>
      <c r="AB205" s="229">
        <v>2E-3</v>
      </c>
      <c r="AC205" s="228">
        <v>3.4</v>
      </c>
      <c r="AD205" s="228">
        <v>-0.3</v>
      </c>
      <c r="AE205" s="228">
        <v>3.7</v>
      </c>
      <c r="AF205" s="229">
        <v>2E-3</v>
      </c>
      <c r="AG205" s="228">
        <v>0</v>
      </c>
      <c r="AH205" s="228">
        <v>0</v>
      </c>
      <c r="AI205" s="228">
        <v>0</v>
      </c>
      <c r="AJ205" s="229">
        <v>0</v>
      </c>
      <c r="AK205" s="228">
        <v>0</v>
      </c>
      <c r="AL205" s="228">
        <v>0</v>
      </c>
      <c r="AM205" s="228">
        <v>0</v>
      </c>
      <c r="AN205" s="229">
        <v>0</v>
      </c>
      <c r="AO205" s="231">
        <v>1713.03</v>
      </c>
      <c r="AP205" s="228">
        <v>0</v>
      </c>
      <c r="AQ205" s="228">
        <v>0</v>
      </c>
      <c r="AR205" s="230">
        <v>732275</v>
      </c>
      <c r="AS205" s="230">
        <v>469200</v>
      </c>
      <c r="AT205" s="230">
        <v>263075</v>
      </c>
      <c r="AU205" s="229">
        <v>0.56069999999999998</v>
      </c>
      <c r="AV205" s="230">
        <v>732275</v>
      </c>
      <c r="AW205" s="230">
        <v>469200</v>
      </c>
      <c r="AX205" s="230">
        <v>263075</v>
      </c>
      <c r="AY205" s="229">
        <v>0.56069999999999998</v>
      </c>
      <c r="AZ205" s="228">
        <v>0</v>
      </c>
      <c r="BA205" s="228">
        <v>0</v>
      </c>
      <c r="BB205" s="228">
        <v>0</v>
      </c>
      <c r="BC205" s="229">
        <v>0</v>
      </c>
      <c r="BD205" s="228">
        <v>0</v>
      </c>
      <c r="BE205" s="228">
        <v>0</v>
      </c>
      <c r="BF205" s="228">
        <v>0</v>
      </c>
      <c r="BG205" s="229">
        <v>0</v>
      </c>
      <c r="BH205" s="230">
        <v>7452375</v>
      </c>
      <c r="BI205" s="230">
        <v>6362675</v>
      </c>
      <c r="BJ205" s="230">
        <v>1089700</v>
      </c>
      <c r="BK205" s="229">
        <v>0.17130000000000001</v>
      </c>
      <c r="BL205" s="230">
        <v>3711525</v>
      </c>
      <c r="BM205" s="230">
        <v>1744625</v>
      </c>
      <c r="BN205" s="230">
        <v>1966900</v>
      </c>
      <c r="BO205" s="229">
        <v>1.1274</v>
      </c>
      <c r="BP205" s="230">
        <v>11896175</v>
      </c>
      <c r="BQ205" s="230">
        <v>8576500</v>
      </c>
      <c r="BR205" s="230">
        <v>3319675</v>
      </c>
      <c r="BS205" s="229">
        <v>0.3871</v>
      </c>
      <c r="BT205" s="230">
        <v>1258062</v>
      </c>
      <c r="BU205" s="230">
        <v>1137912</v>
      </c>
      <c r="BV205" s="230">
        <v>120150</v>
      </c>
      <c r="BW205" s="229">
        <v>0.1056</v>
      </c>
      <c r="BX205" s="230">
        <v>2523225</v>
      </c>
      <c r="BY205" s="230">
        <v>2864500</v>
      </c>
      <c r="BZ205" s="230">
        <v>-341275</v>
      </c>
      <c r="CA205" s="229">
        <v>-0.1191</v>
      </c>
      <c r="CB205" s="230">
        <v>2523225</v>
      </c>
      <c r="CC205" s="230">
        <v>2864500</v>
      </c>
      <c r="CD205" s="230">
        <v>-341275</v>
      </c>
      <c r="CE205" s="229">
        <v>-0.1191</v>
      </c>
      <c r="CF205" s="228">
        <v>0</v>
      </c>
      <c r="CG205" s="228">
        <v>0</v>
      </c>
      <c r="CH205" s="228">
        <v>0</v>
      </c>
      <c r="CI205" s="229">
        <v>0</v>
      </c>
      <c r="CJ205" s="228">
        <v>0</v>
      </c>
      <c r="CK205" s="228">
        <v>0</v>
      </c>
      <c r="CL205" s="228">
        <v>0</v>
      </c>
      <c r="CM205" s="229">
        <v>0</v>
      </c>
      <c r="CN205" s="230">
        <v>1555925</v>
      </c>
      <c r="CO205" s="230">
        <v>1674075</v>
      </c>
      <c r="CP205" s="230">
        <v>-118150</v>
      </c>
      <c r="CQ205" s="229">
        <v>-7.0599999999999996E-2</v>
      </c>
      <c r="CR205" s="230">
        <v>1873400</v>
      </c>
      <c r="CS205" s="230">
        <v>1481125</v>
      </c>
      <c r="CT205" s="230">
        <v>392275</v>
      </c>
      <c r="CU205" s="229">
        <v>0.26479999999999998</v>
      </c>
      <c r="CV205" s="230">
        <v>5952550</v>
      </c>
      <c r="CW205" s="230">
        <v>6019700</v>
      </c>
      <c r="CX205" s="230">
        <v>-67150</v>
      </c>
      <c r="CY205" s="229">
        <v>-1.12E-2</v>
      </c>
      <c r="CZ205" s="228">
        <v>42.09</v>
      </c>
      <c r="DA205" s="228">
        <v>31.09</v>
      </c>
      <c r="DB205" s="228">
        <v>11</v>
      </c>
      <c r="DC205" s="228">
        <v>11</v>
      </c>
      <c r="DD205" s="228">
        <v>42.09</v>
      </c>
      <c r="DE205" s="228">
        <v>41.67</v>
      </c>
      <c r="DF205" s="228">
        <v>0</v>
      </c>
      <c r="DG205" s="228">
        <v>0.42</v>
      </c>
      <c r="DH205" s="228">
        <v>42.09</v>
      </c>
      <c r="DI205" s="228">
        <v>30.19</v>
      </c>
      <c r="DJ205" s="228">
        <v>11.9</v>
      </c>
      <c r="DK205" s="228">
        <v>11.9</v>
      </c>
      <c r="DL205" s="228">
        <v>42.09</v>
      </c>
      <c r="DM205" s="228">
        <v>34.36</v>
      </c>
      <c r="DN205" s="228">
        <v>7.73</v>
      </c>
      <c r="DO205" s="228">
        <v>7.73</v>
      </c>
      <c r="DP205" s="228">
        <v>1.2</v>
      </c>
      <c r="DQ205" s="228">
        <v>0.88</v>
      </c>
      <c r="DR205" s="228">
        <v>0.32</v>
      </c>
      <c r="DS205" s="229">
        <v>0.36359999999999998</v>
      </c>
      <c r="DT205" s="231">
        <v>1760</v>
      </c>
      <c r="DU205" s="231">
        <v>1640</v>
      </c>
      <c r="DV205" s="228">
        <v>0.5</v>
      </c>
      <c r="DW205" s="228">
        <v>0.27</v>
      </c>
      <c r="DX205" s="228">
        <v>0.23</v>
      </c>
      <c r="DY205" s="229">
        <v>0.85189999999999999</v>
      </c>
      <c r="DZ205" s="229">
        <v>0</v>
      </c>
      <c r="EA205" s="228">
        <v>0</v>
      </c>
      <c r="EB205" s="229">
        <v>0</v>
      </c>
      <c r="EC205" s="229">
        <v>0</v>
      </c>
      <c r="ED205" s="228">
        <v>0</v>
      </c>
      <c r="EE205" s="229">
        <v>0</v>
      </c>
      <c r="EF205" s="230">
        <v>682659</v>
      </c>
      <c r="EG205" s="230">
        <v>628838</v>
      </c>
      <c r="EH205" s="229">
        <v>8.5599999999999996E-2</v>
      </c>
      <c r="EI205" s="229">
        <v>0.54259999999999997</v>
      </c>
      <c r="EJ205" s="231">
        <v>130700.61</v>
      </c>
      <c r="EK205" s="231">
        <v>60460.57</v>
      </c>
      <c r="EL205" s="231">
        <v>12544.06</v>
      </c>
      <c r="EM205" s="231">
        <v>1437</v>
      </c>
      <c r="EN205" s="231">
        <v>203705.24</v>
      </c>
      <c r="EO205" s="231">
        <v>144023.41</v>
      </c>
      <c r="EP205" s="231">
        <v>59681.83</v>
      </c>
      <c r="EQ205" s="229">
        <v>0.41439999999999999</v>
      </c>
      <c r="ER205" s="231">
        <v>25290</v>
      </c>
      <c r="ES205" s="231">
        <v>28761</v>
      </c>
      <c r="ET205" s="231">
        <v>43914</v>
      </c>
      <c r="EU205" s="231">
        <v>24646022</v>
      </c>
      <c r="EV205" s="231">
        <v>97965</v>
      </c>
      <c r="EW205" s="231">
        <v>96116</v>
      </c>
      <c r="EX205" s="231">
        <v>1849</v>
      </c>
      <c r="EY205" s="229">
        <v>1.9199999999999998E-2</v>
      </c>
      <c r="EZ205" s="229">
        <v>0.24149999999999999</v>
      </c>
      <c r="FA205" s="227" t="s">
        <v>693</v>
      </c>
      <c r="FB205" s="161">
        <f t="shared" si="5"/>
        <v>0</v>
      </c>
    </row>
    <row r="206" spans="1:158" ht="17.25" thickBot="1" x14ac:dyDescent="0.3">
      <c r="A206" s="226">
        <v>46135</v>
      </c>
      <c r="B206" s="227" t="s">
        <v>197</v>
      </c>
      <c r="C206" s="227" t="s">
        <v>482</v>
      </c>
      <c r="D206" s="228">
        <v>100</v>
      </c>
      <c r="E206" s="231">
        <v>4237.8</v>
      </c>
      <c r="F206" s="231">
        <v>4438.1000000000004</v>
      </c>
      <c r="G206" s="228">
        <v>-200.3</v>
      </c>
      <c r="H206" s="229">
        <v>-4.5100000000000001E-2</v>
      </c>
      <c r="I206" s="231">
        <v>4251.3999999999996</v>
      </c>
      <c r="J206" s="231">
        <v>4434.5</v>
      </c>
      <c r="K206" s="228">
        <v>-183.1</v>
      </c>
      <c r="L206" s="229">
        <v>-4.1300000000000003E-2</v>
      </c>
      <c r="M206" s="231">
        <v>4237.8</v>
      </c>
      <c r="N206" s="231">
        <v>4438.1000000000004</v>
      </c>
      <c r="O206" s="228">
        <v>-200.3</v>
      </c>
      <c r="P206" s="229">
        <v>-4.5100000000000001E-2</v>
      </c>
      <c r="Q206" s="231">
        <v>4202.1000000000004</v>
      </c>
      <c r="R206" s="231">
        <v>4440.1000000000004</v>
      </c>
      <c r="S206" s="228">
        <v>-238</v>
      </c>
      <c r="T206" s="229">
        <v>-5.3600000000000002E-2</v>
      </c>
      <c r="U206" s="231">
        <v>4179.6000000000004</v>
      </c>
      <c r="V206" s="231">
        <v>4457.2</v>
      </c>
      <c r="W206" s="228">
        <v>-277.60000000000002</v>
      </c>
      <c r="X206" s="229">
        <v>-6.2300000000000001E-2</v>
      </c>
      <c r="Y206" s="228">
        <v>-13.6</v>
      </c>
      <c r="Z206" s="228">
        <v>3.6</v>
      </c>
      <c r="AA206" s="228">
        <v>-17.2</v>
      </c>
      <c r="AB206" s="229">
        <v>-3.2000000000000002E-3</v>
      </c>
      <c r="AC206" s="228">
        <v>-13.6</v>
      </c>
      <c r="AD206" s="228">
        <v>3.6</v>
      </c>
      <c r="AE206" s="228">
        <v>-17.2</v>
      </c>
      <c r="AF206" s="229">
        <v>-3.2000000000000002E-3</v>
      </c>
      <c r="AG206" s="228">
        <v>-49.3</v>
      </c>
      <c r="AH206" s="228">
        <v>5.6</v>
      </c>
      <c r="AI206" s="228">
        <v>-54.9</v>
      </c>
      <c r="AJ206" s="229">
        <v>-1.1599999999999999E-2</v>
      </c>
      <c r="AK206" s="228">
        <v>-71.8</v>
      </c>
      <c r="AL206" s="228">
        <v>22.7</v>
      </c>
      <c r="AM206" s="228">
        <v>-94.5</v>
      </c>
      <c r="AN206" s="229">
        <v>-1.6899999999999998E-2</v>
      </c>
      <c r="AO206" s="231">
        <v>4306.0600000000004</v>
      </c>
      <c r="AP206" s="231">
        <v>4277.32</v>
      </c>
      <c r="AQ206" s="228">
        <v>0</v>
      </c>
      <c r="AR206" s="230">
        <v>10374400</v>
      </c>
      <c r="AS206" s="230">
        <v>3206700</v>
      </c>
      <c r="AT206" s="230">
        <v>7167700</v>
      </c>
      <c r="AU206" s="229">
        <v>2.2351999999999999</v>
      </c>
      <c r="AV206" s="230">
        <v>5782300</v>
      </c>
      <c r="AW206" s="230">
        <v>2475700</v>
      </c>
      <c r="AX206" s="230">
        <v>3306600</v>
      </c>
      <c r="AY206" s="229">
        <v>1.3355999999999999</v>
      </c>
      <c r="AZ206" s="230">
        <v>4401000</v>
      </c>
      <c r="BA206" s="230">
        <v>692100</v>
      </c>
      <c r="BB206" s="230">
        <v>3708900</v>
      </c>
      <c r="BC206" s="229">
        <v>5.3589000000000002</v>
      </c>
      <c r="BD206" s="230">
        <v>191100</v>
      </c>
      <c r="BE206" s="230">
        <v>38900</v>
      </c>
      <c r="BF206" s="230">
        <v>152200</v>
      </c>
      <c r="BG206" s="229">
        <v>3.9125999999999999</v>
      </c>
      <c r="BH206" s="230">
        <v>30354000</v>
      </c>
      <c r="BI206" s="230">
        <v>19020800</v>
      </c>
      <c r="BJ206" s="230">
        <v>11333200</v>
      </c>
      <c r="BK206" s="229">
        <v>0.5958</v>
      </c>
      <c r="BL206" s="230">
        <v>17123400</v>
      </c>
      <c r="BM206" s="230">
        <v>9183400</v>
      </c>
      <c r="BN206" s="230">
        <v>7940000</v>
      </c>
      <c r="BO206" s="229">
        <v>0.86460000000000004</v>
      </c>
      <c r="BP206" s="230">
        <v>57851800</v>
      </c>
      <c r="BQ206" s="230">
        <v>31410900</v>
      </c>
      <c r="BR206" s="230">
        <v>26440900</v>
      </c>
      <c r="BS206" s="229">
        <v>0.84179999999999999</v>
      </c>
      <c r="BT206" s="230">
        <v>5081227</v>
      </c>
      <c r="BU206" s="230">
        <v>2757972</v>
      </c>
      <c r="BV206" s="230">
        <v>2323255</v>
      </c>
      <c r="BW206" s="229">
        <v>0.84240000000000004</v>
      </c>
      <c r="BX206" s="230">
        <v>7924100</v>
      </c>
      <c r="BY206" s="230">
        <v>8356100</v>
      </c>
      <c r="BZ206" s="230">
        <v>-432000</v>
      </c>
      <c r="CA206" s="229">
        <v>-5.1700000000000003E-2</v>
      </c>
      <c r="CB206" s="230">
        <v>3883900</v>
      </c>
      <c r="CC206" s="230">
        <v>6515500</v>
      </c>
      <c r="CD206" s="230">
        <v>-2631600</v>
      </c>
      <c r="CE206" s="229">
        <v>-0.40389999999999998</v>
      </c>
      <c r="CF206" s="230">
        <v>3881500</v>
      </c>
      <c r="CG206" s="230">
        <v>1743300</v>
      </c>
      <c r="CH206" s="230">
        <v>2138200</v>
      </c>
      <c r="CI206" s="229">
        <v>1.2264999999999999</v>
      </c>
      <c r="CJ206" s="230">
        <v>158700</v>
      </c>
      <c r="CK206" s="230">
        <v>97300</v>
      </c>
      <c r="CL206" s="230">
        <v>61400</v>
      </c>
      <c r="CM206" s="229">
        <v>0.63100000000000001</v>
      </c>
      <c r="CN206" s="230">
        <v>6464600</v>
      </c>
      <c r="CO206" s="230">
        <v>4883400</v>
      </c>
      <c r="CP206" s="230">
        <v>1581200</v>
      </c>
      <c r="CQ206" s="229">
        <v>0.32379999999999998</v>
      </c>
      <c r="CR206" s="230">
        <v>3695200</v>
      </c>
      <c r="CS206" s="230">
        <v>3807900</v>
      </c>
      <c r="CT206" s="230">
        <v>-112700</v>
      </c>
      <c r="CU206" s="229">
        <v>-2.9600000000000001E-2</v>
      </c>
      <c r="CV206" s="230">
        <v>18083900</v>
      </c>
      <c r="CW206" s="230">
        <v>17047400</v>
      </c>
      <c r="CX206" s="230">
        <v>1036500</v>
      </c>
      <c r="CY206" s="229">
        <v>6.08E-2</v>
      </c>
      <c r="CZ206" s="228">
        <v>39.28</v>
      </c>
      <c r="DA206" s="228">
        <v>57.25</v>
      </c>
      <c r="DB206" s="228">
        <v>-17.97</v>
      </c>
      <c r="DC206" s="228">
        <v>-17.97</v>
      </c>
      <c r="DD206" s="228">
        <v>44.53</v>
      </c>
      <c r="DE206" s="228">
        <v>44.27</v>
      </c>
      <c r="DF206" s="228">
        <v>-5.25</v>
      </c>
      <c r="DG206" s="228">
        <v>0.26</v>
      </c>
      <c r="DH206" s="228">
        <v>39.28</v>
      </c>
      <c r="DI206" s="228">
        <v>56.42</v>
      </c>
      <c r="DJ206" s="228">
        <v>-17.14</v>
      </c>
      <c r="DK206" s="228">
        <v>-17.14</v>
      </c>
      <c r="DL206" s="228">
        <v>39.28</v>
      </c>
      <c r="DM206" s="228">
        <v>58.97</v>
      </c>
      <c r="DN206" s="228">
        <v>-19.690000000000001</v>
      </c>
      <c r="DO206" s="228">
        <v>-19.690000000000001</v>
      </c>
      <c r="DP206" s="228">
        <v>0.56999999999999995</v>
      </c>
      <c r="DQ206" s="228">
        <v>0.78</v>
      </c>
      <c r="DR206" s="228">
        <v>-0.21</v>
      </c>
      <c r="DS206" s="229">
        <v>-0.26919999999999999</v>
      </c>
      <c r="DT206" s="231">
        <v>4500</v>
      </c>
      <c r="DU206" s="231">
        <v>4300</v>
      </c>
      <c r="DV206" s="228">
        <v>0.56000000000000005</v>
      </c>
      <c r="DW206" s="228">
        <v>0.48</v>
      </c>
      <c r="DX206" s="228">
        <v>0.08</v>
      </c>
      <c r="DY206" s="229">
        <v>0.16669999999999999</v>
      </c>
      <c r="DZ206" s="229">
        <v>0.50990000000000002</v>
      </c>
      <c r="EA206" s="230">
        <v>1840600</v>
      </c>
      <c r="EB206" s="229">
        <v>-8.3999999999999995E-3</v>
      </c>
      <c r="EC206" s="229">
        <v>0.50990000000000002</v>
      </c>
      <c r="ED206" s="228">
        <v>-28.74</v>
      </c>
      <c r="EE206" s="229">
        <v>-6.7000000000000002E-3</v>
      </c>
      <c r="EF206" s="230">
        <v>1453242</v>
      </c>
      <c r="EG206" s="230">
        <v>800571</v>
      </c>
      <c r="EH206" s="229">
        <v>0.81530000000000002</v>
      </c>
      <c r="EI206" s="229">
        <v>0.28599999999999998</v>
      </c>
      <c r="EJ206" s="231">
        <v>1380807.08</v>
      </c>
      <c r="EK206" s="231">
        <v>728199.86</v>
      </c>
      <c r="EL206" s="231">
        <v>445419.99</v>
      </c>
      <c r="EM206" s="231">
        <v>21547</v>
      </c>
      <c r="EN206" s="231">
        <v>2554426.9300000002</v>
      </c>
      <c r="EO206" s="231">
        <v>1415429.49</v>
      </c>
      <c r="EP206" s="231">
        <v>1138997.44</v>
      </c>
      <c r="EQ206" s="229">
        <v>0.80469999999999997</v>
      </c>
      <c r="ER206" s="231">
        <v>282068</v>
      </c>
      <c r="ES206" s="231">
        <v>146369</v>
      </c>
      <c r="ET206" s="231">
        <v>334329</v>
      </c>
      <c r="EU206" s="231">
        <v>33590487</v>
      </c>
      <c r="EV206" s="231">
        <v>762767</v>
      </c>
      <c r="EW206" s="231">
        <v>732276</v>
      </c>
      <c r="EX206" s="231">
        <v>30491</v>
      </c>
      <c r="EY206" s="229">
        <v>4.1599999999999998E-2</v>
      </c>
      <c r="EZ206" s="229">
        <v>0.53839999999999999</v>
      </c>
      <c r="FA206" s="227" t="s">
        <v>567</v>
      </c>
      <c r="FB206" s="161">
        <f t="shared" si="5"/>
        <v>0</v>
      </c>
    </row>
    <row r="207" spans="1:158" ht="17.25" thickBot="1" x14ac:dyDescent="0.3">
      <c r="A207" s="226">
        <v>46135</v>
      </c>
      <c r="B207" s="227" t="s">
        <v>162</v>
      </c>
      <c r="C207" s="227" t="s">
        <v>300</v>
      </c>
      <c r="D207" s="228">
        <v>175</v>
      </c>
      <c r="E207" s="231">
        <v>3513.2</v>
      </c>
      <c r="F207" s="231">
        <v>3669.2</v>
      </c>
      <c r="G207" s="228">
        <v>-156</v>
      </c>
      <c r="H207" s="229">
        <v>-4.2500000000000003E-2</v>
      </c>
      <c r="I207" s="231">
        <v>3513</v>
      </c>
      <c r="J207" s="231">
        <v>3660.7</v>
      </c>
      <c r="K207" s="228">
        <v>-147.69999999999999</v>
      </c>
      <c r="L207" s="229">
        <v>-4.0300000000000002E-2</v>
      </c>
      <c r="M207" s="231">
        <v>3513.2</v>
      </c>
      <c r="N207" s="231">
        <v>3669.2</v>
      </c>
      <c r="O207" s="228">
        <v>-156</v>
      </c>
      <c r="P207" s="229">
        <v>-4.2500000000000003E-2</v>
      </c>
      <c r="Q207" s="231">
        <v>3533.2</v>
      </c>
      <c r="R207" s="231">
        <v>3686</v>
      </c>
      <c r="S207" s="228">
        <v>-152.80000000000001</v>
      </c>
      <c r="T207" s="229">
        <v>-4.1500000000000002E-2</v>
      </c>
      <c r="U207" s="231">
        <v>3554.4</v>
      </c>
      <c r="V207" s="231">
        <v>3708.6</v>
      </c>
      <c r="W207" s="228">
        <v>-154.19999999999999</v>
      </c>
      <c r="X207" s="229">
        <v>-4.1599999999999998E-2</v>
      </c>
      <c r="Y207" s="228">
        <v>0.2</v>
      </c>
      <c r="Z207" s="228">
        <v>8.5</v>
      </c>
      <c r="AA207" s="228">
        <v>-8.3000000000000007</v>
      </c>
      <c r="AB207" s="229">
        <v>1E-4</v>
      </c>
      <c r="AC207" s="228">
        <v>0.2</v>
      </c>
      <c r="AD207" s="228">
        <v>8.5</v>
      </c>
      <c r="AE207" s="228">
        <v>-8.3000000000000007</v>
      </c>
      <c r="AF207" s="229">
        <v>1E-4</v>
      </c>
      <c r="AG207" s="228">
        <v>20.2</v>
      </c>
      <c r="AH207" s="228">
        <v>25.3</v>
      </c>
      <c r="AI207" s="228">
        <v>-5.0999999999999996</v>
      </c>
      <c r="AJ207" s="229">
        <v>5.7999999999999996E-3</v>
      </c>
      <c r="AK207" s="228">
        <v>41.4</v>
      </c>
      <c r="AL207" s="228">
        <v>47.9</v>
      </c>
      <c r="AM207" s="228">
        <v>-6.5</v>
      </c>
      <c r="AN207" s="229">
        <v>1.18E-2</v>
      </c>
      <c r="AO207" s="231">
        <v>3525.29</v>
      </c>
      <c r="AP207" s="231">
        <v>3541.64</v>
      </c>
      <c r="AQ207" s="228">
        <v>0</v>
      </c>
      <c r="AR207" s="230">
        <v>4879350</v>
      </c>
      <c r="AS207" s="230">
        <v>1035650</v>
      </c>
      <c r="AT207" s="230">
        <v>3843700</v>
      </c>
      <c r="AU207" s="229">
        <v>3.7113999999999998</v>
      </c>
      <c r="AV207" s="230">
        <v>2295825</v>
      </c>
      <c r="AW207" s="230">
        <v>590450</v>
      </c>
      <c r="AX207" s="230">
        <v>1705375</v>
      </c>
      <c r="AY207" s="229">
        <v>2.8883000000000001</v>
      </c>
      <c r="AZ207" s="230">
        <v>2556750</v>
      </c>
      <c r="BA207" s="230">
        <v>435575</v>
      </c>
      <c r="BB207" s="230">
        <v>2121175</v>
      </c>
      <c r="BC207" s="229">
        <v>4.8697999999999997</v>
      </c>
      <c r="BD207" s="230">
        <v>26775</v>
      </c>
      <c r="BE207" s="230">
        <v>9625</v>
      </c>
      <c r="BF207" s="230">
        <v>17150</v>
      </c>
      <c r="BG207" s="229">
        <v>1.7818000000000001</v>
      </c>
      <c r="BH207" s="230">
        <v>5644975</v>
      </c>
      <c r="BI207" s="230">
        <v>2815225</v>
      </c>
      <c r="BJ207" s="230">
        <v>2829750</v>
      </c>
      <c r="BK207" s="229">
        <v>1.0052000000000001</v>
      </c>
      <c r="BL207" s="230">
        <v>3978100</v>
      </c>
      <c r="BM207" s="230">
        <v>1053325</v>
      </c>
      <c r="BN207" s="230">
        <v>2924775</v>
      </c>
      <c r="BO207" s="229">
        <v>2.7766999999999999</v>
      </c>
      <c r="BP207" s="230">
        <v>14502425</v>
      </c>
      <c r="BQ207" s="230">
        <v>4904200</v>
      </c>
      <c r="BR207" s="230">
        <v>9598225</v>
      </c>
      <c r="BS207" s="229">
        <v>1.9571000000000001</v>
      </c>
      <c r="BT207" s="230">
        <v>2749085</v>
      </c>
      <c r="BU207" s="230">
        <v>587925</v>
      </c>
      <c r="BV207" s="230">
        <v>2161160</v>
      </c>
      <c r="BW207" s="229">
        <v>3.6758999999999999</v>
      </c>
      <c r="BX207" s="230">
        <v>8686825</v>
      </c>
      <c r="BY207" s="230">
        <v>8358175</v>
      </c>
      <c r="BZ207" s="230">
        <v>328650</v>
      </c>
      <c r="CA207" s="229">
        <v>3.9300000000000002E-2</v>
      </c>
      <c r="CB207" s="230">
        <v>5804225</v>
      </c>
      <c r="CC207" s="230">
        <v>7387450</v>
      </c>
      <c r="CD207" s="230">
        <v>-1583225</v>
      </c>
      <c r="CE207" s="229">
        <v>-0.21429999999999999</v>
      </c>
      <c r="CF207" s="230">
        <v>2542925</v>
      </c>
      <c r="CG207" s="230">
        <v>639975</v>
      </c>
      <c r="CH207" s="230">
        <v>1902950</v>
      </c>
      <c r="CI207" s="229">
        <v>2.9735</v>
      </c>
      <c r="CJ207" s="230">
        <v>339675</v>
      </c>
      <c r="CK207" s="230">
        <v>330750</v>
      </c>
      <c r="CL207" s="230">
        <v>8925</v>
      </c>
      <c r="CM207" s="229">
        <v>2.7E-2</v>
      </c>
      <c r="CN207" s="230">
        <v>2678725</v>
      </c>
      <c r="CO207" s="230">
        <v>2203075</v>
      </c>
      <c r="CP207" s="230">
        <v>475650</v>
      </c>
      <c r="CQ207" s="229">
        <v>0.21590000000000001</v>
      </c>
      <c r="CR207" s="230">
        <v>1303050</v>
      </c>
      <c r="CS207" s="230">
        <v>1237950</v>
      </c>
      <c r="CT207" s="230">
        <v>65100</v>
      </c>
      <c r="CU207" s="229">
        <v>5.2600000000000001E-2</v>
      </c>
      <c r="CV207" s="230">
        <v>12668600</v>
      </c>
      <c r="CW207" s="230">
        <v>11799200</v>
      </c>
      <c r="CX207" s="230">
        <v>869400</v>
      </c>
      <c r="CY207" s="229">
        <v>7.3700000000000002E-2</v>
      </c>
      <c r="CZ207" s="228">
        <v>35.58</v>
      </c>
      <c r="DA207" s="228">
        <v>35.26</v>
      </c>
      <c r="DB207" s="228">
        <v>0.32</v>
      </c>
      <c r="DC207" s="228">
        <v>0.32</v>
      </c>
      <c r="DD207" s="228">
        <v>33.9</v>
      </c>
      <c r="DE207" s="228">
        <v>33.479999999999997</v>
      </c>
      <c r="DF207" s="228">
        <v>1.68</v>
      </c>
      <c r="DG207" s="228">
        <v>0.42</v>
      </c>
      <c r="DH207" s="228">
        <v>35.42</v>
      </c>
      <c r="DI207" s="228">
        <v>35.42</v>
      </c>
      <c r="DJ207" s="228">
        <v>0</v>
      </c>
      <c r="DK207" s="228">
        <v>0</v>
      </c>
      <c r="DL207" s="228">
        <v>35.909999999999997</v>
      </c>
      <c r="DM207" s="228">
        <v>34.85</v>
      </c>
      <c r="DN207" s="228">
        <v>1.06</v>
      </c>
      <c r="DO207" s="228">
        <v>1.06</v>
      </c>
      <c r="DP207" s="228">
        <v>0.49</v>
      </c>
      <c r="DQ207" s="228">
        <v>0.56000000000000005</v>
      </c>
      <c r="DR207" s="228">
        <v>-7.0000000000000007E-2</v>
      </c>
      <c r="DS207" s="229">
        <v>-0.125</v>
      </c>
      <c r="DT207" s="231">
        <v>4000</v>
      </c>
      <c r="DU207" s="231">
        <v>3500</v>
      </c>
      <c r="DV207" s="228">
        <v>0.7</v>
      </c>
      <c r="DW207" s="228">
        <v>0.37</v>
      </c>
      <c r="DX207" s="228">
        <v>0.33</v>
      </c>
      <c r="DY207" s="229">
        <v>0.89190000000000003</v>
      </c>
      <c r="DZ207" s="229">
        <v>0.33179999999999998</v>
      </c>
      <c r="EA207" s="230">
        <v>970725</v>
      </c>
      <c r="EB207" s="229">
        <v>5.7000000000000002E-3</v>
      </c>
      <c r="EC207" s="229">
        <v>0.33179999999999998</v>
      </c>
      <c r="ED207" s="228">
        <v>16.350000000000001</v>
      </c>
      <c r="EE207" s="229">
        <v>4.5999999999999999E-3</v>
      </c>
      <c r="EF207" s="230">
        <v>1630018</v>
      </c>
      <c r="EG207" s="230">
        <v>389242</v>
      </c>
      <c r="EH207" s="229">
        <v>3.1877</v>
      </c>
      <c r="EI207" s="229">
        <v>0.59289999999999998</v>
      </c>
      <c r="EJ207" s="231">
        <v>211770.53</v>
      </c>
      <c r="EK207" s="231">
        <v>141111.75</v>
      </c>
      <c r="EL207" s="231">
        <v>172439.17</v>
      </c>
      <c r="EM207" s="231">
        <v>4581</v>
      </c>
      <c r="EN207" s="231">
        <v>525321.44999999995</v>
      </c>
      <c r="EO207" s="231">
        <v>186931.59</v>
      </c>
      <c r="EP207" s="231">
        <v>338389.86</v>
      </c>
      <c r="EQ207" s="229">
        <v>1.8102</v>
      </c>
      <c r="ER207" s="231">
        <v>100998</v>
      </c>
      <c r="ES207" s="231">
        <v>45920</v>
      </c>
      <c r="ET207" s="231">
        <v>305834</v>
      </c>
      <c r="EU207" s="231">
        <v>32253708</v>
      </c>
      <c r="EV207" s="231">
        <v>452752</v>
      </c>
      <c r="EW207" s="231">
        <v>434707</v>
      </c>
      <c r="EX207" s="231">
        <v>18045</v>
      </c>
      <c r="EY207" s="229">
        <v>4.1500000000000002E-2</v>
      </c>
      <c r="EZ207" s="229">
        <v>0.39279999999999998</v>
      </c>
      <c r="FA207" s="227" t="s">
        <v>566</v>
      </c>
      <c r="FB207" s="161">
        <f t="shared" si="5"/>
        <v>0</v>
      </c>
    </row>
    <row r="208" spans="1:158" ht="17.25" thickBot="1" x14ac:dyDescent="0.3">
      <c r="A208" s="226">
        <v>46135</v>
      </c>
      <c r="B208" s="227" t="s">
        <v>157</v>
      </c>
      <c r="C208" s="227" t="s">
        <v>302</v>
      </c>
      <c r="D208" s="228">
        <v>50</v>
      </c>
      <c r="E208" s="231">
        <v>12176</v>
      </c>
      <c r="F208" s="231">
        <v>12171</v>
      </c>
      <c r="G208" s="228">
        <v>5</v>
      </c>
      <c r="H208" s="229">
        <v>4.0000000000000002E-4</v>
      </c>
      <c r="I208" s="231">
        <v>12167</v>
      </c>
      <c r="J208" s="231">
        <v>12193</v>
      </c>
      <c r="K208" s="228">
        <v>-26</v>
      </c>
      <c r="L208" s="229">
        <v>-2.0999999999999999E-3</v>
      </c>
      <c r="M208" s="231">
        <v>12176</v>
      </c>
      <c r="N208" s="231">
        <v>12171</v>
      </c>
      <c r="O208" s="228">
        <v>5</v>
      </c>
      <c r="P208" s="229">
        <v>4.0000000000000002E-4</v>
      </c>
      <c r="Q208" s="231">
        <v>12239</v>
      </c>
      <c r="R208" s="231">
        <v>12236</v>
      </c>
      <c r="S208" s="228">
        <v>3</v>
      </c>
      <c r="T208" s="229">
        <v>2.0000000000000001E-4</v>
      </c>
      <c r="U208" s="231">
        <v>12309</v>
      </c>
      <c r="V208" s="231">
        <v>12314</v>
      </c>
      <c r="W208" s="228">
        <v>-5</v>
      </c>
      <c r="X208" s="229">
        <v>-4.0000000000000002E-4</v>
      </c>
      <c r="Y208" s="228">
        <v>9</v>
      </c>
      <c r="Z208" s="228">
        <v>-22</v>
      </c>
      <c r="AA208" s="228">
        <v>31</v>
      </c>
      <c r="AB208" s="229">
        <v>6.9999999999999999E-4</v>
      </c>
      <c r="AC208" s="228">
        <v>9</v>
      </c>
      <c r="AD208" s="228">
        <v>-22</v>
      </c>
      <c r="AE208" s="228">
        <v>31</v>
      </c>
      <c r="AF208" s="229">
        <v>6.9999999999999999E-4</v>
      </c>
      <c r="AG208" s="228">
        <v>72</v>
      </c>
      <c r="AH208" s="228">
        <v>43</v>
      </c>
      <c r="AI208" s="228">
        <v>29</v>
      </c>
      <c r="AJ208" s="229">
        <v>5.8999999999999999E-3</v>
      </c>
      <c r="AK208" s="228">
        <v>142</v>
      </c>
      <c r="AL208" s="228">
        <v>121</v>
      </c>
      <c r="AM208" s="228">
        <v>21</v>
      </c>
      <c r="AN208" s="229">
        <v>1.17E-2</v>
      </c>
      <c r="AO208" s="231">
        <v>12097.38</v>
      </c>
      <c r="AP208" s="231">
        <v>12160.46</v>
      </c>
      <c r="AQ208" s="228">
        <v>0</v>
      </c>
      <c r="AR208" s="230">
        <v>1752500</v>
      </c>
      <c r="AS208" s="230">
        <v>535800</v>
      </c>
      <c r="AT208" s="230">
        <v>1216700</v>
      </c>
      <c r="AU208" s="229">
        <v>2.2707999999999999</v>
      </c>
      <c r="AV208" s="230">
        <v>903100</v>
      </c>
      <c r="AW208" s="230">
        <v>365700</v>
      </c>
      <c r="AX208" s="230">
        <v>537400</v>
      </c>
      <c r="AY208" s="229">
        <v>1.4695</v>
      </c>
      <c r="AZ208" s="230">
        <v>779900</v>
      </c>
      <c r="BA208" s="230">
        <v>127250</v>
      </c>
      <c r="BB208" s="230">
        <v>652650</v>
      </c>
      <c r="BC208" s="229">
        <v>5.1288999999999998</v>
      </c>
      <c r="BD208" s="230">
        <v>69500</v>
      </c>
      <c r="BE208" s="230">
        <v>42850</v>
      </c>
      <c r="BF208" s="230">
        <v>26650</v>
      </c>
      <c r="BG208" s="229">
        <v>0.62190000000000001</v>
      </c>
      <c r="BH208" s="230">
        <v>1509800</v>
      </c>
      <c r="BI208" s="230">
        <v>1463350</v>
      </c>
      <c r="BJ208" s="230">
        <v>46450</v>
      </c>
      <c r="BK208" s="229">
        <v>3.1699999999999999E-2</v>
      </c>
      <c r="BL208" s="230">
        <v>1362350</v>
      </c>
      <c r="BM208" s="230">
        <v>796950</v>
      </c>
      <c r="BN208" s="230">
        <v>565400</v>
      </c>
      <c r="BO208" s="229">
        <v>0.70950000000000002</v>
      </c>
      <c r="BP208" s="230">
        <v>4624650</v>
      </c>
      <c r="BQ208" s="230">
        <v>2796100</v>
      </c>
      <c r="BR208" s="230">
        <v>1828550</v>
      </c>
      <c r="BS208" s="229">
        <v>0.65400000000000003</v>
      </c>
      <c r="BT208" s="230">
        <v>243143</v>
      </c>
      <c r="BU208" s="230">
        <v>417779</v>
      </c>
      <c r="BV208" s="230">
        <v>-174636</v>
      </c>
      <c r="BW208" s="229">
        <v>-0.41799999999999998</v>
      </c>
      <c r="BX208" s="230">
        <v>2732400</v>
      </c>
      <c r="BY208" s="230">
        <v>2588000</v>
      </c>
      <c r="BZ208" s="230">
        <v>144400</v>
      </c>
      <c r="CA208" s="229">
        <v>5.5800000000000002E-2</v>
      </c>
      <c r="CB208" s="230">
        <v>1338200</v>
      </c>
      <c r="CC208" s="230">
        <v>1890950</v>
      </c>
      <c r="CD208" s="230">
        <v>-552750</v>
      </c>
      <c r="CE208" s="229">
        <v>-0.2923</v>
      </c>
      <c r="CF208" s="230">
        <v>1038850</v>
      </c>
      <c r="CG208" s="230">
        <v>404000</v>
      </c>
      <c r="CH208" s="230">
        <v>634850</v>
      </c>
      <c r="CI208" s="229">
        <v>1.5713999999999999</v>
      </c>
      <c r="CJ208" s="230">
        <v>355350</v>
      </c>
      <c r="CK208" s="230">
        <v>293050</v>
      </c>
      <c r="CL208" s="230">
        <v>62300</v>
      </c>
      <c r="CM208" s="229">
        <v>0.21260000000000001</v>
      </c>
      <c r="CN208" s="230">
        <v>1005900</v>
      </c>
      <c r="CO208" s="230">
        <v>787300</v>
      </c>
      <c r="CP208" s="230">
        <v>218600</v>
      </c>
      <c r="CQ208" s="229">
        <v>0.2777</v>
      </c>
      <c r="CR208" s="230">
        <v>608400</v>
      </c>
      <c r="CS208" s="230">
        <v>576550</v>
      </c>
      <c r="CT208" s="230">
        <v>31850</v>
      </c>
      <c r="CU208" s="229">
        <v>5.5199999999999999E-2</v>
      </c>
      <c r="CV208" s="230">
        <v>4346700</v>
      </c>
      <c r="CW208" s="230">
        <v>3951850</v>
      </c>
      <c r="CX208" s="230">
        <v>394850</v>
      </c>
      <c r="CY208" s="229">
        <v>9.9900000000000003E-2</v>
      </c>
      <c r="CZ208" s="228">
        <v>28.88</v>
      </c>
      <c r="DA208" s="228">
        <v>29.87</v>
      </c>
      <c r="DB208" s="228">
        <v>-0.99</v>
      </c>
      <c r="DC208" s="228">
        <v>-0.99</v>
      </c>
      <c r="DD208" s="228">
        <v>29.93</v>
      </c>
      <c r="DE208" s="228">
        <v>30</v>
      </c>
      <c r="DF208" s="228">
        <v>-1.05</v>
      </c>
      <c r="DG208" s="228">
        <v>-7.0000000000000007E-2</v>
      </c>
      <c r="DH208" s="228">
        <v>28.92</v>
      </c>
      <c r="DI208" s="228">
        <v>28.56</v>
      </c>
      <c r="DJ208" s="228">
        <v>0.36</v>
      </c>
      <c r="DK208" s="228">
        <v>0.36</v>
      </c>
      <c r="DL208" s="228">
        <v>28.73</v>
      </c>
      <c r="DM208" s="228">
        <v>32.270000000000003</v>
      </c>
      <c r="DN208" s="228">
        <v>-3.54</v>
      </c>
      <c r="DO208" s="228">
        <v>-3.54</v>
      </c>
      <c r="DP208" s="228">
        <v>0.6</v>
      </c>
      <c r="DQ208" s="228">
        <v>0.73</v>
      </c>
      <c r="DR208" s="228">
        <v>-0.13</v>
      </c>
      <c r="DS208" s="229">
        <v>-0.17810000000000001</v>
      </c>
      <c r="DT208" s="231">
        <v>12500</v>
      </c>
      <c r="DU208" s="231">
        <v>12000</v>
      </c>
      <c r="DV208" s="228">
        <v>0.9</v>
      </c>
      <c r="DW208" s="228">
        <v>0.54</v>
      </c>
      <c r="DX208" s="228">
        <v>0.36</v>
      </c>
      <c r="DY208" s="229">
        <v>0.66669999999999996</v>
      </c>
      <c r="DZ208" s="229">
        <v>0.51019999999999999</v>
      </c>
      <c r="EA208" s="230">
        <v>697050</v>
      </c>
      <c r="EB208" s="229">
        <v>5.1999999999999998E-3</v>
      </c>
      <c r="EC208" s="229">
        <v>0.51019999999999999</v>
      </c>
      <c r="ED208" s="228">
        <v>63.08</v>
      </c>
      <c r="EE208" s="229">
        <v>5.1999999999999998E-3</v>
      </c>
      <c r="EF208" s="230">
        <v>124066</v>
      </c>
      <c r="EG208" s="230">
        <v>281249</v>
      </c>
      <c r="EH208" s="229">
        <v>-0.55889999999999995</v>
      </c>
      <c r="EI208" s="229">
        <v>0.51029999999999998</v>
      </c>
      <c r="EJ208" s="231">
        <v>189092.06</v>
      </c>
      <c r="EK208" s="231">
        <v>151680.03</v>
      </c>
      <c r="EL208" s="231">
        <v>212588.68</v>
      </c>
      <c r="EM208" s="231">
        <v>8428</v>
      </c>
      <c r="EN208" s="231">
        <v>553360.77</v>
      </c>
      <c r="EO208" s="231">
        <v>341666.46</v>
      </c>
      <c r="EP208" s="231">
        <v>211694.31</v>
      </c>
      <c r="EQ208" s="229">
        <v>0.61960000000000004</v>
      </c>
      <c r="ER208" s="231">
        <v>122294</v>
      </c>
      <c r="ES208" s="231">
        <v>68147</v>
      </c>
      <c r="ET208" s="231">
        <v>333824</v>
      </c>
      <c r="EU208" s="231">
        <v>12994504</v>
      </c>
      <c r="EV208" s="231">
        <v>524264</v>
      </c>
      <c r="EW208" s="231">
        <v>475072</v>
      </c>
      <c r="EX208" s="231">
        <v>49192</v>
      </c>
      <c r="EY208" s="229">
        <v>0.10349999999999999</v>
      </c>
      <c r="EZ208" s="229">
        <v>0.33450000000000002</v>
      </c>
      <c r="FA208" s="227" t="s">
        <v>555</v>
      </c>
      <c r="FB208" s="161">
        <f t="shared" si="5"/>
        <v>0</v>
      </c>
    </row>
    <row r="209" spans="1:158" ht="17.25" thickBot="1" x14ac:dyDescent="0.3">
      <c r="A209" s="226">
        <v>46135</v>
      </c>
      <c r="B209" s="227" t="s">
        <v>172</v>
      </c>
      <c r="C209" s="227" t="s">
        <v>592</v>
      </c>
      <c r="D209" s="228">
        <v>4425</v>
      </c>
      <c r="E209" s="228">
        <v>179.4</v>
      </c>
      <c r="F209" s="228">
        <v>193.31</v>
      </c>
      <c r="G209" s="228">
        <v>-13.91</v>
      </c>
      <c r="H209" s="229">
        <v>-7.1999999999999995E-2</v>
      </c>
      <c r="I209" s="228">
        <v>179.71</v>
      </c>
      <c r="J209" s="228">
        <v>194.05</v>
      </c>
      <c r="K209" s="228">
        <v>-14.34</v>
      </c>
      <c r="L209" s="229">
        <v>-7.3899999999999993E-2</v>
      </c>
      <c r="M209" s="228">
        <v>179.4</v>
      </c>
      <c r="N209" s="228">
        <v>193.31</v>
      </c>
      <c r="O209" s="228">
        <v>-13.91</v>
      </c>
      <c r="P209" s="229">
        <v>-7.1999999999999995E-2</v>
      </c>
      <c r="Q209" s="228">
        <v>177.62</v>
      </c>
      <c r="R209" s="228">
        <v>192.16</v>
      </c>
      <c r="S209" s="228">
        <v>-14.54</v>
      </c>
      <c r="T209" s="229">
        <v>-7.5700000000000003E-2</v>
      </c>
      <c r="U209" s="228">
        <v>176.89</v>
      </c>
      <c r="V209" s="228">
        <v>191.77</v>
      </c>
      <c r="W209" s="228">
        <v>-14.88</v>
      </c>
      <c r="X209" s="229">
        <v>-7.7600000000000002E-2</v>
      </c>
      <c r="Y209" s="228">
        <v>-0.31</v>
      </c>
      <c r="Z209" s="228">
        <v>-0.74</v>
      </c>
      <c r="AA209" s="228">
        <v>0.43</v>
      </c>
      <c r="AB209" s="229">
        <v>-1.6999999999999999E-3</v>
      </c>
      <c r="AC209" s="228">
        <v>-0.31</v>
      </c>
      <c r="AD209" s="228">
        <v>-0.74</v>
      </c>
      <c r="AE209" s="228">
        <v>0.43</v>
      </c>
      <c r="AF209" s="229">
        <v>-1.6999999999999999E-3</v>
      </c>
      <c r="AG209" s="228">
        <v>-2.09</v>
      </c>
      <c r="AH209" s="228">
        <v>-1.89</v>
      </c>
      <c r="AI209" s="228">
        <v>-0.2</v>
      </c>
      <c r="AJ209" s="229">
        <v>-1.1599999999999999E-2</v>
      </c>
      <c r="AK209" s="228">
        <v>-2.82</v>
      </c>
      <c r="AL209" s="228">
        <v>-2.2799999999999998</v>
      </c>
      <c r="AM209" s="228">
        <v>-0.54</v>
      </c>
      <c r="AN209" s="229">
        <v>-1.5699999999999999E-2</v>
      </c>
      <c r="AO209" s="228">
        <v>185.04</v>
      </c>
      <c r="AP209" s="228">
        <v>182.29</v>
      </c>
      <c r="AQ209" s="228">
        <v>0</v>
      </c>
      <c r="AR209" s="230">
        <v>214546125</v>
      </c>
      <c r="AS209" s="230">
        <v>47409450</v>
      </c>
      <c r="AT209" s="230">
        <v>167136675</v>
      </c>
      <c r="AU209" s="229">
        <v>3.5253999999999999</v>
      </c>
      <c r="AV209" s="230">
        <v>106651350</v>
      </c>
      <c r="AW209" s="230">
        <v>31771500</v>
      </c>
      <c r="AX209" s="230">
        <v>74879850</v>
      </c>
      <c r="AY209" s="229">
        <v>2.3567999999999998</v>
      </c>
      <c r="AZ209" s="230">
        <v>105691125</v>
      </c>
      <c r="BA209" s="230">
        <v>15053850</v>
      </c>
      <c r="BB209" s="230">
        <v>90637275</v>
      </c>
      <c r="BC209" s="229">
        <v>6.0209000000000001</v>
      </c>
      <c r="BD209" s="230">
        <v>2203650</v>
      </c>
      <c r="BE209" s="230">
        <v>584100</v>
      </c>
      <c r="BF209" s="230">
        <v>1619550</v>
      </c>
      <c r="BG209" s="229">
        <v>2.7726999999999999</v>
      </c>
      <c r="BH209" s="230">
        <v>386506050</v>
      </c>
      <c r="BI209" s="230">
        <v>126134625</v>
      </c>
      <c r="BJ209" s="230">
        <v>260371425</v>
      </c>
      <c r="BK209" s="229">
        <v>2.0642</v>
      </c>
      <c r="BL209" s="230">
        <v>252441825</v>
      </c>
      <c r="BM209" s="230">
        <v>63224400</v>
      </c>
      <c r="BN209" s="230">
        <v>189217425</v>
      </c>
      <c r="BO209" s="229">
        <v>2.9927999999999999</v>
      </c>
      <c r="BP209" s="230">
        <v>853494000</v>
      </c>
      <c r="BQ209" s="230">
        <v>236768475</v>
      </c>
      <c r="BR209" s="230">
        <v>616725525</v>
      </c>
      <c r="BS209" s="229">
        <v>2.6048</v>
      </c>
      <c r="BT209" s="230">
        <v>67626945</v>
      </c>
      <c r="BU209" s="230">
        <v>23462856</v>
      </c>
      <c r="BV209" s="230">
        <v>44164089</v>
      </c>
      <c r="BW209" s="229">
        <v>1.8823000000000001</v>
      </c>
      <c r="BX209" s="230">
        <v>132391575</v>
      </c>
      <c r="BY209" s="230">
        <v>130426875</v>
      </c>
      <c r="BZ209" s="230">
        <v>1964700</v>
      </c>
      <c r="CA209" s="229">
        <v>1.5100000000000001E-2</v>
      </c>
      <c r="CB209" s="230">
        <v>64361625</v>
      </c>
      <c r="CC209" s="230">
        <v>103266225</v>
      </c>
      <c r="CD209" s="230">
        <v>-38904600</v>
      </c>
      <c r="CE209" s="229">
        <v>-0.37669999999999998</v>
      </c>
      <c r="CF209" s="230">
        <v>66144900</v>
      </c>
      <c r="CG209" s="230">
        <v>26116350</v>
      </c>
      <c r="CH209" s="230">
        <v>40028550</v>
      </c>
      <c r="CI209" s="229">
        <v>1.5327</v>
      </c>
      <c r="CJ209" s="230">
        <v>1885050</v>
      </c>
      <c r="CK209" s="230">
        <v>1044300</v>
      </c>
      <c r="CL209" s="230">
        <v>840750</v>
      </c>
      <c r="CM209" s="229">
        <v>0.80510000000000004</v>
      </c>
      <c r="CN209" s="230">
        <v>69799950</v>
      </c>
      <c r="CO209" s="230">
        <v>45427050</v>
      </c>
      <c r="CP209" s="230">
        <v>24372900</v>
      </c>
      <c r="CQ209" s="229">
        <v>0.53649999999999998</v>
      </c>
      <c r="CR209" s="230">
        <v>40369275</v>
      </c>
      <c r="CS209" s="230">
        <v>33276000</v>
      </c>
      <c r="CT209" s="230">
        <v>7093275</v>
      </c>
      <c r="CU209" s="229">
        <v>0.2132</v>
      </c>
      <c r="CV209" s="230">
        <v>242560800</v>
      </c>
      <c r="CW209" s="230">
        <v>209129925</v>
      </c>
      <c r="CX209" s="230">
        <v>33430875</v>
      </c>
      <c r="CY209" s="229">
        <v>0.15989999999999999</v>
      </c>
      <c r="CZ209" s="228">
        <v>41.83</v>
      </c>
      <c r="DA209" s="228">
        <v>49.94</v>
      </c>
      <c r="DB209" s="228">
        <v>-8.11</v>
      </c>
      <c r="DC209" s="228">
        <v>-8.11</v>
      </c>
      <c r="DD209" s="228">
        <v>44.85</v>
      </c>
      <c r="DE209" s="228">
        <v>43.81</v>
      </c>
      <c r="DF209" s="228">
        <v>-3.02</v>
      </c>
      <c r="DG209" s="228">
        <v>1.04</v>
      </c>
      <c r="DH209" s="228">
        <v>42.03</v>
      </c>
      <c r="DI209" s="228">
        <v>49.27</v>
      </c>
      <c r="DJ209" s="228">
        <v>-7.24</v>
      </c>
      <c r="DK209" s="228">
        <v>-7.24</v>
      </c>
      <c r="DL209" s="228">
        <v>41.28</v>
      </c>
      <c r="DM209" s="228">
        <v>51.27</v>
      </c>
      <c r="DN209" s="228">
        <v>-9.99</v>
      </c>
      <c r="DO209" s="228">
        <v>-9.99</v>
      </c>
      <c r="DP209" s="228">
        <v>0.57999999999999996</v>
      </c>
      <c r="DQ209" s="228">
        <v>0.73</v>
      </c>
      <c r="DR209" s="228">
        <v>-0.15</v>
      </c>
      <c r="DS209" s="229">
        <v>-0.20549999999999999</v>
      </c>
      <c r="DT209" s="228">
        <v>200</v>
      </c>
      <c r="DU209" s="228">
        <v>170</v>
      </c>
      <c r="DV209" s="228">
        <v>0.65</v>
      </c>
      <c r="DW209" s="228">
        <v>0.5</v>
      </c>
      <c r="DX209" s="228">
        <v>0.15</v>
      </c>
      <c r="DY209" s="229">
        <v>0.3</v>
      </c>
      <c r="DZ209" s="229">
        <v>0.51390000000000002</v>
      </c>
      <c r="EA209" s="230">
        <v>27160650</v>
      </c>
      <c r="EB209" s="229">
        <v>-9.9000000000000008E-3</v>
      </c>
      <c r="EC209" s="229">
        <v>0.51390000000000002</v>
      </c>
      <c r="ED209" s="228">
        <v>-2.75</v>
      </c>
      <c r="EE209" s="229">
        <v>-1.49E-2</v>
      </c>
      <c r="EF209" s="230">
        <v>18040658</v>
      </c>
      <c r="EG209" s="230">
        <v>9869648</v>
      </c>
      <c r="EH209" s="229">
        <v>0.82789999999999997</v>
      </c>
      <c r="EI209" s="229">
        <v>0.26679999999999998</v>
      </c>
      <c r="EJ209" s="231">
        <v>760630.31</v>
      </c>
      <c r="EK209" s="231">
        <v>460956.31</v>
      </c>
      <c r="EL209" s="231">
        <v>393995.38</v>
      </c>
      <c r="EM209" s="231">
        <v>6243</v>
      </c>
      <c r="EN209" s="231">
        <v>1615582</v>
      </c>
      <c r="EO209" s="231">
        <v>469548.99</v>
      </c>
      <c r="EP209" s="231">
        <v>1146033.01</v>
      </c>
      <c r="EQ209" s="229">
        <v>2.4407000000000001</v>
      </c>
      <c r="ER209" s="231">
        <v>135105</v>
      </c>
      <c r="ES209" s="231">
        <v>71236</v>
      </c>
      <c r="ET209" s="231">
        <v>236286</v>
      </c>
      <c r="EU209" s="231">
        <v>289041713</v>
      </c>
      <c r="EV209" s="231">
        <v>442627</v>
      </c>
      <c r="EW209" s="231">
        <v>400741</v>
      </c>
      <c r="EX209" s="231">
        <v>41886</v>
      </c>
      <c r="EY209" s="229">
        <v>0.1045</v>
      </c>
      <c r="EZ209" s="229">
        <v>0.83919999999999995</v>
      </c>
      <c r="FA209" s="227" t="s">
        <v>566</v>
      </c>
      <c r="FB209" s="161">
        <f t="shared" si="5"/>
        <v>0</v>
      </c>
    </row>
    <row r="210" spans="1:158" ht="17.25" thickBot="1" x14ac:dyDescent="0.3">
      <c r="A210" s="226">
        <v>46135</v>
      </c>
      <c r="B210" s="227" t="s">
        <v>168</v>
      </c>
      <c r="C210" s="227" t="s">
        <v>568</v>
      </c>
      <c r="D210" s="228">
        <v>400</v>
      </c>
      <c r="E210" s="231">
        <v>1380.5</v>
      </c>
      <c r="F210" s="231">
        <v>1390.4</v>
      </c>
      <c r="G210" s="228">
        <v>-9.9</v>
      </c>
      <c r="H210" s="229">
        <v>-7.1000000000000004E-3</v>
      </c>
      <c r="I210" s="231">
        <v>1382.3</v>
      </c>
      <c r="J210" s="231">
        <v>1392.8</v>
      </c>
      <c r="K210" s="228">
        <v>-10.5</v>
      </c>
      <c r="L210" s="229">
        <v>-7.4999999999999997E-3</v>
      </c>
      <c r="M210" s="231">
        <v>1380.5</v>
      </c>
      <c r="N210" s="231">
        <v>1390.4</v>
      </c>
      <c r="O210" s="228">
        <v>-9.9</v>
      </c>
      <c r="P210" s="229">
        <v>-7.1000000000000004E-3</v>
      </c>
      <c r="Q210" s="231">
        <v>1387.8</v>
      </c>
      <c r="R210" s="231">
        <v>1397.6</v>
      </c>
      <c r="S210" s="228">
        <v>-9.8000000000000007</v>
      </c>
      <c r="T210" s="229">
        <v>-7.0000000000000001E-3</v>
      </c>
      <c r="U210" s="231">
        <v>1395.8</v>
      </c>
      <c r="V210" s="231">
        <v>1406.8</v>
      </c>
      <c r="W210" s="228">
        <v>-11</v>
      </c>
      <c r="X210" s="229">
        <v>-7.7999999999999996E-3</v>
      </c>
      <c r="Y210" s="228">
        <v>-1.8</v>
      </c>
      <c r="Z210" s="228">
        <v>-2.4</v>
      </c>
      <c r="AA210" s="228">
        <v>0.6</v>
      </c>
      <c r="AB210" s="229">
        <v>-1.2999999999999999E-3</v>
      </c>
      <c r="AC210" s="228">
        <v>-1.8</v>
      </c>
      <c r="AD210" s="228">
        <v>-2.4</v>
      </c>
      <c r="AE210" s="228">
        <v>0.6</v>
      </c>
      <c r="AF210" s="229">
        <v>-1.2999999999999999E-3</v>
      </c>
      <c r="AG210" s="228">
        <v>5.5</v>
      </c>
      <c r="AH210" s="228">
        <v>4.8</v>
      </c>
      <c r="AI210" s="228">
        <v>0.7</v>
      </c>
      <c r="AJ210" s="229">
        <v>4.0000000000000001E-3</v>
      </c>
      <c r="AK210" s="228">
        <v>13.5</v>
      </c>
      <c r="AL210" s="228">
        <v>14</v>
      </c>
      <c r="AM210" s="228">
        <v>-0.5</v>
      </c>
      <c r="AN210" s="229">
        <v>9.7999999999999997E-3</v>
      </c>
      <c r="AO210" s="231">
        <v>1383.28</v>
      </c>
      <c r="AP210" s="231">
        <v>1390.64</v>
      </c>
      <c r="AQ210" s="228">
        <v>0</v>
      </c>
      <c r="AR210" s="230">
        <v>7112000</v>
      </c>
      <c r="AS210" s="230">
        <v>3472000</v>
      </c>
      <c r="AT210" s="230">
        <v>3640000</v>
      </c>
      <c r="AU210" s="229">
        <v>1.0484</v>
      </c>
      <c r="AV210" s="230">
        <v>3642400</v>
      </c>
      <c r="AW210" s="230">
        <v>2428400</v>
      </c>
      <c r="AX210" s="230">
        <v>1214000</v>
      </c>
      <c r="AY210" s="229">
        <v>0.49990000000000001</v>
      </c>
      <c r="AZ210" s="230">
        <v>3455600</v>
      </c>
      <c r="BA210" s="230">
        <v>628000</v>
      </c>
      <c r="BB210" s="230">
        <v>2827600</v>
      </c>
      <c r="BC210" s="229">
        <v>4.5025000000000004</v>
      </c>
      <c r="BD210" s="230">
        <v>14000</v>
      </c>
      <c r="BE210" s="230">
        <v>415600</v>
      </c>
      <c r="BF210" s="230">
        <v>-401600</v>
      </c>
      <c r="BG210" s="229">
        <v>-0.96630000000000005</v>
      </c>
      <c r="BH210" s="230">
        <v>2658800</v>
      </c>
      <c r="BI210" s="230">
        <v>9812400</v>
      </c>
      <c r="BJ210" s="230">
        <v>-7153600</v>
      </c>
      <c r="BK210" s="229">
        <v>-0.72899999999999998</v>
      </c>
      <c r="BL210" s="230">
        <v>1394000</v>
      </c>
      <c r="BM210" s="230">
        <v>5163200</v>
      </c>
      <c r="BN210" s="230">
        <v>-3769200</v>
      </c>
      <c r="BO210" s="229">
        <v>-0.73</v>
      </c>
      <c r="BP210" s="230">
        <v>11164800</v>
      </c>
      <c r="BQ210" s="230">
        <v>18447600</v>
      </c>
      <c r="BR210" s="230">
        <v>-7282800</v>
      </c>
      <c r="BS210" s="229">
        <v>-0.39479999999999998</v>
      </c>
      <c r="BT210" s="230">
        <v>1038337</v>
      </c>
      <c r="BU210" s="230">
        <v>1896425</v>
      </c>
      <c r="BV210" s="230">
        <v>-858088</v>
      </c>
      <c r="BW210" s="229">
        <v>-0.45250000000000001</v>
      </c>
      <c r="BX210" s="230">
        <v>11215200</v>
      </c>
      <c r="BY210" s="230">
        <v>11508000</v>
      </c>
      <c r="BZ210" s="230">
        <v>-292800</v>
      </c>
      <c r="CA210" s="229">
        <v>-2.5399999999999999E-2</v>
      </c>
      <c r="CB210" s="230">
        <v>6529200</v>
      </c>
      <c r="CC210" s="230">
        <v>9758000</v>
      </c>
      <c r="CD210" s="230">
        <v>-3228800</v>
      </c>
      <c r="CE210" s="229">
        <v>-0.33090000000000003</v>
      </c>
      <c r="CF210" s="230">
        <v>4242400</v>
      </c>
      <c r="CG210" s="230">
        <v>1309600</v>
      </c>
      <c r="CH210" s="230">
        <v>2932800</v>
      </c>
      <c r="CI210" s="229">
        <v>2.2395</v>
      </c>
      <c r="CJ210" s="230">
        <v>443600</v>
      </c>
      <c r="CK210" s="230">
        <v>440400</v>
      </c>
      <c r="CL210" s="230">
        <v>3200</v>
      </c>
      <c r="CM210" s="229">
        <v>7.3000000000000001E-3</v>
      </c>
      <c r="CN210" s="230">
        <v>3903600</v>
      </c>
      <c r="CO210" s="230">
        <v>3966000</v>
      </c>
      <c r="CP210" s="230">
        <v>-62400</v>
      </c>
      <c r="CQ210" s="229">
        <v>-1.5699999999999999E-2</v>
      </c>
      <c r="CR210" s="230">
        <v>3644800</v>
      </c>
      <c r="CS210" s="230">
        <v>3584000</v>
      </c>
      <c r="CT210" s="230">
        <v>60800</v>
      </c>
      <c r="CU210" s="229">
        <v>1.7000000000000001E-2</v>
      </c>
      <c r="CV210" s="230">
        <v>18763600</v>
      </c>
      <c r="CW210" s="230">
        <v>19058000</v>
      </c>
      <c r="CX210" s="230">
        <v>-294400</v>
      </c>
      <c r="CY210" s="229">
        <v>-1.54E-2</v>
      </c>
      <c r="CZ210" s="228">
        <v>27.28</v>
      </c>
      <c r="DA210" s="228">
        <v>27.67</v>
      </c>
      <c r="DB210" s="228">
        <v>-0.39</v>
      </c>
      <c r="DC210" s="228">
        <v>-0.39</v>
      </c>
      <c r="DD210" s="228">
        <v>30.45</v>
      </c>
      <c r="DE210" s="228">
        <v>30.51</v>
      </c>
      <c r="DF210" s="228">
        <v>-3.17</v>
      </c>
      <c r="DG210" s="228">
        <v>-0.06</v>
      </c>
      <c r="DH210" s="228">
        <v>26.93</v>
      </c>
      <c r="DI210" s="228">
        <v>26.36</v>
      </c>
      <c r="DJ210" s="228">
        <v>0.56999999999999995</v>
      </c>
      <c r="DK210" s="228">
        <v>0.56999999999999995</v>
      </c>
      <c r="DL210" s="228">
        <v>28.23</v>
      </c>
      <c r="DM210" s="228">
        <v>30.17</v>
      </c>
      <c r="DN210" s="228">
        <v>-1.94</v>
      </c>
      <c r="DO210" s="228">
        <v>-1.94</v>
      </c>
      <c r="DP210" s="228">
        <v>0.93</v>
      </c>
      <c r="DQ210" s="228">
        <v>0.9</v>
      </c>
      <c r="DR210" s="228">
        <v>0.03</v>
      </c>
      <c r="DS210" s="229">
        <v>3.3300000000000003E-2</v>
      </c>
      <c r="DT210" s="231">
        <v>1400</v>
      </c>
      <c r="DU210" s="231">
        <v>1230</v>
      </c>
      <c r="DV210" s="228">
        <v>0.52</v>
      </c>
      <c r="DW210" s="228">
        <v>0.53</v>
      </c>
      <c r="DX210" s="228">
        <v>-0.01</v>
      </c>
      <c r="DY210" s="229">
        <v>-1.89E-2</v>
      </c>
      <c r="DZ210" s="229">
        <v>0.4178</v>
      </c>
      <c r="EA210" s="230">
        <v>1750000</v>
      </c>
      <c r="EB210" s="229">
        <v>5.3E-3</v>
      </c>
      <c r="EC210" s="229">
        <v>0.4178</v>
      </c>
      <c r="ED210" s="228">
        <v>7.36</v>
      </c>
      <c r="EE210" s="229">
        <v>5.3E-3</v>
      </c>
      <c r="EF210" s="230">
        <v>602316</v>
      </c>
      <c r="EG210" s="230">
        <v>1107033</v>
      </c>
      <c r="EH210" s="229">
        <v>-0.45590000000000003</v>
      </c>
      <c r="EI210" s="229">
        <v>0.58009999999999995</v>
      </c>
      <c r="EJ210" s="231">
        <v>37959.97</v>
      </c>
      <c r="EK210" s="231">
        <v>18759.810000000001</v>
      </c>
      <c r="EL210" s="231">
        <v>98635.41</v>
      </c>
      <c r="EM210" s="231">
        <v>6638</v>
      </c>
      <c r="EN210" s="231">
        <v>155355.19</v>
      </c>
      <c r="EO210" s="231">
        <v>257186.05</v>
      </c>
      <c r="EP210" s="231">
        <v>-101830.86</v>
      </c>
      <c r="EQ210" s="229">
        <v>-0.39589999999999997</v>
      </c>
      <c r="ER210" s="231">
        <v>53283</v>
      </c>
      <c r="ES210" s="231">
        <v>47626</v>
      </c>
      <c r="ET210" s="231">
        <v>155203</v>
      </c>
      <c r="EU210" s="231">
        <v>38847259</v>
      </c>
      <c r="EV210" s="231">
        <v>256113</v>
      </c>
      <c r="EW210" s="231">
        <v>261125</v>
      </c>
      <c r="EX210" s="231">
        <v>-5012</v>
      </c>
      <c r="EY210" s="229">
        <v>-1.9199999999999998E-2</v>
      </c>
      <c r="EZ210" s="229">
        <v>0.48299999999999998</v>
      </c>
      <c r="FA210" s="227" t="s">
        <v>567</v>
      </c>
      <c r="FB210" s="161">
        <f t="shared" si="5"/>
        <v>0</v>
      </c>
    </row>
    <row r="211" spans="1:158" ht="17.25" thickBot="1" x14ac:dyDescent="0.3">
      <c r="A211" s="226">
        <v>46135</v>
      </c>
      <c r="B211" s="227" t="s">
        <v>162</v>
      </c>
      <c r="C211" s="227" t="s">
        <v>672</v>
      </c>
      <c r="D211" s="228">
        <v>550</v>
      </c>
      <c r="E211" s="231">
        <v>1131</v>
      </c>
      <c r="F211" s="231">
        <v>1149.9000000000001</v>
      </c>
      <c r="G211" s="228">
        <v>-18.899999999999999</v>
      </c>
      <c r="H211" s="229">
        <v>-1.6400000000000001E-2</v>
      </c>
      <c r="I211" s="231">
        <v>1130.0999999999999</v>
      </c>
      <c r="J211" s="231">
        <v>1151.3</v>
      </c>
      <c r="K211" s="228">
        <v>-21.2</v>
      </c>
      <c r="L211" s="229">
        <v>-1.84E-2</v>
      </c>
      <c r="M211" s="231">
        <v>1131</v>
      </c>
      <c r="N211" s="231">
        <v>1149.9000000000001</v>
      </c>
      <c r="O211" s="228">
        <v>-18.899999999999999</v>
      </c>
      <c r="P211" s="229">
        <v>-1.6400000000000001E-2</v>
      </c>
      <c r="Q211" s="231">
        <v>1137.3</v>
      </c>
      <c r="R211" s="231">
        <v>1155.5999999999999</v>
      </c>
      <c r="S211" s="228">
        <v>-18.3</v>
      </c>
      <c r="T211" s="229">
        <v>-1.5800000000000002E-2</v>
      </c>
      <c r="U211" s="231">
        <v>1150</v>
      </c>
      <c r="V211" s="231">
        <v>1158.9000000000001</v>
      </c>
      <c r="W211" s="228">
        <v>-8.9</v>
      </c>
      <c r="X211" s="229">
        <v>-7.7000000000000002E-3</v>
      </c>
      <c r="Y211" s="228">
        <v>0.9</v>
      </c>
      <c r="Z211" s="228">
        <v>-1.4</v>
      </c>
      <c r="AA211" s="228">
        <v>2.2999999999999998</v>
      </c>
      <c r="AB211" s="229">
        <v>8.0000000000000004E-4</v>
      </c>
      <c r="AC211" s="228">
        <v>0.9</v>
      </c>
      <c r="AD211" s="228">
        <v>-1.4</v>
      </c>
      <c r="AE211" s="228">
        <v>2.2999999999999998</v>
      </c>
      <c r="AF211" s="229">
        <v>8.0000000000000004E-4</v>
      </c>
      <c r="AG211" s="228">
        <v>7.2</v>
      </c>
      <c r="AH211" s="228">
        <v>4.3</v>
      </c>
      <c r="AI211" s="228">
        <v>2.9</v>
      </c>
      <c r="AJ211" s="229">
        <v>6.4000000000000003E-3</v>
      </c>
      <c r="AK211" s="228">
        <v>19.899999999999999</v>
      </c>
      <c r="AL211" s="228">
        <v>7.6</v>
      </c>
      <c r="AM211" s="228">
        <v>12.3</v>
      </c>
      <c r="AN211" s="229">
        <v>1.7600000000000001E-2</v>
      </c>
      <c r="AO211" s="231">
        <v>1135.69</v>
      </c>
      <c r="AP211" s="231">
        <v>1142.05</v>
      </c>
      <c r="AQ211" s="228">
        <v>0</v>
      </c>
      <c r="AR211" s="230">
        <v>3843400</v>
      </c>
      <c r="AS211" s="230">
        <v>671550</v>
      </c>
      <c r="AT211" s="230">
        <v>3171850</v>
      </c>
      <c r="AU211" s="229">
        <v>4.7232000000000003</v>
      </c>
      <c r="AV211" s="230">
        <v>2007500</v>
      </c>
      <c r="AW211" s="230">
        <v>478500</v>
      </c>
      <c r="AX211" s="230">
        <v>1529000</v>
      </c>
      <c r="AY211" s="229">
        <v>3.1953999999999998</v>
      </c>
      <c r="AZ211" s="230">
        <v>1835350</v>
      </c>
      <c r="BA211" s="230">
        <v>190850</v>
      </c>
      <c r="BB211" s="230">
        <v>1644500</v>
      </c>
      <c r="BC211" s="229">
        <v>8.6166999999999998</v>
      </c>
      <c r="BD211" s="228">
        <v>550</v>
      </c>
      <c r="BE211" s="230">
        <v>2200</v>
      </c>
      <c r="BF211" s="230">
        <v>-1650</v>
      </c>
      <c r="BG211" s="229">
        <v>-0.75</v>
      </c>
      <c r="BH211" s="230">
        <v>1441550</v>
      </c>
      <c r="BI211" s="230">
        <v>1629650</v>
      </c>
      <c r="BJ211" s="230">
        <v>-188100</v>
      </c>
      <c r="BK211" s="229">
        <v>-0.1154</v>
      </c>
      <c r="BL211" s="230">
        <v>617650</v>
      </c>
      <c r="BM211" s="230">
        <v>420750</v>
      </c>
      <c r="BN211" s="230">
        <v>196900</v>
      </c>
      <c r="BO211" s="229">
        <v>0.46800000000000003</v>
      </c>
      <c r="BP211" s="230">
        <v>5902600</v>
      </c>
      <c r="BQ211" s="230">
        <v>2721950</v>
      </c>
      <c r="BR211" s="230">
        <v>3180650</v>
      </c>
      <c r="BS211" s="229">
        <v>1.1685000000000001</v>
      </c>
      <c r="BT211" s="230">
        <v>786892</v>
      </c>
      <c r="BU211" s="230">
        <v>1227559</v>
      </c>
      <c r="BV211" s="230">
        <v>-440667</v>
      </c>
      <c r="BW211" s="229">
        <v>-0.35899999999999999</v>
      </c>
      <c r="BX211" s="230">
        <v>4374150</v>
      </c>
      <c r="BY211" s="230">
        <v>4467100</v>
      </c>
      <c r="BZ211" s="230">
        <v>-92950</v>
      </c>
      <c r="CA211" s="229">
        <v>-2.0799999999999999E-2</v>
      </c>
      <c r="CB211" s="230">
        <v>2399100</v>
      </c>
      <c r="CC211" s="230">
        <v>4146450</v>
      </c>
      <c r="CD211" s="230">
        <v>-1747350</v>
      </c>
      <c r="CE211" s="229">
        <v>-0.4214</v>
      </c>
      <c r="CF211" s="230">
        <v>1963500</v>
      </c>
      <c r="CG211" s="230">
        <v>309650</v>
      </c>
      <c r="CH211" s="230">
        <v>1653850</v>
      </c>
      <c r="CI211" s="229">
        <v>5.3410000000000002</v>
      </c>
      <c r="CJ211" s="230">
        <v>11550</v>
      </c>
      <c r="CK211" s="230">
        <v>11000</v>
      </c>
      <c r="CL211" s="228">
        <v>550</v>
      </c>
      <c r="CM211" s="229">
        <v>0.05</v>
      </c>
      <c r="CN211" s="230">
        <v>1686850</v>
      </c>
      <c r="CO211" s="230">
        <v>1821600</v>
      </c>
      <c r="CP211" s="230">
        <v>-134750</v>
      </c>
      <c r="CQ211" s="229">
        <v>-7.3999999999999996E-2</v>
      </c>
      <c r="CR211" s="230">
        <v>848100</v>
      </c>
      <c r="CS211" s="230">
        <v>919600</v>
      </c>
      <c r="CT211" s="230">
        <v>-71500</v>
      </c>
      <c r="CU211" s="229">
        <v>-7.7799999999999994E-2</v>
      </c>
      <c r="CV211" s="230">
        <v>6909100</v>
      </c>
      <c r="CW211" s="230">
        <v>7208300</v>
      </c>
      <c r="CX211" s="230">
        <v>-299200</v>
      </c>
      <c r="CY211" s="229">
        <v>-4.1500000000000002E-2</v>
      </c>
      <c r="CZ211" s="228">
        <v>35.119999999999997</v>
      </c>
      <c r="DA211" s="228">
        <v>28.99</v>
      </c>
      <c r="DB211" s="228">
        <v>6.13</v>
      </c>
      <c r="DC211" s="228">
        <v>6.13</v>
      </c>
      <c r="DD211" s="228">
        <v>42.82</v>
      </c>
      <c r="DE211" s="228">
        <v>42.87</v>
      </c>
      <c r="DF211" s="228">
        <v>-7.7</v>
      </c>
      <c r="DG211" s="228">
        <v>-0.05</v>
      </c>
      <c r="DH211" s="228">
        <v>34.76</v>
      </c>
      <c r="DI211" s="228">
        <v>27.19</v>
      </c>
      <c r="DJ211" s="228">
        <v>7.57</v>
      </c>
      <c r="DK211" s="228">
        <v>7.57</v>
      </c>
      <c r="DL211" s="228">
        <v>36.5</v>
      </c>
      <c r="DM211" s="228">
        <v>35.97</v>
      </c>
      <c r="DN211" s="228">
        <v>0.53</v>
      </c>
      <c r="DO211" s="228">
        <v>0.53</v>
      </c>
      <c r="DP211" s="228">
        <v>0.5</v>
      </c>
      <c r="DQ211" s="228">
        <v>0.5</v>
      </c>
      <c r="DR211" s="228">
        <v>0</v>
      </c>
      <c r="DS211" s="229">
        <v>0</v>
      </c>
      <c r="DT211" s="231">
        <v>1200</v>
      </c>
      <c r="DU211" s="231">
        <v>1100</v>
      </c>
      <c r="DV211" s="228">
        <v>0.43</v>
      </c>
      <c r="DW211" s="228">
        <v>0.26</v>
      </c>
      <c r="DX211" s="228">
        <v>0.17</v>
      </c>
      <c r="DY211" s="229">
        <v>0.65380000000000005</v>
      </c>
      <c r="DZ211" s="229">
        <v>0.45150000000000001</v>
      </c>
      <c r="EA211" s="230">
        <v>320650</v>
      </c>
      <c r="EB211" s="229">
        <v>5.5999999999999999E-3</v>
      </c>
      <c r="EC211" s="229">
        <v>0.45150000000000001</v>
      </c>
      <c r="ED211" s="228">
        <v>6.36</v>
      </c>
      <c r="EE211" s="229">
        <v>5.5999999999999999E-3</v>
      </c>
      <c r="EF211" s="230">
        <v>455808</v>
      </c>
      <c r="EG211" s="230">
        <v>802359</v>
      </c>
      <c r="EH211" s="229">
        <v>-0.43190000000000001</v>
      </c>
      <c r="EI211" s="229">
        <v>0.57930000000000004</v>
      </c>
      <c r="EJ211" s="231">
        <v>17364.32</v>
      </c>
      <c r="EK211" s="231">
        <v>6688.58</v>
      </c>
      <c r="EL211" s="231">
        <v>43765.93</v>
      </c>
      <c r="EM211" s="231">
        <v>1537</v>
      </c>
      <c r="EN211" s="231">
        <v>67818.83</v>
      </c>
      <c r="EO211" s="231">
        <v>31762.86</v>
      </c>
      <c r="EP211" s="231">
        <v>36055.97</v>
      </c>
      <c r="EQ211" s="229">
        <v>1.1352</v>
      </c>
      <c r="ER211" s="231">
        <v>19783</v>
      </c>
      <c r="ES211" s="231">
        <v>9139</v>
      </c>
      <c r="ET211" s="231">
        <v>49598</v>
      </c>
      <c r="EU211" s="231">
        <v>27343613</v>
      </c>
      <c r="EV211" s="231">
        <v>78520</v>
      </c>
      <c r="EW211" s="231">
        <v>82623</v>
      </c>
      <c r="EX211" s="231">
        <v>-4103</v>
      </c>
      <c r="EY211" s="229">
        <v>-4.9700000000000001E-2</v>
      </c>
      <c r="EZ211" s="229">
        <v>0.25269999999999998</v>
      </c>
      <c r="FA211" s="227" t="s">
        <v>567</v>
      </c>
      <c r="FB211" s="161">
        <f t="shared" si="5"/>
        <v>0</v>
      </c>
    </row>
    <row r="212" spans="1:158" ht="17.25" thickBot="1" x14ac:dyDescent="0.3">
      <c r="A212" s="226">
        <v>46135</v>
      </c>
      <c r="B212" s="227" t="s">
        <v>498</v>
      </c>
      <c r="C212" s="227" t="s">
        <v>303</v>
      </c>
      <c r="D212" s="228">
        <v>1355</v>
      </c>
      <c r="E212" s="228">
        <v>641.65</v>
      </c>
      <c r="F212" s="228">
        <v>655.25</v>
      </c>
      <c r="G212" s="228">
        <v>-13.6</v>
      </c>
      <c r="H212" s="229">
        <v>-2.0799999999999999E-2</v>
      </c>
      <c r="I212" s="228">
        <v>642.04999999999995</v>
      </c>
      <c r="J212" s="228">
        <v>653.85</v>
      </c>
      <c r="K212" s="228">
        <v>-11.8</v>
      </c>
      <c r="L212" s="229">
        <v>-1.7999999999999999E-2</v>
      </c>
      <c r="M212" s="228">
        <v>641.65</v>
      </c>
      <c r="N212" s="228">
        <v>655.25</v>
      </c>
      <c r="O212" s="228">
        <v>-13.6</v>
      </c>
      <c r="P212" s="229">
        <v>-2.0799999999999999E-2</v>
      </c>
      <c r="Q212" s="228">
        <v>645.29999999999995</v>
      </c>
      <c r="R212" s="228">
        <v>658.45</v>
      </c>
      <c r="S212" s="228">
        <v>-13.15</v>
      </c>
      <c r="T212" s="229">
        <v>-0.02</v>
      </c>
      <c r="U212" s="228">
        <v>647.5</v>
      </c>
      <c r="V212" s="228">
        <v>662.2</v>
      </c>
      <c r="W212" s="228">
        <v>-14.7</v>
      </c>
      <c r="X212" s="229">
        <v>-2.2200000000000001E-2</v>
      </c>
      <c r="Y212" s="228">
        <v>-0.4</v>
      </c>
      <c r="Z212" s="228">
        <v>1.4</v>
      </c>
      <c r="AA212" s="228">
        <v>-1.8</v>
      </c>
      <c r="AB212" s="229">
        <v>-5.9999999999999995E-4</v>
      </c>
      <c r="AC212" s="228">
        <v>-0.4</v>
      </c>
      <c r="AD212" s="228">
        <v>1.4</v>
      </c>
      <c r="AE212" s="228">
        <v>-1.8</v>
      </c>
      <c r="AF212" s="229">
        <v>-5.9999999999999995E-4</v>
      </c>
      <c r="AG212" s="228">
        <v>3.25</v>
      </c>
      <c r="AH212" s="228">
        <v>4.5999999999999996</v>
      </c>
      <c r="AI212" s="228">
        <v>-1.35</v>
      </c>
      <c r="AJ212" s="229">
        <v>5.1000000000000004E-3</v>
      </c>
      <c r="AK212" s="228">
        <v>5.45</v>
      </c>
      <c r="AL212" s="228">
        <v>8.35</v>
      </c>
      <c r="AM212" s="228">
        <v>-2.9</v>
      </c>
      <c r="AN212" s="229">
        <v>8.5000000000000006E-3</v>
      </c>
      <c r="AO212" s="228">
        <v>646.74</v>
      </c>
      <c r="AP212" s="228">
        <v>650.71</v>
      </c>
      <c r="AQ212" s="228">
        <v>0</v>
      </c>
      <c r="AR212" s="230">
        <v>18558080</v>
      </c>
      <c r="AS212" s="230">
        <v>5350895</v>
      </c>
      <c r="AT212" s="230">
        <v>13207185</v>
      </c>
      <c r="AU212" s="229">
        <v>2.4681999999999999</v>
      </c>
      <c r="AV212" s="230">
        <v>9830525</v>
      </c>
      <c r="AW212" s="230">
        <v>3054170</v>
      </c>
      <c r="AX212" s="230">
        <v>6776355</v>
      </c>
      <c r="AY212" s="229">
        <v>2.2187000000000001</v>
      </c>
      <c r="AZ212" s="230">
        <v>8705875</v>
      </c>
      <c r="BA212" s="230">
        <v>2258785</v>
      </c>
      <c r="BB212" s="230">
        <v>6447090</v>
      </c>
      <c r="BC212" s="229">
        <v>2.8542000000000001</v>
      </c>
      <c r="BD212" s="230">
        <v>21680</v>
      </c>
      <c r="BE212" s="230">
        <v>37940</v>
      </c>
      <c r="BF212" s="230">
        <v>-16260</v>
      </c>
      <c r="BG212" s="229">
        <v>-0.42859999999999998</v>
      </c>
      <c r="BH212" s="230">
        <v>8975520</v>
      </c>
      <c r="BI212" s="230">
        <v>6789905</v>
      </c>
      <c r="BJ212" s="230">
        <v>2185615</v>
      </c>
      <c r="BK212" s="229">
        <v>0.32190000000000002</v>
      </c>
      <c r="BL212" s="230">
        <v>5407805</v>
      </c>
      <c r="BM212" s="230">
        <v>4120555</v>
      </c>
      <c r="BN212" s="230">
        <v>1287250</v>
      </c>
      <c r="BO212" s="229">
        <v>0.31240000000000001</v>
      </c>
      <c r="BP212" s="230">
        <v>32941405</v>
      </c>
      <c r="BQ212" s="230">
        <v>16261355</v>
      </c>
      <c r="BR212" s="230">
        <v>16680050</v>
      </c>
      <c r="BS212" s="229">
        <v>1.0257000000000001</v>
      </c>
      <c r="BT212" s="230">
        <v>2526429</v>
      </c>
      <c r="BU212" s="230">
        <v>1853830</v>
      </c>
      <c r="BV212" s="230">
        <v>672599</v>
      </c>
      <c r="BW212" s="229">
        <v>0.36280000000000001</v>
      </c>
      <c r="BX212" s="230">
        <v>32784225</v>
      </c>
      <c r="BY212" s="230">
        <v>31204295</v>
      </c>
      <c r="BZ212" s="230">
        <v>1579930</v>
      </c>
      <c r="CA212" s="229">
        <v>5.0599999999999999E-2</v>
      </c>
      <c r="CB212" s="230">
        <v>22123085</v>
      </c>
      <c r="CC212" s="230">
        <v>27914355</v>
      </c>
      <c r="CD212" s="230">
        <v>-5791270</v>
      </c>
      <c r="CE212" s="229">
        <v>-0.20749999999999999</v>
      </c>
      <c r="CF212" s="230">
        <v>10578485</v>
      </c>
      <c r="CG212" s="230">
        <v>3220835</v>
      </c>
      <c r="CH212" s="230">
        <v>7357650</v>
      </c>
      <c r="CI212" s="229">
        <v>2.2844000000000002</v>
      </c>
      <c r="CJ212" s="230">
        <v>82655</v>
      </c>
      <c r="CK212" s="230">
        <v>69105</v>
      </c>
      <c r="CL212" s="230">
        <v>13550</v>
      </c>
      <c r="CM212" s="229">
        <v>0.1961</v>
      </c>
      <c r="CN212" s="230">
        <v>9525650</v>
      </c>
      <c r="CO212" s="230">
        <v>10159790</v>
      </c>
      <c r="CP212" s="230">
        <v>-634140</v>
      </c>
      <c r="CQ212" s="229">
        <v>-6.2399999999999997E-2</v>
      </c>
      <c r="CR212" s="230">
        <v>7371200</v>
      </c>
      <c r="CS212" s="230">
        <v>7636780</v>
      </c>
      <c r="CT212" s="230">
        <v>-265580</v>
      </c>
      <c r="CU212" s="229">
        <v>-3.4799999999999998E-2</v>
      </c>
      <c r="CV212" s="230">
        <v>49681075</v>
      </c>
      <c r="CW212" s="230">
        <v>49000865</v>
      </c>
      <c r="CX212" s="230">
        <v>680210</v>
      </c>
      <c r="CY212" s="229">
        <v>1.3899999999999999E-2</v>
      </c>
      <c r="CZ212" s="228">
        <v>33.869999999999997</v>
      </c>
      <c r="DA212" s="228">
        <v>31.07</v>
      </c>
      <c r="DB212" s="228">
        <v>2.8</v>
      </c>
      <c r="DC212" s="228">
        <v>2.8</v>
      </c>
      <c r="DD212" s="228">
        <v>41.67</v>
      </c>
      <c r="DE212" s="228">
        <v>41.68</v>
      </c>
      <c r="DF212" s="228">
        <v>-7.8</v>
      </c>
      <c r="DG212" s="228">
        <v>-0.01</v>
      </c>
      <c r="DH212" s="228">
        <v>34.64</v>
      </c>
      <c r="DI212" s="228">
        <v>29.1</v>
      </c>
      <c r="DJ212" s="228">
        <v>5.54</v>
      </c>
      <c r="DK212" s="228">
        <v>5.54</v>
      </c>
      <c r="DL212" s="228">
        <v>33.07</v>
      </c>
      <c r="DM212" s="228">
        <v>34.299999999999997</v>
      </c>
      <c r="DN212" s="228">
        <v>-1.23</v>
      </c>
      <c r="DO212" s="228">
        <v>-1.23</v>
      </c>
      <c r="DP212" s="228">
        <v>0.77</v>
      </c>
      <c r="DQ212" s="228">
        <v>0.75</v>
      </c>
      <c r="DR212" s="228">
        <v>0.02</v>
      </c>
      <c r="DS212" s="229">
        <v>2.6700000000000002E-2</v>
      </c>
      <c r="DT212" s="228">
        <v>600</v>
      </c>
      <c r="DU212" s="228">
        <v>600</v>
      </c>
      <c r="DV212" s="228">
        <v>0.6</v>
      </c>
      <c r="DW212" s="228">
        <v>0.61</v>
      </c>
      <c r="DX212" s="228">
        <v>-0.01</v>
      </c>
      <c r="DY212" s="229">
        <v>-1.6400000000000001E-2</v>
      </c>
      <c r="DZ212" s="229">
        <v>0.32519999999999999</v>
      </c>
      <c r="EA212" s="230">
        <v>3289940</v>
      </c>
      <c r="EB212" s="229">
        <v>5.7000000000000002E-3</v>
      </c>
      <c r="EC212" s="229">
        <v>0.32519999999999999</v>
      </c>
      <c r="ED212" s="228">
        <v>3.97</v>
      </c>
      <c r="EE212" s="229">
        <v>6.1000000000000004E-3</v>
      </c>
      <c r="EF212" s="230">
        <v>1581355</v>
      </c>
      <c r="EG212" s="230">
        <v>988078</v>
      </c>
      <c r="EH212" s="229">
        <v>0.60040000000000004</v>
      </c>
      <c r="EI212" s="229">
        <v>0.62590000000000001</v>
      </c>
      <c r="EJ212" s="231">
        <v>60064.94</v>
      </c>
      <c r="EK212" s="231">
        <v>35014.589999999997</v>
      </c>
      <c r="EL212" s="231">
        <v>120369.49</v>
      </c>
      <c r="EM212" s="231">
        <v>2559</v>
      </c>
      <c r="EN212" s="231">
        <v>215449.02</v>
      </c>
      <c r="EO212" s="231">
        <v>107563.35</v>
      </c>
      <c r="EP212" s="231">
        <v>107885.67</v>
      </c>
      <c r="EQ212" s="229">
        <v>1.0029999999999999</v>
      </c>
      <c r="ER212" s="231">
        <v>61522</v>
      </c>
      <c r="ES212" s="231">
        <v>45631</v>
      </c>
      <c r="ET212" s="231">
        <v>210751</v>
      </c>
      <c r="EU212" s="231">
        <v>84189026</v>
      </c>
      <c r="EV212" s="231">
        <v>317904</v>
      </c>
      <c r="EW212" s="231">
        <v>317447</v>
      </c>
      <c r="EX212" s="228">
        <v>457</v>
      </c>
      <c r="EY212" s="229">
        <v>1.4E-3</v>
      </c>
      <c r="EZ212" s="229">
        <v>0.59009999999999996</v>
      </c>
      <c r="FA212" s="227" t="s">
        <v>566</v>
      </c>
      <c r="FB212" s="161">
        <f t="shared" si="5"/>
        <v>0</v>
      </c>
    </row>
    <row r="213" spans="1:158" ht="17.25" thickBot="1" x14ac:dyDescent="0.3">
      <c r="A213" s="226">
        <v>46135</v>
      </c>
      <c r="B213" s="227" t="s">
        <v>168</v>
      </c>
      <c r="C213" s="227" t="s">
        <v>585</v>
      </c>
      <c r="D213" s="228">
        <v>1125</v>
      </c>
      <c r="E213" s="228">
        <v>484.85</v>
      </c>
      <c r="F213" s="228">
        <v>494.25</v>
      </c>
      <c r="G213" s="228">
        <v>-9.4</v>
      </c>
      <c r="H213" s="229">
        <v>-1.9E-2</v>
      </c>
      <c r="I213" s="228">
        <v>484.25</v>
      </c>
      <c r="J213" s="228">
        <v>494.95</v>
      </c>
      <c r="K213" s="228">
        <v>-10.7</v>
      </c>
      <c r="L213" s="229">
        <v>-2.1600000000000001E-2</v>
      </c>
      <c r="M213" s="228">
        <v>484.85</v>
      </c>
      <c r="N213" s="228">
        <v>494.25</v>
      </c>
      <c r="O213" s="228">
        <v>-9.4</v>
      </c>
      <c r="P213" s="229">
        <v>-1.9E-2</v>
      </c>
      <c r="Q213" s="228">
        <v>487.1</v>
      </c>
      <c r="R213" s="228">
        <v>496.5</v>
      </c>
      <c r="S213" s="228">
        <v>-9.4</v>
      </c>
      <c r="T213" s="229">
        <v>-1.89E-2</v>
      </c>
      <c r="U213" s="228">
        <v>489.8</v>
      </c>
      <c r="V213" s="228">
        <v>499.5</v>
      </c>
      <c r="W213" s="228">
        <v>-9.6999999999999993</v>
      </c>
      <c r="X213" s="229">
        <v>-1.9400000000000001E-2</v>
      </c>
      <c r="Y213" s="228">
        <v>0.6</v>
      </c>
      <c r="Z213" s="228">
        <v>-0.7</v>
      </c>
      <c r="AA213" s="228">
        <v>1.3</v>
      </c>
      <c r="AB213" s="229">
        <v>1.1999999999999999E-3</v>
      </c>
      <c r="AC213" s="228">
        <v>0.6</v>
      </c>
      <c r="AD213" s="228">
        <v>-0.7</v>
      </c>
      <c r="AE213" s="228">
        <v>1.3</v>
      </c>
      <c r="AF213" s="229">
        <v>1.1999999999999999E-3</v>
      </c>
      <c r="AG213" s="228">
        <v>2.85</v>
      </c>
      <c r="AH213" s="228">
        <v>1.55</v>
      </c>
      <c r="AI213" s="228">
        <v>1.3</v>
      </c>
      <c r="AJ213" s="229">
        <v>5.8999999999999999E-3</v>
      </c>
      <c r="AK213" s="228">
        <v>5.55</v>
      </c>
      <c r="AL213" s="228">
        <v>4.55</v>
      </c>
      <c r="AM213" s="228">
        <v>1</v>
      </c>
      <c r="AN213" s="229">
        <v>1.15E-2</v>
      </c>
      <c r="AO213" s="228">
        <v>484.9</v>
      </c>
      <c r="AP213" s="228">
        <v>487.55</v>
      </c>
      <c r="AQ213" s="228">
        <v>0</v>
      </c>
      <c r="AR213" s="230">
        <v>39258000</v>
      </c>
      <c r="AS213" s="230">
        <v>12760875</v>
      </c>
      <c r="AT213" s="230">
        <v>26497125</v>
      </c>
      <c r="AU213" s="229">
        <v>2.0764</v>
      </c>
      <c r="AV213" s="230">
        <v>21254625</v>
      </c>
      <c r="AW213" s="230">
        <v>10020375</v>
      </c>
      <c r="AX213" s="230">
        <v>11234250</v>
      </c>
      <c r="AY213" s="229">
        <v>1.1211</v>
      </c>
      <c r="AZ213" s="230">
        <v>17401500</v>
      </c>
      <c r="BA213" s="230">
        <v>2603250</v>
      </c>
      <c r="BB213" s="230">
        <v>14798250</v>
      </c>
      <c r="BC213" s="229">
        <v>5.6844999999999999</v>
      </c>
      <c r="BD213" s="230">
        <v>601875</v>
      </c>
      <c r="BE213" s="230">
        <v>137250</v>
      </c>
      <c r="BF213" s="230">
        <v>464625</v>
      </c>
      <c r="BG213" s="229">
        <v>3.3852000000000002</v>
      </c>
      <c r="BH213" s="230">
        <v>25497000</v>
      </c>
      <c r="BI213" s="230">
        <v>40271625</v>
      </c>
      <c r="BJ213" s="230">
        <v>-14774625</v>
      </c>
      <c r="BK213" s="229">
        <v>-0.3669</v>
      </c>
      <c r="BL213" s="230">
        <v>14284125</v>
      </c>
      <c r="BM213" s="230">
        <v>18787500</v>
      </c>
      <c r="BN213" s="230">
        <v>-4503375</v>
      </c>
      <c r="BO213" s="229">
        <v>-0.2397</v>
      </c>
      <c r="BP213" s="230">
        <v>79039125</v>
      </c>
      <c r="BQ213" s="230">
        <v>71820000</v>
      </c>
      <c r="BR213" s="230">
        <v>7219125</v>
      </c>
      <c r="BS213" s="229">
        <v>0.10050000000000001</v>
      </c>
      <c r="BT213" s="230">
        <v>11683392</v>
      </c>
      <c r="BU213" s="230">
        <v>12458570</v>
      </c>
      <c r="BV213" s="230">
        <v>-775178</v>
      </c>
      <c r="BW213" s="229">
        <v>-6.2199999999999998E-2</v>
      </c>
      <c r="BX213" s="230">
        <v>50998500</v>
      </c>
      <c r="BY213" s="230">
        <v>49711500</v>
      </c>
      <c r="BZ213" s="230">
        <v>1287000</v>
      </c>
      <c r="CA213" s="229">
        <v>2.5899999999999999E-2</v>
      </c>
      <c r="CB213" s="230">
        <v>33625125</v>
      </c>
      <c r="CC213" s="230">
        <v>45735750</v>
      </c>
      <c r="CD213" s="230">
        <v>-12110625</v>
      </c>
      <c r="CE213" s="229">
        <v>-0.26479999999999998</v>
      </c>
      <c r="CF213" s="230">
        <v>16700625</v>
      </c>
      <c r="CG213" s="230">
        <v>3784500</v>
      </c>
      <c r="CH213" s="230">
        <v>12916125</v>
      </c>
      <c r="CI213" s="229">
        <v>3.4129</v>
      </c>
      <c r="CJ213" s="230">
        <v>672750</v>
      </c>
      <c r="CK213" s="230">
        <v>191250</v>
      </c>
      <c r="CL213" s="230">
        <v>481500</v>
      </c>
      <c r="CM213" s="229">
        <v>2.5175999999999998</v>
      </c>
      <c r="CN213" s="230">
        <v>21555000</v>
      </c>
      <c r="CO213" s="230">
        <v>19953000</v>
      </c>
      <c r="CP213" s="230">
        <v>1602000</v>
      </c>
      <c r="CQ213" s="229">
        <v>8.0299999999999996E-2</v>
      </c>
      <c r="CR213" s="230">
        <v>12686625</v>
      </c>
      <c r="CS213" s="230">
        <v>12780000</v>
      </c>
      <c r="CT213" s="230">
        <v>-93375</v>
      </c>
      <c r="CU213" s="229">
        <v>-7.3000000000000001E-3</v>
      </c>
      <c r="CV213" s="230">
        <v>85240125</v>
      </c>
      <c r="CW213" s="230">
        <v>82444500</v>
      </c>
      <c r="CX213" s="230">
        <v>2795625</v>
      </c>
      <c r="CY213" s="229">
        <v>3.39E-2</v>
      </c>
      <c r="CZ213" s="228">
        <v>42.62</v>
      </c>
      <c r="DA213" s="228">
        <v>45.21</v>
      </c>
      <c r="DB213" s="228">
        <v>-2.59</v>
      </c>
      <c r="DC213" s="228">
        <v>-2.59</v>
      </c>
      <c r="DD213" s="228">
        <v>38.57</v>
      </c>
      <c r="DE213" s="228">
        <v>38.549999999999997</v>
      </c>
      <c r="DF213" s="228">
        <v>4.05</v>
      </c>
      <c r="DG213" s="228">
        <v>0.02</v>
      </c>
      <c r="DH213" s="228">
        <v>42.88</v>
      </c>
      <c r="DI213" s="228">
        <v>45.45</v>
      </c>
      <c r="DJ213" s="228">
        <v>-2.57</v>
      </c>
      <c r="DK213" s="228">
        <v>-2.57</v>
      </c>
      <c r="DL213" s="228">
        <v>42.05</v>
      </c>
      <c r="DM213" s="228">
        <v>44.69</v>
      </c>
      <c r="DN213" s="228">
        <v>-2.64</v>
      </c>
      <c r="DO213" s="228">
        <v>-2.64</v>
      </c>
      <c r="DP213" s="228">
        <v>0.59</v>
      </c>
      <c r="DQ213" s="228">
        <v>0.64</v>
      </c>
      <c r="DR213" s="228">
        <v>-0.05</v>
      </c>
      <c r="DS213" s="229">
        <v>-7.8100000000000003E-2</v>
      </c>
      <c r="DT213" s="228">
        <v>500</v>
      </c>
      <c r="DU213" s="228">
        <v>420</v>
      </c>
      <c r="DV213" s="228">
        <v>0.56000000000000005</v>
      </c>
      <c r="DW213" s="228">
        <v>0.47</v>
      </c>
      <c r="DX213" s="228">
        <v>0.09</v>
      </c>
      <c r="DY213" s="229">
        <v>0.1915</v>
      </c>
      <c r="DZ213" s="229">
        <v>0.3407</v>
      </c>
      <c r="EA213" s="230">
        <v>3975750</v>
      </c>
      <c r="EB213" s="229">
        <v>4.5999999999999999E-3</v>
      </c>
      <c r="EC213" s="229">
        <v>0.3407</v>
      </c>
      <c r="ED213" s="228">
        <v>2.65</v>
      </c>
      <c r="EE213" s="229">
        <v>5.4999999999999997E-3</v>
      </c>
      <c r="EF213" s="230">
        <v>6414027</v>
      </c>
      <c r="EG213" s="230">
        <v>7426155</v>
      </c>
      <c r="EH213" s="229">
        <v>-0.1363</v>
      </c>
      <c r="EI213" s="229">
        <v>0.54900000000000004</v>
      </c>
      <c r="EJ213" s="231">
        <v>129048.42</v>
      </c>
      <c r="EK213" s="231">
        <v>68320.179999999993</v>
      </c>
      <c r="EL213" s="231">
        <v>190854.84</v>
      </c>
      <c r="EM213" s="231">
        <v>10646</v>
      </c>
      <c r="EN213" s="231">
        <v>388223.44</v>
      </c>
      <c r="EO213" s="231">
        <v>358194.14</v>
      </c>
      <c r="EP213" s="231">
        <v>30029.3</v>
      </c>
      <c r="EQ213" s="229">
        <v>8.3799999999999999E-2</v>
      </c>
      <c r="ER213" s="231">
        <v>103730</v>
      </c>
      <c r="ES213" s="231">
        <v>56537</v>
      </c>
      <c r="ET213" s="231">
        <v>247675</v>
      </c>
      <c r="EU213" s="231">
        <v>205765243</v>
      </c>
      <c r="EV213" s="231">
        <v>407942</v>
      </c>
      <c r="EW213" s="231">
        <v>398397</v>
      </c>
      <c r="EX213" s="231">
        <v>9545</v>
      </c>
      <c r="EY213" s="229">
        <v>2.4E-2</v>
      </c>
      <c r="EZ213" s="229">
        <v>0.4143</v>
      </c>
      <c r="FA213" s="227" t="s">
        <v>566</v>
      </c>
      <c r="FB213" s="161">
        <f t="shared" si="5"/>
        <v>0</v>
      </c>
    </row>
    <row r="214" spans="1:158" ht="17.25" thickBot="1" x14ac:dyDescent="0.3">
      <c r="A214" s="226">
        <v>46135</v>
      </c>
      <c r="B214" s="227" t="s">
        <v>227</v>
      </c>
      <c r="C214" s="227" t="s">
        <v>304</v>
      </c>
      <c r="D214" s="228">
        <v>1150</v>
      </c>
      <c r="E214" s="228">
        <v>735.5</v>
      </c>
      <c r="F214" s="228">
        <v>758.65</v>
      </c>
      <c r="G214" s="228">
        <v>-23.15</v>
      </c>
      <c r="H214" s="229">
        <v>-3.0499999999999999E-2</v>
      </c>
      <c r="I214" s="228">
        <v>735.6</v>
      </c>
      <c r="J214" s="228">
        <v>757</v>
      </c>
      <c r="K214" s="228">
        <v>-21.4</v>
      </c>
      <c r="L214" s="229">
        <v>-2.8299999999999999E-2</v>
      </c>
      <c r="M214" s="228">
        <v>735.5</v>
      </c>
      <c r="N214" s="228">
        <v>758.65</v>
      </c>
      <c r="O214" s="228">
        <v>-23.15</v>
      </c>
      <c r="P214" s="229">
        <v>-3.0499999999999999E-2</v>
      </c>
      <c r="Q214" s="228">
        <v>736.65</v>
      </c>
      <c r="R214" s="228">
        <v>759.95</v>
      </c>
      <c r="S214" s="228">
        <v>-23.3</v>
      </c>
      <c r="T214" s="229">
        <v>-3.0700000000000002E-2</v>
      </c>
      <c r="U214" s="228">
        <v>736.6</v>
      </c>
      <c r="V214" s="228">
        <v>759.55</v>
      </c>
      <c r="W214" s="228">
        <v>-22.95</v>
      </c>
      <c r="X214" s="229">
        <v>-3.0200000000000001E-2</v>
      </c>
      <c r="Y214" s="228">
        <v>-0.1</v>
      </c>
      <c r="Z214" s="228">
        <v>1.65</v>
      </c>
      <c r="AA214" s="228">
        <v>-1.75</v>
      </c>
      <c r="AB214" s="229">
        <v>-1E-4</v>
      </c>
      <c r="AC214" s="228">
        <v>-0.1</v>
      </c>
      <c r="AD214" s="228">
        <v>1.65</v>
      </c>
      <c r="AE214" s="228">
        <v>-1.75</v>
      </c>
      <c r="AF214" s="229">
        <v>-1E-4</v>
      </c>
      <c r="AG214" s="228">
        <v>1.05</v>
      </c>
      <c r="AH214" s="228">
        <v>2.95</v>
      </c>
      <c r="AI214" s="228">
        <v>-1.9</v>
      </c>
      <c r="AJ214" s="229">
        <v>1.4E-3</v>
      </c>
      <c r="AK214" s="228">
        <v>1</v>
      </c>
      <c r="AL214" s="228">
        <v>2.5499999999999998</v>
      </c>
      <c r="AM214" s="228">
        <v>-1.55</v>
      </c>
      <c r="AN214" s="229">
        <v>1.4E-3</v>
      </c>
      <c r="AO214" s="228">
        <v>741.75</v>
      </c>
      <c r="AP214" s="228">
        <v>742.56</v>
      </c>
      <c r="AQ214" s="228">
        <v>0</v>
      </c>
      <c r="AR214" s="230">
        <v>24589300</v>
      </c>
      <c r="AS214" s="230">
        <v>15283500</v>
      </c>
      <c r="AT214" s="230">
        <v>9305800</v>
      </c>
      <c r="AU214" s="229">
        <v>0.6089</v>
      </c>
      <c r="AV214" s="230">
        <v>16195450</v>
      </c>
      <c r="AW214" s="230">
        <v>11573600</v>
      </c>
      <c r="AX214" s="230">
        <v>4621850</v>
      </c>
      <c r="AY214" s="229">
        <v>0.39929999999999999</v>
      </c>
      <c r="AZ214" s="230">
        <v>8158100</v>
      </c>
      <c r="BA214" s="230">
        <v>3540850</v>
      </c>
      <c r="BB214" s="230">
        <v>4617250</v>
      </c>
      <c r="BC214" s="229">
        <v>1.304</v>
      </c>
      <c r="BD214" s="230">
        <v>235750</v>
      </c>
      <c r="BE214" s="230">
        <v>169050</v>
      </c>
      <c r="BF214" s="230">
        <v>66700</v>
      </c>
      <c r="BG214" s="229">
        <v>0.39460000000000001</v>
      </c>
      <c r="BH214" s="230">
        <v>96913950</v>
      </c>
      <c r="BI214" s="230">
        <v>84642300</v>
      </c>
      <c r="BJ214" s="230">
        <v>12271650</v>
      </c>
      <c r="BK214" s="229">
        <v>0.14499999999999999</v>
      </c>
      <c r="BL214" s="230">
        <v>48952050</v>
      </c>
      <c r="BM214" s="230">
        <v>48608200</v>
      </c>
      <c r="BN214" s="230">
        <v>343850</v>
      </c>
      <c r="BO214" s="229">
        <v>7.1000000000000004E-3</v>
      </c>
      <c r="BP214" s="230">
        <v>170455300</v>
      </c>
      <c r="BQ214" s="230">
        <v>148534000</v>
      </c>
      <c r="BR214" s="230">
        <v>21921300</v>
      </c>
      <c r="BS214" s="229">
        <v>0.14760000000000001</v>
      </c>
      <c r="BT214" s="230">
        <v>18495137</v>
      </c>
      <c r="BU214" s="230">
        <v>15284405</v>
      </c>
      <c r="BV214" s="230">
        <v>3210732</v>
      </c>
      <c r="BW214" s="229">
        <v>0.21010000000000001</v>
      </c>
      <c r="BX214" s="230">
        <v>43756350</v>
      </c>
      <c r="BY214" s="230">
        <v>47759500</v>
      </c>
      <c r="BZ214" s="230">
        <v>-4003150</v>
      </c>
      <c r="CA214" s="229">
        <v>-8.3799999999999999E-2</v>
      </c>
      <c r="CB214" s="230">
        <v>31474350</v>
      </c>
      <c r="CC214" s="230">
        <v>40001600</v>
      </c>
      <c r="CD214" s="230">
        <v>-8527250</v>
      </c>
      <c r="CE214" s="229">
        <v>-0.2132</v>
      </c>
      <c r="CF214" s="230">
        <v>11742650</v>
      </c>
      <c r="CG214" s="230">
        <v>7253050</v>
      </c>
      <c r="CH214" s="230">
        <v>4489600</v>
      </c>
      <c r="CI214" s="229">
        <v>0.61899999999999999</v>
      </c>
      <c r="CJ214" s="230">
        <v>539350</v>
      </c>
      <c r="CK214" s="230">
        <v>504850</v>
      </c>
      <c r="CL214" s="230">
        <v>34500</v>
      </c>
      <c r="CM214" s="229">
        <v>6.83E-2</v>
      </c>
      <c r="CN214" s="230">
        <v>56865200</v>
      </c>
      <c r="CO214" s="230">
        <v>49686900</v>
      </c>
      <c r="CP214" s="230">
        <v>7178300</v>
      </c>
      <c r="CQ214" s="229">
        <v>0.14449999999999999</v>
      </c>
      <c r="CR214" s="230">
        <v>35522350</v>
      </c>
      <c r="CS214" s="230">
        <v>36897750</v>
      </c>
      <c r="CT214" s="230">
        <v>-1375400</v>
      </c>
      <c r="CU214" s="229">
        <v>-3.73E-2</v>
      </c>
      <c r="CV214" s="230">
        <v>136143900</v>
      </c>
      <c r="CW214" s="230">
        <v>134344150</v>
      </c>
      <c r="CX214" s="230">
        <v>1799750</v>
      </c>
      <c r="CY214" s="229">
        <v>1.34E-2</v>
      </c>
      <c r="CZ214" s="228">
        <v>22.22</v>
      </c>
      <c r="DA214" s="228">
        <v>35.65</v>
      </c>
      <c r="DB214" s="228">
        <v>-13.43</v>
      </c>
      <c r="DC214" s="228">
        <v>-13.43</v>
      </c>
      <c r="DD214" s="228">
        <v>40.76</v>
      </c>
      <c r="DE214" s="228">
        <v>40.64</v>
      </c>
      <c r="DF214" s="228">
        <v>-18.54</v>
      </c>
      <c r="DG214" s="228">
        <v>0.12</v>
      </c>
      <c r="DH214" s="228">
        <v>22.81</v>
      </c>
      <c r="DI214" s="228">
        <v>37.46</v>
      </c>
      <c r="DJ214" s="228">
        <v>-14.65</v>
      </c>
      <c r="DK214" s="228">
        <v>-14.65</v>
      </c>
      <c r="DL214" s="228">
        <v>21</v>
      </c>
      <c r="DM214" s="228">
        <v>32.51</v>
      </c>
      <c r="DN214" s="228">
        <v>-11.51</v>
      </c>
      <c r="DO214" s="228">
        <v>-11.51</v>
      </c>
      <c r="DP214" s="228">
        <v>0.62</v>
      </c>
      <c r="DQ214" s="228">
        <v>0.74</v>
      </c>
      <c r="DR214" s="228">
        <v>-0.12</v>
      </c>
      <c r="DS214" s="229">
        <v>-0.16220000000000001</v>
      </c>
      <c r="DT214" s="228">
        <v>800</v>
      </c>
      <c r="DU214" s="228">
        <v>750</v>
      </c>
      <c r="DV214" s="228">
        <v>0.51</v>
      </c>
      <c r="DW214" s="228">
        <v>0.56999999999999995</v>
      </c>
      <c r="DX214" s="228">
        <v>-0.06</v>
      </c>
      <c r="DY214" s="229">
        <v>-0.1053</v>
      </c>
      <c r="DZ214" s="229">
        <v>0.28070000000000001</v>
      </c>
      <c r="EA214" s="230">
        <v>7757900</v>
      </c>
      <c r="EB214" s="229">
        <v>1.6000000000000001E-3</v>
      </c>
      <c r="EC214" s="229">
        <v>0.28070000000000001</v>
      </c>
      <c r="ED214" s="228">
        <v>0.81</v>
      </c>
      <c r="EE214" s="229">
        <v>1.1000000000000001E-3</v>
      </c>
      <c r="EF214" s="230">
        <v>10031690</v>
      </c>
      <c r="EG214" s="230">
        <v>7466145</v>
      </c>
      <c r="EH214" s="229">
        <v>0.34360000000000002</v>
      </c>
      <c r="EI214" s="229">
        <v>0.54239999999999999</v>
      </c>
      <c r="EJ214" s="231">
        <v>758154.29</v>
      </c>
      <c r="EK214" s="231">
        <v>359067.47</v>
      </c>
      <c r="EL214" s="231">
        <v>182465.4</v>
      </c>
      <c r="EM214" s="231">
        <v>12876</v>
      </c>
      <c r="EN214" s="231">
        <v>1299687.1599999999</v>
      </c>
      <c r="EO214" s="231">
        <v>1159846.81</v>
      </c>
      <c r="EP214" s="231">
        <v>139840.35</v>
      </c>
      <c r="EQ214" s="229">
        <v>0.1206</v>
      </c>
      <c r="ER214" s="231">
        <v>440977</v>
      </c>
      <c r="ES214" s="231">
        <v>254389</v>
      </c>
      <c r="ET214" s="231">
        <v>321969</v>
      </c>
      <c r="EU214" s="231">
        <v>255495438</v>
      </c>
      <c r="EV214" s="231">
        <v>1017335</v>
      </c>
      <c r="EW214" s="231">
        <v>1013310</v>
      </c>
      <c r="EX214" s="231">
        <v>4025</v>
      </c>
      <c r="EY214" s="229">
        <v>4.0000000000000001E-3</v>
      </c>
      <c r="EZ214" s="229">
        <v>0.53290000000000004</v>
      </c>
      <c r="FA214" s="227" t="s">
        <v>567</v>
      </c>
      <c r="FB214" s="161">
        <f t="shared" si="5"/>
        <v>0</v>
      </c>
    </row>
    <row r="215" spans="1:158" ht="17.25" thickBot="1" x14ac:dyDescent="0.3">
      <c r="A215" s="226">
        <v>46135</v>
      </c>
      <c r="B215" s="227" t="s">
        <v>614</v>
      </c>
      <c r="C215" s="227" t="s">
        <v>697</v>
      </c>
      <c r="D215" s="228">
        <v>4850</v>
      </c>
      <c r="E215" s="228">
        <v>126.22</v>
      </c>
      <c r="F215" s="228">
        <v>124.35</v>
      </c>
      <c r="G215" s="228">
        <v>1.87</v>
      </c>
      <c r="H215" s="229">
        <v>1.4999999999999999E-2</v>
      </c>
      <c r="I215" s="228">
        <v>126.16</v>
      </c>
      <c r="J215" s="228">
        <v>124.56</v>
      </c>
      <c r="K215" s="228">
        <v>1.6</v>
      </c>
      <c r="L215" s="229">
        <v>1.2800000000000001E-2</v>
      </c>
      <c r="M215" s="228">
        <v>126.22</v>
      </c>
      <c r="N215" s="228">
        <v>124.35</v>
      </c>
      <c r="O215" s="228">
        <v>1.87</v>
      </c>
      <c r="P215" s="229">
        <v>1.4999999999999999E-2</v>
      </c>
      <c r="Q215" s="228">
        <v>126.88</v>
      </c>
      <c r="R215" s="228">
        <v>124.87</v>
      </c>
      <c r="S215" s="228">
        <v>2.0099999999999998</v>
      </c>
      <c r="T215" s="229">
        <v>1.61E-2</v>
      </c>
      <c r="U215" s="228">
        <v>126.95</v>
      </c>
      <c r="V215" s="228">
        <v>125</v>
      </c>
      <c r="W215" s="228">
        <v>1.95</v>
      </c>
      <c r="X215" s="229">
        <v>1.5599999999999999E-2</v>
      </c>
      <c r="Y215" s="228">
        <v>0.06</v>
      </c>
      <c r="Z215" s="228">
        <v>-0.21</v>
      </c>
      <c r="AA215" s="228">
        <v>0.27</v>
      </c>
      <c r="AB215" s="229">
        <v>5.0000000000000001E-4</v>
      </c>
      <c r="AC215" s="228">
        <v>0.06</v>
      </c>
      <c r="AD215" s="228">
        <v>-0.21</v>
      </c>
      <c r="AE215" s="228">
        <v>0.27</v>
      </c>
      <c r="AF215" s="229">
        <v>5.0000000000000001E-4</v>
      </c>
      <c r="AG215" s="228">
        <v>0.72</v>
      </c>
      <c r="AH215" s="228">
        <v>0.31</v>
      </c>
      <c r="AI215" s="228">
        <v>0.41</v>
      </c>
      <c r="AJ215" s="229">
        <v>5.7000000000000002E-3</v>
      </c>
      <c r="AK215" s="228">
        <v>0.79</v>
      </c>
      <c r="AL215" s="228">
        <v>0.44</v>
      </c>
      <c r="AM215" s="228">
        <v>0.35</v>
      </c>
      <c r="AN215" s="229">
        <v>6.3E-3</v>
      </c>
      <c r="AO215" s="228">
        <v>126.74</v>
      </c>
      <c r="AP215" s="228">
        <v>127.27</v>
      </c>
      <c r="AQ215" s="228">
        <v>0</v>
      </c>
      <c r="AR215" s="230">
        <v>25879600</v>
      </c>
      <c r="AS215" s="230">
        <v>5126450</v>
      </c>
      <c r="AT215" s="230">
        <v>20753150</v>
      </c>
      <c r="AU215" s="229">
        <v>4.0481999999999996</v>
      </c>
      <c r="AV215" s="230">
        <v>14084400</v>
      </c>
      <c r="AW215" s="230">
        <v>4253450</v>
      </c>
      <c r="AX215" s="230">
        <v>9830950</v>
      </c>
      <c r="AY215" s="229">
        <v>2.3113000000000001</v>
      </c>
      <c r="AZ215" s="230">
        <v>11746700</v>
      </c>
      <c r="BA215" s="230">
        <v>858450</v>
      </c>
      <c r="BB215" s="230">
        <v>10888250</v>
      </c>
      <c r="BC215" s="229">
        <v>12.6836</v>
      </c>
      <c r="BD215" s="230">
        <v>48500</v>
      </c>
      <c r="BE215" s="230">
        <v>14550</v>
      </c>
      <c r="BF215" s="230">
        <v>33950</v>
      </c>
      <c r="BG215" s="229">
        <v>2.3332999999999999</v>
      </c>
      <c r="BH215" s="230">
        <v>9544800</v>
      </c>
      <c r="BI215" s="230">
        <v>5150700</v>
      </c>
      <c r="BJ215" s="230">
        <v>4394100</v>
      </c>
      <c r="BK215" s="229">
        <v>0.85309999999999997</v>
      </c>
      <c r="BL215" s="230">
        <v>1823600</v>
      </c>
      <c r="BM215" s="230">
        <v>2192200</v>
      </c>
      <c r="BN215" s="230">
        <v>-368600</v>
      </c>
      <c r="BO215" s="229">
        <v>-0.1681</v>
      </c>
      <c r="BP215" s="230">
        <v>37248000</v>
      </c>
      <c r="BQ215" s="230">
        <v>12469350</v>
      </c>
      <c r="BR215" s="230">
        <v>24778650</v>
      </c>
      <c r="BS215" s="229">
        <v>1.9872000000000001</v>
      </c>
      <c r="BT215" s="230">
        <v>24545008</v>
      </c>
      <c r="BU215" s="230">
        <v>10236146</v>
      </c>
      <c r="BV215" s="230">
        <v>14308862</v>
      </c>
      <c r="BW215" s="229">
        <v>1.3978999999999999</v>
      </c>
      <c r="BX215" s="230">
        <v>30162150</v>
      </c>
      <c r="BY215" s="230">
        <v>29361900</v>
      </c>
      <c r="BZ215" s="230">
        <v>800250</v>
      </c>
      <c r="CA215" s="229">
        <v>2.7300000000000001E-2</v>
      </c>
      <c r="CB215" s="230">
        <v>20704650</v>
      </c>
      <c r="CC215" s="230">
        <v>27940850</v>
      </c>
      <c r="CD215" s="230">
        <v>-7236200</v>
      </c>
      <c r="CE215" s="229">
        <v>-0.25900000000000001</v>
      </c>
      <c r="CF215" s="230">
        <v>9355650</v>
      </c>
      <c r="CG215" s="230">
        <v>1338600</v>
      </c>
      <c r="CH215" s="230">
        <v>8017050</v>
      </c>
      <c r="CI215" s="229">
        <v>5.9890999999999996</v>
      </c>
      <c r="CJ215" s="230">
        <v>101850</v>
      </c>
      <c r="CK215" s="230">
        <v>82450</v>
      </c>
      <c r="CL215" s="230">
        <v>19400</v>
      </c>
      <c r="CM215" s="229">
        <v>0.23530000000000001</v>
      </c>
      <c r="CN215" s="230">
        <v>8700900</v>
      </c>
      <c r="CO215" s="230">
        <v>9409000</v>
      </c>
      <c r="CP215" s="230">
        <v>-708100</v>
      </c>
      <c r="CQ215" s="229">
        <v>-7.5300000000000006E-2</v>
      </c>
      <c r="CR215" s="230">
        <v>4418350</v>
      </c>
      <c r="CS215" s="230">
        <v>4554150</v>
      </c>
      <c r="CT215" s="230">
        <v>-135800</v>
      </c>
      <c r="CU215" s="229">
        <v>-2.98E-2</v>
      </c>
      <c r="CV215" s="230">
        <v>43281400</v>
      </c>
      <c r="CW215" s="230">
        <v>43325050</v>
      </c>
      <c r="CX215" s="230">
        <v>-43650</v>
      </c>
      <c r="CY215" s="229">
        <v>-1E-3</v>
      </c>
      <c r="CZ215" s="228">
        <v>49.82</v>
      </c>
      <c r="DA215" s="228">
        <v>50.29</v>
      </c>
      <c r="DB215" s="228">
        <v>-0.47</v>
      </c>
      <c r="DC215" s="228">
        <v>-0.47</v>
      </c>
      <c r="DD215" s="228">
        <v>38.25</v>
      </c>
      <c r="DE215" s="228">
        <v>38.31</v>
      </c>
      <c r="DF215" s="228">
        <v>11.57</v>
      </c>
      <c r="DG215" s="228">
        <v>-0.06</v>
      </c>
      <c r="DH215" s="228">
        <v>50.88</v>
      </c>
      <c r="DI215" s="228">
        <v>49.75</v>
      </c>
      <c r="DJ215" s="228">
        <v>1.1299999999999999</v>
      </c>
      <c r="DK215" s="228">
        <v>1.1299999999999999</v>
      </c>
      <c r="DL215" s="228">
        <v>46.63</v>
      </c>
      <c r="DM215" s="228">
        <v>51.59</v>
      </c>
      <c r="DN215" s="228">
        <v>-4.96</v>
      </c>
      <c r="DO215" s="228">
        <v>-4.96</v>
      </c>
      <c r="DP215" s="228">
        <v>0.51</v>
      </c>
      <c r="DQ215" s="228">
        <v>0.48</v>
      </c>
      <c r="DR215" s="228">
        <v>0.03</v>
      </c>
      <c r="DS215" s="229">
        <v>6.25E-2</v>
      </c>
      <c r="DT215" s="228">
        <v>115</v>
      </c>
      <c r="DU215" s="228">
        <v>110</v>
      </c>
      <c r="DV215" s="228">
        <v>0.19</v>
      </c>
      <c r="DW215" s="228">
        <v>0.43</v>
      </c>
      <c r="DX215" s="228">
        <v>-0.24</v>
      </c>
      <c r="DY215" s="229">
        <v>-0.55810000000000004</v>
      </c>
      <c r="DZ215" s="229">
        <v>0.31359999999999999</v>
      </c>
      <c r="EA215" s="230">
        <v>1421050</v>
      </c>
      <c r="EB215" s="229">
        <v>5.1999999999999998E-3</v>
      </c>
      <c r="EC215" s="229">
        <v>0.31359999999999999</v>
      </c>
      <c r="ED215" s="228">
        <v>0.53</v>
      </c>
      <c r="EE215" s="229">
        <v>4.1999999999999997E-3</v>
      </c>
      <c r="EF215" s="230">
        <v>13898555</v>
      </c>
      <c r="EG215" s="230">
        <v>5221600</v>
      </c>
      <c r="EH215" s="229">
        <v>1.6617</v>
      </c>
      <c r="EI215" s="229">
        <v>0.56620000000000004</v>
      </c>
      <c r="EJ215" s="231">
        <v>12565.2</v>
      </c>
      <c r="EK215" s="231">
        <v>2141.0500000000002</v>
      </c>
      <c r="EL215" s="231">
        <v>32862.1</v>
      </c>
      <c r="EM215" s="231">
        <v>1556</v>
      </c>
      <c r="EN215" s="231">
        <v>47568.35</v>
      </c>
      <c r="EO215" s="231">
        <v>15492.57</v>
      </c>
      <c r="EP215" s="231">
        <v>32075.78</v>
      </c>
      <c r="EQ215" s="229">
        <v>2.0703999999999998</v>
      </c>
      <c r="ER215" s="231">
        <v>10509</v>
      </c>
      <c r="ES215" s="231">
        <v>4917</v>
      </c>
      <c r="ET215" s="231">
        <v>38133</v>
      </c>
      <c r="EU215" s="231">
        <v>321828727</v>
      </c>
      <c r="EV215" s="231">
        <v>53559</v>
      </c>
      <c r="EW215" s="231">
        <v>52861</v>
      </c>
      <c r="EX215" s="228">
        <v>698</v>
      </c>
      <c r="EY215" s="229">
        <v>1.32E-2</v>
      </c>
      <c r="EZ215" s="229">
        <v>0.13450000000000001</v>
      </c>
      <c r="FA215" s="227" t="s">
        <v>555</v>
      </c>
      <c r="FB215" s="161">
        <f t="shared" si="5"/>
        <v>0</v>
      </c>
    </row>
    <row r="216" spans="1:158" ht="17.25" thickBot="1" x14ac:dyDescent="0.3">
      <c r="A216" s="226">
        <v>46135</v>
      </c>
      <c r="B216" s="227" t="s">
        <v>184</v>
      </c>
      <c r="C216" s="227" t="s">
        <v>305</v>
      </c>
      <c r="D216" s="228">
        <v>375</v>
      </c>
      <c r="E216" s="231">
        <v>1443.4</v>
      </c>
      <c r="F216" s="231">
        <v>1477</v>
      </c>
      <c r="G216" s="228">
        <v>-33.6</v>
      </c>
      <c r="H216" s="229">
        <v>-2.2700000000000001E-2</v>
      </c>
      <c r="I216" s="231">
        <v>1445.5</v>
      </c>
      <c r="J216" s="231">
        <v>1481.6</v>
      </c>
      <c r="K216" s="228">
        <v>-36.1</v>
      </c>
      <c r="L216" s="229">
        <v>-2.4400000000000002E-2</v>
      </c>
      <c r="M216" s="231">
        <v>1443.4</v>
      </c>
      <c r="N216" s="231">
        <v>1477</v>
      </c>
      <c r="O216" s="228">
        <v>-33.6</v>
      </c>
      <c r="P216" s="229">
        <v>-2.2700000000000001E-2</v>
      </c>
      <c r="Q216" s="231">
        <v>1426.5</v>
      </c>
      <c r="R216" s="231">
        <v>1459.6</v>
      </c>
      <c r="S216" s="228">
        <v>-33.1</v>
      </c>
      <c r="T216" s="229">
        <v>-2.2700000000000001E-2</v>
      </c>
      <c r="U216" s="231">
        <v>1414.1</v>
      </c>
      <c r="V216" s="231">
        <v>1447</v>
      </c>
      <c r="W216" s="228">
        <v>-32.9</v>
      </c>
      <c r="X216" s="229">
        <v>-2.2700000000000001E-2</v>
      </c>
      <c r="Y216" s="228">
        <v>-2.1</v>
      </c>
      <c r="Z216" s="228">
        <v>-4.5999999999999996</v>
      </c>
      <c r="AA216" s="228">
        <v>2.5</v>
      </c>
      <c r="AB216" s="229">
        <v>-1.5E-3</v>
      </c>
      <c r="AC216" s="228">
        <v>-2.1</v>
      </c>
      <c r="AD216" s="228">
        <v>-4.5999999999999996</v>
      </c>
      <c r="AE216" s="228">
        <v>2.5</v>
      </c>
      <c r="AF216" s="229">
        <v>-1.5E-3</v>
      </c>
      <c r="AG216" s="228">
        <v>-19</v>
      </c>
      <c r="AH216" s="228">
        <v>-22</v>
      </c>
      <c r="AI216" s="228">
        <v>3</v>
      </c>
      <c r="AJ216" s="229">
        <v>-1.3100000000000001E-2</v>
      </c>
      <c r="AK216" s="228">
        <v>-31.4</v>
      </c>
      <c r="AL216" s="228">
        <v>-34.6</v>
      </c>
      <c r="AM216" s="228">
        <v>3.2</v>
      </c>
      <c r="AN216" s="229">
        <v>-2.1700000000000001E-2</v>
      </c>
      <c r="AO216" s="231">
        <v>1444.12</v>
      </c>
      <c r="AP216" s="231">
        <v>1426.32</v>
      </c>
      <c r="AQ216" s="228">
        <v>0</v>
      </c>
      <c r="AR216" s="230">
        <v>7502625</v>
      </c>
      <c r="AS216" s="230">
        <v>3313125</v>
      </c>
      <c r="AT216" s="230">
        <v>4189500</v>
      </c>
      <c r="AU216" s="229">
        <v>1.2645</v>
      </c>
      <c r="AV216" s="230">
        <v>3795750</v>
      </c>
      <c r="AW216" s="230">
        <v>2162625</v>
      </c>
      <c r="AX216" s="230">
        <v>1633125</v>
      </c>
      <c r="AY216" s="229">
        <v>0.75519999999999998</v>
      </c>
      <c r="AZ216" s="230">
        <v>3679875</v>
      </c>
      <c r="BA216" s="230">
        <v>1117875</v>
      </c>
      <c r="BB216" s="230">
        <v>2562000</v>
      </c>
      <c r="BC216" s="229">
        <v>2.2917999999999998</v>
      </c>
      <c r="BD216" s="230">
        <v>27000</v>
      </c>
      <c r="BE216" s="230">
        <v>32625</v>
      </c>
      <c r="BF216" s="230">
        <v>-5625</v>
      </c>
      <c r="BG216" s="229">
        <v>-0.1724</v>
      </c>
      <c r="BH216" s="230">
        <v>8062500</v>
      </c>
      <c r="BI216" s="230">
        <v>10996875</v>
      </c>
      <c r="BJ216" s="230">
        <v>-2934375</v>
      </c>
      <c r="BK216" s="229">
        <v>-0.26679999999999998</v>
      </c>
      <c r="BL216" s="230">
        <v>6765750</v>
      </c>
      <c r="BM216" s="230">
        <v>6557625</v>
      </c>
      <c r="BN216" s="230">
        <v>208125</v>
      </c>
      <c r="BO216" s="229">
        <v>3.1699999999999999E-2</v>
      </c>
      <c r="BP216" s="230">
        <v>22330875</v>
      </c>
      <c r="BQ216" s="230">
        <v>20867625</v>
      </c>
      <c r="BR216" s="230">
        <v>1463250</v>
      </c>
      <c r="BS216" s="229">
        <v>7.0099999999999996E-2</v>
      </c>
      <c r="BT216" s="230">
        <v>1068223</v>
      </c>
      <c r="BU216" s="230">
        <v>928061</v>
      </c>
      <c r="BV216" s="230">
        <v>140162</v>
      </c>
      <c r="BW216" s="229">
        <v>0.151</v>
      </c>
      <c r="BX216" s="230">
        <v>10926375</v>
      </c>
      <c r="BY216" s="230">
        <v>12311250</v>
      </c>
      <c r="BZ216" s="230">
        <v>-1384875</v>
      </c>
      <c r="CA216" s="229">
        <v>-0.1125</v>
      </c>
      <c r="CB216" s="230">
        <v>6799500</v>
      </c>
      <c r="CC216" s="230">
        <v>9406875</v>
      </c>
      <c r="CD216" s="230">
        <v>-2607375</v>
      </c>
      <c r="CE216" s="229">
        <v>-0.2772</v>
      </c>
      <c r="CF216" s="230">
        <v>4005750</v>
      </c>
      <c r="CG216" s="230">
        <v>2796750</v>
      </c>
      <c r="CH216" s="230">
        <v>1209000</v>
      </c>
      <c r="CI216" s="229">
        <v>0.43230000000000002</v>
      </c>
      <c r="CJ216" s="230">
        <v>121125</v>
      </c>
      <c r="CK216" s="230">
        <v>107625</v>
      </c>
      <c r="CL216" s="230">
        <v>13500</v>
      </c>
      <c r="CM216" s="229">
        <v>0.12540000000000001</v>
      </c>
      <c r="CN216" s="230">
        <v>4577250</v>
      </c>
      <c r="CO216" s="230">
        <v>4707000</v>
      </c>
      <c r="CP216" s="230">
        <v>-129750</v>
      </c>
      <c r="CQ216" s="229">
        <v>-2.76E-2</v>
      </c>
      <c r="CR216" s="230">
        <v>4039500</v>
      </c>
      <c r="CS216" s="230">
        <v>4260750</v>
      </c>
      <c r="CT216" s="230">
        <v>-221250</v>
      </c>
      <c r="CU216" s="229">
        <v>-5.1900000000000002E-2</v>
      </c>
      <c r="CV216" s="230">
        <v>19543125</v>
      </c>
      <c r="CW216" s="230">
        <v>21279000</v>
      </c>
      <c r="CX216" s="230">
        <v>-1735875</v>
      </c>
      <c r="CY216" s="229">
        <v>-8.1600000000000006E-2</v>
      </c>
      <c r="CZ216" s="228">
        <v>40.97</v>
      </c>
      <c r="DA216" s="228">
        <v>36.28</v>
      </c>
      <c r="DB216" s="228">
        <v>4.6900000000000004</v>
      </c>
      <c r="DC216" s="228">
        <v>4.6900000000000004</v>
      </c>
      <c r="DD216" s="228">
        <v>39.880000000000003</v>
      </c>
      <c r="DE216" s="228">
        <v>39.86</v>
      </c>
      <c r="DF216" s="228">
        <v>1.0900000000000001</v>
      </c>
      <c r="DG216" s="228">
        <v>0.02</v>
      </c>
      <c r="DH216" s="228">
        <v>40.869999999999997</v>
      </c>
      <c r="DI216" s="228">
        <v>34.729999999999997</v>
      </c>
      <c r="DJ216" s="228">
        <v>6.14</v>
      </c>
      <c r="DK216" s="228">
        <v>6.14</v>
      </c>
      <c r="DL216" s="228">
        <v>41.1</v>
      </c>
      <c r="DM216" s="228">
        <v>38.869999999999997</v>
      </c>
      <c r="DN216" s="228">
        <v>2.23</v>
      </c>
      <c r="DO216" s="228">
        <v>2.23</v>
      </c>
      <c r="DP216" s="228">
        <v>0.88</v>
      </c>
      <c r="DQ216" s="228">
        <v>0.91</v>
      </c>
      <c r="DR216" s="228">
        <v>-0.03</v>
      </c>
      <c r="DS216" s="229">
        <v>-3.3000000000000002E-2</v>
      </c>
      <c r="DT216" s="231">
        <v>1300</v>
      </c>
      <c r="DU216" s="231">
        <v>1200</v>
      </c>
      <c r="DV216" s="228">
        <v>0.84</v>
      </c>
      <c r="DW216" s="228">
        <v>0.6</v>
      </c>
      <c r="DX216" s="228">
        <v>0.24</v>
      </c>
      <c r="DY216" s="229">
        <v>0.4</v>
      </c>
      <c r="DZ216" s="229">
        <v>0.37769999999999998</v>
      </c>
      <c r="EA216" s="230">
        <v>2904375</v>
      </c>
      <c r="EB216" s="229">
        <v>-1.17E-2</v>
      </c>
      <c r="EC216" s="229">
        <v>0.37769999999999998</v>
      </c>
      <c r="ED216" s="228">
        <v>-17.8</v>
      </c>
      <c r="EE216" s="229">
        <v>-1.23E-2</v>
      </c>
      <c r="EF216" s="230">
        <v>340818</v>
      </c>
      <c r="EG216" s="230">
        <v>359410</v>
      </c>
      <c r="EH216" s="229">
        <v>-5.1700000000000003E-2</v>
      </c>
      <c r="EI216" s="229">
        <v>0.31909999999999999</v>
      </c>
      <c r="EJ216" s="231">
        <v>121658.55</v>
      </c>
      <c r="EK216" s="231">
        <v>94930.9</v>
      </c>
      <c r="EL216" s="231">
        <v>107684.06</v>
      </c>
      <c r="EM216" s="231">
        <v>6601</v>
      </c>
      <c r="EN216" s="231">
        <v>324273.51</v>
      </c>
      <c r="EO216" s="231">
        <v>309431.71999999997</v>
      </c>
      <c r="EP216" s="231">
        <v>14841.79</v>
      </c>
      <c r="EQ216" s="229">
        <v>4.8000000000000001E-2</v>
      </c>
      <c r="ER216" s="231">
        <v>65515</v>
      </c>
      <c r="ES216" s="231">
        <v>53000</v>
      </c>
      <c r="ET216" s="231">
        <v>156999</v>
      </c>
      <c r="EU216" s="231">
        <v>25134629</v>
      </c>
      <c r="EV216" s="231">
        <v>275514</v>
      </c>
      <c r="EW216" s="231">
        <v>304868</v>
      </c>
      <c r="EX216" s="231">
        <v>-29354</v>
      </c>
      <c r="EY216" s="229">
        <v>-9.6299999999999997E-2</v>
      </c>
      <c r="EZ216" s="229">
        <v>0.77749999999999997</v>
      </c>
      <c r="FA216" s="227" t="s">
        <v>567</v>
      </c>
      <c r="FB216" s="161">
        <f t="shared" si="5"/>
        <v>0</v>
      </c>
    </row>
    <row r="217" spans="1:158" ht="17.25" thickBot="1" x14ac:dyDescent="0.3">
      <c r="A217" s="226">
        <v>46135</v>
      </c>
      <c r="B217" s="227" t="s">
        <v>184</v>
      </c>
      <c r="C217" s="227" t="s">
        <v>690</v>
      </c>
      <c r="D217" s="228">
        <v>175</v>
      </c>
      <c r="E217" s="231">
        <v>3416.1</v>
      </c>
      <c r="F217" s="231">
        <v>3435.8</v>
      </c>
      <c r="G217" s="228">
        <v>-19.7</v>
      </c>
      <c r="H217" s="229">
        <v>-5.7000000000000002E-3</v>
      </c>
      <c r="I217" s="231">
        <v>3413</v>
      </c>
      <c r="J217" s="231">
        <v>3427.8</v>
      </c>
      <c r="K217" s="228">
        <v>-14.8</v>
      </c>
      <c r="L217" s="229">
        <v>-4.3E-3</v>
      </c>
      <c r="M217" s="231">
        <v>3416.1</v>
      </c>
      <c r="N217" s="231">
        <v>3435.8</v>
      </c>
      <c r="O217" s="228">
        <v>-19.7</v>
      </c>
      <c r="P217" s="229">
        <v>-5.7000000000000002E-3</v>
      </c>
      <c r="Q217" s="231">
        <v>3438</v>
      </c>
      <c r="R217" s="231">
        <v>3452.2</v>
      </c>
      <c r="S217" s="228">
        <v>-14.2</v>
      </c>
      <c r="T217" s="229">
        <v>-4.1000000000000003E-3</v>
      </c>
      <c r="U217" s="231">
        <v>3459.4</v>
      </c>
      <c r="V217" s="231">
        <v>3477.5</v>
      </c>
      <c r="W217" s="228">
        <v>-18.100000000000001</v>
      </c>
      <c r="X217" s="229">
        <v>-5.1999999999999998E-3</v>
      </c>
      <c r="Y217" s="228">
        <v>3.1</v>
      </c>
      <c r="Z217" s="228">
        <v>8</v>
      </c>
      <c r="AA217" s="228">
        <v>-4.9000000000000004</v>
      </c>
      <c r="AB217" s="229">
        <v>8.9999999999999998E-4</v>
      </c>
      <c r="AC217" s="228">
        <v>3.1</v>
      </c>
      <c r="AD217" s="228">
        <v>8</v>
      </c>
      <c r="AE217" s="228">
        <v>-4.9000000000000004</v>
      </c>
      <c r="AF217" s="229">
        <v>8.9999999999999998E-4</v>
      </c>
      <c r="AG217" s="228">
        <v>25</v>
      </c>
      <c r="AH217" s="228">
        <v>24.4</v>
      </c>
      <c r="AI217" s="228">
        <v>0.6</v>
      </c>
      <c r="AJ217" s="229">
        <v>7.3000000000000001E-3</v>
      </c>
      <c r="AK217" s="228">
        <v>46.4</v>
      </c>
      <c r="AL217" s="228">
        <v>49.7</v>
      </c>
      <c r="AM217" s="228">
        <v>-3.3</v>
      </c>
      <c r="AN217" s="229">
        <v>1.3599999999999999E-2</v>
      </c>
      <c r="AO217" s="231">
        <v>3448.78</v>
      </c>
      <c r="AP217" s="231">
        <v>3471.09</v>
      </c>
      <c r="AQ217" s="228">
        <v>0</v>
      </c>
      <c r="AR217" s="230">
        <v>2926525</v>
      </c>
      <c r="AS217" s="230">
        <v>1209950</v>
      </c>
      <c r="AT217" s="230">
        <v>1716575</v>
      </c>
      <c r="AU217" s="229">
        <v>1.4187000000000001</v>
      </c>
      <c r="AV217" s="230">
        <v>1652000</v>
      </c>
      <c r="AW217" s="230">
        <v>861700</v>
      </c>
      <c r="AX217" s="230">
        <v>790300</v>
      </c>
      <c r="AY217" s="229">
        <v>0.91710000000000003</v>
      </c>
      <c r="AZ217" s="230">
        <v>1239700</v>
      </c>
      <c r="BA217" s="230">
        <v>340200</v>
      </c>
      <c r="BB217" s="230">
        <v>899500</v>
      </c>
      <c r="BC217" s="229">
        <v>2.6440000000000001</v>
      </c>
      <c r="BD217" s="230">
        <v>34825</v>
      </c>
      <c r="BE217" s="230">
        <v>8050</v>
      </c>
      <c r="BF217" s="230">
        <v>26775</v>
      </c>
      <c r="BG217" s="229">
        <v>3.3260999999999998</v>
      </c>
      <c r="BH217" s="230">
        <v>4330900</v>
      </c>
      <c r="BI217" s="230">
        <v>4903850</v>
      </c>
      <c r="BJ217" s="230">
        <v>-572950</v>
      </c>
      <c r="BK217" s="229">
        <v>-0.1168</v>
      </c>
      <c r="BL217" s="230">
        <v>2648450</v>
      </c>
      <c r="BM217" s="230">
        <v>2838850</v>
      </c>
      <c r="BN217" s="230">
        <v>-190400</v>
      </c>
      <c r="BO217" s="229">
        <v>-6.7100000000000007E-2</v>
      </c>
      <c r="BP217" s="230">
        <v>9905875</v>
      </c>
      <c r="BQ217" s="230">
        <v>8952650</v>
      </c>
      <c r="BR217" s="230">
        <v>953225</v>
      </c>
      <c r="BS217" s="229">
        <v>0.1065</v>
      </c>
      <c r="BT217" s="230">
        <v>1301596</v>
      </c>
      <c r="BU217" s="230">
        <v>1301434</v>
      </c>
      <c r="BV217" s="228">
        <v>162</v>
      </c>
      <c r="BW217" s="229">
        <v>1E-4</v>
      </c>
      <c r="BX217" s="230">
        <v>5296200</v>
      </c>
      <c r="BY217" s="230">
        <v>5285350</v>
      </c>
      <c r="BZ217" s="230">
        <v>10850</v>
      </c>
      <c r="CA217" s="229">
        <v>2.0999999999999999E-3</v>
      </c>
      <c r="CB217" s="230">
        <v>3601325</v>
      </c>
      <c r="CC217" s="230">
        <v>4583950</v>
      </c>
      <c r="CD217" s="230">
        <v>-982625</v>
      </c>
      <c r="CE217" s="229">
        <v>-0.21440000000000001</v>
      </c>
      <c r="CF217" s="230">
        <v>1641150</v>
      </c>
      <c r="CG217" s="230">
        <v>680050</v>
      </c>
      <c r="CH217" s="230">
        <v>961100</v>
      </c>
      <c r="CI217" s="229">
        <v>1.4133</v>
      </c>
      <c r="CJ217" s="230">
        <v>53725</v>
      </c>
      <c r="CK217" s="230">
        <v>21350</v>
      </c>
      <c r="CL217" s="230">
        <v>32375</v>
      </c>
      <c r="CM217" s="229">
        <v>1.5164</v>
      </c>
      <c r="CN217" s="230">
        <v>2034375</v>
      </c>
      <c r="CO217" s="230">
        <v>2052225</v>
      </c>
      <c r="CP217" s="230">
        <v>-17850</v>
      </c>
      <c r="CQ217" s="229">
        <v>-8.6999999999999994E-3</v>
      </c>
      <c r="CR217" s="230">
        <v>1591450</v>
      </c>
      <c r="CS217" s="230">
        <v>1417325</v>
      </c>
      <c r="CT217" s="230">
        <v>174125</v>
      </c>
      <c r="CU217" s="229">
        <v>0.1229</v>
      </c>
      <c r="CV217" s="230">
        <v>8922025</v>
      </c>
      <c r="CW217" s="230">
        <v>8754900</v>
      </c>
      <c r="CX217" s="230">
        <v>167125</v>
      </c>
      <c r="CY217" s="229">
        <v>1.9099999999999999E-2</v>
      </c>
      <c r="CZ217" s="228">
        <v>45.92</v>
      </c>
      <c r="DA217" s="228">
        <v>39.369999999999997</v>
      </c>
      <c r="DB217" s="228">
        <v>6.55</v>
      </c>
      <c r="DC217" s="228">
        <v>6.55</v>
      </c>
      <c r="DD217" s="228">
        <v>52.39</v>
      </c>
      <c r="DE217" s="228">
        <v>52.51</v>
      </c>
      <c r="DF217" s="228">
        <v>-6.47</v>
      </c>
      <c r="DG217" s="228">
        <v>-0.12</v>
      </c>
      <c r="DH217" s="228">
        <v>45.51</v>
      </c>
      <c r="DI217" s="228">
        <v>40.229999999999997</v>
      </c>
      <c r="DJ217" s="228">
        <v>5.28</v>
      </c>
      <c r="DK217" s="228">
        <v>5.28</v>
      </c>
      <c r="DL217" s="228">
        <v>47</v>
      </c>
      <c r="DM217" s="228">
        <v>37.880000000000003</v>
      </c>
      <c r="DN217" s="228">
        <v>9.1199999999999992</v>
      </c>
      <c r="DO217" s="228">
        <v>9.1199999999999992</v>
      </c>
      <c r="DP217" s="228">
        <v>0.78</v>
      </c>
      <c r="DQ217" s="228">
        <v>0.69</v>
      </c>
      <c r="DR217" s="228">
        <v>0.09</v>
      </c>
      <c r="DS217" s="229">
        <v>0.13039999999999999</v>
      </c>
      <c r="DT217" s="231">
        <v>3500</v>
      </c>
      <c r="DU217" s="231">
        <v>3350</v>
      </c>
      <c r="DV217" s="228">
        <v>0.61</v>
      </c>
      <c r="DW217" s="228">
        <v>0.57999999999999996</v>
      </c>
      <c r="DX217" s="228">
        <v>0.03</v>
      </c>
      <c r="DY217" s="229">
        <v>5.1700000000000003E-2</v>
      </c>
      <c r="DZ217" s="229">
        <v>0.32</v>
      </c>
      <c r="EA217" s="230">
        <v>701400</v>
      </c>
      <c r="EB217" s="229">
        <v>6.4000000000000003E-3</v>
      </c>
      <c r="EC217" s="229">
        <v>0.32</v>
      </c>
      <c r="ED217" s="228">
        <v>22.31</v>
      </c>
      <c r="EE217" s="229">
        <v>6.4999999999999997E-3</v>
      </c>
      <c r="EF217" s="230">
        <v>430392</v>
      </c>
      <c r="EG217" s="230">
        <v>407298</v>
      </c>
      <c r="EH217" s="229">
        <v>5.67E-2</v>
      </c>
      <c r="EI217" s="229">
        <v>0.33069999999999999</v>
      </c>
      <c r="EJ217" s="231">
        <v>155159.12</v>
      </c>
      <c r="EK217" s="231">
        <v>89165.51</v>
      </c>
      <c r="EL217" s="231">
        <v>101216.86</v>
      </c>
      <c r="EM217" s="231">
        <v>7327</v>
      </c>
      <c r="EN217" s="231">
        <v>345541.49</v>
      </c>
      <c r="EO217" s="231">
        <v>315942.65000000002</v>
      </c>
      <c r="EP217" s="231">
        <v>29598.84</v>
      </c>
      <c r="EQ217" s="229">
        <v>9.3700000000000006E-2</v>
      </c>
      <c r="ER217" s="231">
        <v>71063</v>
      </c>
      <c r="ES217" s="231">
        <v>51414</v>
      </c>
      <c r="ET217" s="231">
        <v>181306</v>
      </c>
      <c r="EU217" s="231">
        <v>15436318</v>
      </c>
      <c r="EV217" s="231">
        <v>303784</v>
      </c>
      <c r="EW217" s="231">
        <v>298785</v>
      </c>
      <c r="EX217" s="231">
        <v>4999</v>
      </c>
      <c r="EY217" s="229">
        <v>1.67E-2</v>
      </c>
      <c r="EZ217" s="229">
        <v>0.57799999999999996</v>
      </c>
      <c r="FA217" s="227" t="s">
        <v>566</v>
      </c>
      <c r="FB217" s="161">
        <f t="shared" si="5"/>
        <v>0</v>
      </c>
    </row>
    <row r="218" spans="1:158" ht="17.25" thickBot="1" x14ac:dyDescent="0.3">
      <c r="A218" s="226">
        <v>46135</v>
      </c>
      <c r="B218" s="227" t="s">
        <v>221</v>
      </c>
      <c r="C218" s="227" t="s">
        <v>306</v>
      </c>
      <c r="D218" s="228">
        <v>3000</v>
      </c>
      <c r="E218" s="228">
        <v>202.85</v>
      </c>
      <c r="F218" s="228">
        <v>203.81</v>
      </c>
      <c r="G218" s="228">
        <v>-0.96</v>
      </c>
      <c r="H218" s="229">
        <v>-4.7000000000000002E-3</v>
      </c>
      <c r="I218" s="228">
        <v>202.76</v>
      </c>
      <c r="J218" s="228">
        <v>204</v>
      </c>
      <c r="K218" s="228">
        <v>-1.24</v>
      </c>
      <c r="L218" s="229">
        <v>-6.1000000000000004E-3</v>
      </c>
      <c r="M218" s="228">
        <v>202.85</v>
      </c>
      <c r="N218" s="228">
        <v>203.81</v>
      </c>
      <c r="O218" s="228">
        <v>-0.96</v>
      </c>
      <c r="P218" s="229">
        <v>-4.7000000000000002E-3</v>
      </c>
      <c r="Q218" s="228">
        <v>198.25</v>
      </c>
      <c r="R218" s="228">
        <v>200.26</v>
      </c>
      <c r="S218" s="228">
        <v>-2.0099999999999998</v>
      </c>
      <c r="T218" s="229">
        <v>-0.01</v>
      </c>
      <c r="U218" s="228">
        <v>195.08</v>
      </c>
      <c r="V218" s="228">
        <v>197.67</v>
      </c>
      <c r="W218" s="228">
        <v>-2.59</v>
      </c>
      <c r="X218" s="229">
        <v>-1.3100000000000001E-2</v>
      </c>
      <c r="Y218" s="228">
        <v>0.09</v>
      </c>
      <c r="Z218" s="228">
        <v>-0.19</v>
      </c>
      <c r="AA218" s="228">
        <v>0.28000000000000003</v>
      </c>
      <c r="AB218" s="229">
        <v>4.0000000000000002E-4</v>
      </c>
      <c r="AC218" s="228">
        <v>0.09</v>
      </c>
      <c r="AD218" s="228">
        <v>-0.19</v>
      </c>
      <c r="AE218" s="228">
        <v>0.28000000000000003</v>
      </c>
      <c r="AF218" s="229">
        <v>4.0000000000000002E-4</v>
      </c>
      <c r="AG218" s="228">
        <v>-4.51</v>
      </c>
      <c r="AH218" s="228">
        <v>-3.74</v>
      </c>
      <c r="AI218" s="228">
        <v>-0.77</v>
      </c>
      <c r="AJ218" s="229">
        <v>-2.2200000000000001E-2</v>
      </c>
      <c r="AK218" s="228">
        <v>-7.68</v>
      </c>
      <c r="AL218" s="228">
        <v>-6.33</v>
      </c>
      <c r="AM218" s="228">
        <v>-1.35</v>
      </c>
      <c r="AN218" s="229">
        <v>-3.7900000000000003E-2</v>
      </c>
      <c r="AO218" s="228">
        <v>203.22</v>
      </c>
      <c r="AP218" s="228">
        <v>198.82</v>
      </c>
      <c r="AQ218" s="228">
        <v>0</v>
      </c>
      <c r="AR218" s="230">
        <v>195012000</v>
      </c>
      <c r="AS218" s="230">
        <v>75111000</v>
      </c>
      <c r="AT218" s="230">
        <v>119901000</v>
      </c>
      <c r="AU218" s="229">
        <v>1.5963000000000001</v>
      </c>
      <c r="AV218" s="230">
        <v>95151000</v>
      </c>
      <c r="AW218" s="230">
        <v>41322000</v>
      </c>
      <c r="AX218" s="230">
        <v>53829000</v>
      </c>
      <c r="AY218" s="229">
        <v>1.3027</v>
      </c>
      <c r="AZ218" s="230">
        <v>96987000</v>
      </c>
      <c r="BA218" s="230">
        <v>29856000</v>
      </c>
      <c r="BB218" s="230">
        <v>67131000</v>
      </c>
      <c r="BC218" s="229">
        <v>2.2484999999999999</v>
      </c>
      <c r="BD218" s="230">
        <v>2874000</v>
      </c>
      <c r="BE218" s="230">
        <v>3933000</v>
      </c>
      <c r="BF218" s="230">
        <v>-1059000</v>
      </c>
      <c r="BG218" s="229">
        <v>-0.26929999999999998</v>
      </c>
      <c r="BH218" s="230">
        <v>129831000</v>
      </c>
      <c r="BI218" s="230">
        <v>190410000</v>
      </c>
      <c r="BJ218" s="230">
        <v>-60579000</v>
      </c>
      <c r="BK218" s="229">
        <v>-0.31819999999999998</v>
      </c>
      <c r="BL218" s="230">
        <v>76677000</v>
      </c>
      <c r="BM218" s="230">
        <v>110886000</v>
      </c>
      <c r="BN218" s="230">
        <v>-34209000</v>
      </c>
      <c r="BO218" s="229">
        <v>-0.3085</v>
      </c>
      <c r="BP218" s="230">
        <v>401520000</v>
      </c>
      <c r="BQ218" s="230">
        <v>376407000</v>
      </c>
      <c r="BR218" s="230">
        <v>25113000</v>
      </c>
      <c r="BS218" s="229">
        <v>6.6699999999999995E-2</v>
      </c>
      <c r="BT218" s="230">
        <v>21388296</v>
      </c>
      <c r="BU218" s="230">
        <v>22895073</v>
      </c>
      <c r="BV218" s="230">
        <v>-1506777</v>
      </c>
      <c r="BW218" s="229">
        <v>-6.5799999999999997E-2</v>
      </c>
      <c r="BX218" s="230">
        <v>297831000</v>
      </c>
      <c r="BY218" s="230">
        <v>331419000</v>
      </c>
      <c r="BZ218" s="230">
        <v>-33588000</v>
      </c>
      <c r="CA218" s="229">
        <v>-0.1013</v>
      </c>
      <c r="CB218" s="230">
        <v>160131000</v>
      </c>
      <c r="CC218" s="230">
        <v>229017000</v>
      </c>
      <c r="CD218" s="230">
        <v>-68886000</v>
      </c>
      <c r="CE218" s="229">
        <v>-0.30080000000000001</v>
      </c>
      <c r="CF218" s="230">
        <v>124524000</v>
      </c>
      <c r="CG218" s="230">
        <v>90858000</v>
      </c>
      <c r="CH218" s="230">
        <v>33666000</v>
      </c>
      <c r="CI218" s="229">
        <v>0.3705</v>
      </c>
      <c r="CJ218" s="230">
        <v>13176000</v>
      </c>
      <c r="CK218" s="230">
        <v>11544000</v>
      </c>
      <c r="CL218" s="230">
        <v>1632000</v>
      </c>
      <c r="CM218" s="229">
        <v>0.1414</v>
      </c>
      <c r="CN218" s="230">
        <v>168456000</v>
      </c>
      <c r="CO218" s="230">
        <v>166320000</v>
      </c>
      <c r="CP218" s="230">
        <v>2136000</v>
      </c>
      <c r="CQ218" s="229">
        <v>1.2800000000000001E-2</v>
      </c>
      <c r="CR218" s="230">
        <v>86568000</v>
      </c>
      <c r="CS218" s="230">
        <v>89013000</v>
      </c>
      <c r="CT218" s="230">
        <v>-2445000</v>
      </c>
      <c r="CU218" s="229">
        <v>-2.75E-2</v>
      </c>
      <c r="CV218" s="230">
        <v>552855000</v>
      </c>
      <c r="CW218" s="230">
        <v>586752000</v>
      </c>
      <c r="CX218" s="230">
        <v>-33897000</v>
      </c>
      <c r="CY218" s="229">
        <v>-5.7799999999999997E-2</v>
      </c>
      <c r="CZ218" s="228">
        <v>32.68</v>
      </c>
      <c r="DA218" s="228">
        <v>27.74</v>
      </c>
      <c r="DB218" s="228">
        <v>4.9400000000000004</v>
      </c>
      <c r="DC218" s="228">
        <v>4.9400000000000004</v>
      </c>
      <c r="DD218" s="228">
        <v>31.26</v>
      </c>
      <c r="DE218" s="228">
        <v>31.33</v>
      </c>
      <c r="DF218" s="228">
        <v>1.42</v>
      </c>
      <c r="DG218" s="228">
        <v>-7.0000000000000007E-2</v>
      </c>
      <c r="DH218" s="228">
        <v>33.31</v>
      </c>
      <c r="DI218" s="228">
        <v>27.31</v>
      </c>
      <c r="DJ218" s="228">
        <v>6</v>
      </c>
      <c r="DK218" s="228">
        <v>6</v>
      </c>
      <c r="DL218" s="228">
        <v>31.1</v>
      </c>
      <c r="DM218" s="228">
        <v>28.5</v>
      </c>
      <c r="DN218" s="228">
        <v>2.6</v>
      </c>
      <c r="DO218" s="228">
        <v>2.6</v>
      </c>
      <c r="DP218" s="228">
        <v>0.51</v>
      </c>
      <c r="DQ218" s="228">
        <v>0.54</v>
      </c>
      <c r="DR218" s="228">
        <v>-0.03</v>
      </c>
      <c r="DS218" s="229">
        <v>-5.5599999999999997E-2</v>
      </c>
      <c r="DT218" s="228">
        <v>210</v>
      </c>
      <c r="DU218" s="228">
        <v>200</v>
      </c>
      <c r="DV218" s="228">
        <v>0.59</v>
      </c>
      <c r="DW218" s="228">
        <v>0.57999999999999996</v>
      </c>
      <c r="DX218" s="228">
        <v>0.01</v>
      </c>
      <c r="DY218" s="229">
        <v>1.72E-2</v>
      </c>
      <c r="DZ218" s="229">
        <v>0.46229999999999999</v>
      </c>
      <c r="EA218" s="230">
        <v>102402000</v>
      </c>
      <c r="EB218" s="229">
        <v>-2.2700000000000001E-2</v>
      </c>
      <c r="EC218" s="229">
        <v>0.46229999999999999</v>
      </c>
      <c r="ED218" s="228">
        <v>-4.4000000000000004</v>
      </c>
      <c r="EE218" s="229">
        <v>-2.1700000000000001E-2</v>
      </c>
      <c r="EF218" s="230">
        <v>12554182</v>
      </c>
      <c r="EG218" s="230">
        <v>11769080</v>
      </c>
      <c r="EH218" s="229">
        <v>6.6699999999999995E-2</v>
      </c>
      <c r="EI218" s="229">
        <v>0.58699999999999997</v>
      </c>
      <c r="EJ218" s="231">
        <v>275134.40000000002</v>
      </c>
      <c r="EK218" s="231">
        <v>154232.35999999999</v>
      </c>
      <c r="EL218" s="231">
        <v>391833.71</v>
      </c>
      <c r="EM218" s="231">
        <v>22072</v>
      </c>
      <c r="EN218" s="231">
        <v>821200.47</v>
      </c>
      <c r="EO218" s="231">
        <v>779388.46</v>
      </c>
      <c r="EP218" s="231">
        <v>41812.01</v>
      </c>
      <c r="EQ218" s="229">
        <v>5.3600000000000002E-2</v>
      </c>
      <c r="ER218" s="231">
        <v>360604</v>
      </c>
      <c r="ES218" s="231">
        <v>170587</v>
      </c>
      <c r="ET218" s="231">
        <v>597398</v>
      </c>
      <c r="EU218" s="231">
        <v>428710078</v>
      </c>
      <c r="EV218" s="231">
        <v>1128589</v>
      </c>
      <c r="EW218" s="231">
        <v>1203567</v>
      </c>
      <c r="EX218" s="231">
        <v>-74978</v>
      </c>
      <c r="EY218" s="229">
        <v>-6.2300000000000001E-2</v>
      </c>
      <c r="EZ218" s="229">
        <v>1.2896000000000001</v>
      </c>
      <c r="FA218" s="227" t="s">
        <v>567</v>
      </c>
      <c r="FB218" s="161">
        <f t="shared" si="5"/>
        <v>0</v>
      </c>
    </row>
    <row r="219" spans="1:158" ht="17.25" thickBot="1" x14ac:dyDescent="0.3">
      <c r="A219" s="226">
        <v>46135</v>
      </c>
      <c r="B219" s="227" t="s">
        <v>172</v>
      </c>
      <c r="C219" s="227" t="s">
        <v>589</v>
      </c>
      <c r="D219" s="228">
        <v>31100</v>
      </c>
      <c r="E219" s="228">
        <v>20</v>
      </c>
      <c r="F219" s="228">
        <v>20</v>
      </c>
      <c r="G219" s="228">
        <v>0</v>
      </c>
      <c r="H219" s="229">
        <v>0</v>
      </c>
      <c r="I219" s="228">
        <v>20.03</v>
      </c>
      <c r="J219" s="228">
        <v>19.989999999999998</v>
      </c>
      <c r="K219" s="228">
        <v>0.04</v>
      </c>
      <c r="L219" s="229">
        <v>2E-3</v>
      </c>
      <c r="M219" s="228">
        <v>20</v>
      </c>
      <c r="N219" s="228">
        <v>20</v>
      </c>
      <c r="O219" s="228">
        <v>0</v>
      </c>
      <c r="P219" s="229">
        <v>0</v>
      </c>
      <c r="Q219" s="228">
        <v>20.100000000000001</v>
      </c>
      <c r="R219" s="228">
        <v>20.12</v>
      </c>
      <c r="S219" s="228">
        <v>-0.02</v>
      </c>
      <c r="T219" s="229">
        <v>-1E-3</v>
      </c>
      <c r="U219" s="228">
        <v>20.22</v>
      </c>
      <c r="V219" s="228">
        <v>20.25</v>
      </c>
      <c r="W219" s="228">
        <v>-0.03</v>
      </c>
      <c r="X219" s="229">
        <v>-1.5E-3</v>
      </c>
      <c r="Y219" s="228">
        <v>-0.03</v>
      </c>
      <c r="Z219" s="228">
        <v>0.01</v>
      </c>
      <c r="AA219" s="228">
        <v>-0.04</v>
      </c>
      <c r="AB219" s="229">
        <v>-1.5E-3</v>
      </c>
      <c r="AC219" s="228">
        <v>-0.03</v>
      </c>
      <c r="AD219" s="228">
        <v>0.01</v>
      </c>
      <c r="AE219" s="228">
        <v>-0.04</v>
      </c>
      <c r="AF219" s="229">
        <v>-1.5E-3</v>
      </c>
      <c r="AG219" s="228">
        <v>7.0000000000000007E-2</v>
      </c>
      <c r="AH219" s="228">
        <v>0.13</v>
      </c>
      <c r="AI219" s="228">
        <v>-0.06</v>
      </c>
      <c r="AJ219" s="229">
        <v>3.5000000000000001E-3</v>
      </c>
      <c r="AK219" s="228">
        <v>0.19</v>
      </c>
      <c r="AL219" s="228">
        <v>0.26</v>
      </c>
      <c r="AM219" s="228">
        <v>-7.0000000000000007E-2</v>
      </c>
      <c r="AN219" s="229">
        <v>9.4999999999999998E-3</v>
      </c>
      <c r="AO219" s="228">
        <v>19.95</v>
      </c>
      <c r="AP219" s="228">
        <v>20.04</v>
      </c>
      <c r="AQ219" s="228">
        <v>0</v>
      </c>
      <c r="AR219" s="230">
        <v>622466500</v>
      </c>
      <c r="AS219" s="230">
        <v>207748000</v>
      </c>
      <c r="AT219" s="230">
        <v>414718500</v>
      </c>
      <c r="AU219" s="229">
        <v>1.9963</v>
      </c>
      <c r="AV219" s="230">
        <v>306614900</v>
      </c>
      <c r="AW219" s="230">
        <v>129655900</v>
      </c>
      <c r="AX219" s="230">
        <v>176959000</v>
      </c>
      <c r="AY219" s="229">
        <v>1.3648</v>
      </c>
      <c r="AZ219" s="230">
        <v>306490500</v>
      </c>
      <c r="BA219" s="230">
        <v>70814700</v>
      </c>
      <c r="BB219" s="230">
        <v>235675800</v>
      </c>
      <c r="BC219" s="229">
        <v>3.3281000000000001</v>
      </c>
      <c r="BD219" s="230">
        <v>9361100</v>
      </c>
      <c r="BE219" s="230">
        <v>7277400</v>
      </c>
      <c r="BF219" s="230">
        <v>2083700</v>
      </c>
      <c r="BG219" s="229">
        <v>0.2863</v>
      </c>
      <c r="BH219" s="230">
        <v>413536700</v>
      </c>
      <c r="BI219" s="230">
        <v>663985000</v>
      </c>
      <c r="BJ219" s="230">
        <v>-250448300</v>
      </c>
      <c r="BK219" s="229">
        <v>-0.37719999999999998</v>
      </c>
      <c r="BL219" s="230">
        <v>185200500</v>
      </c>
      <c r="BM219" s="230">
        <v>206659500</v>
      </c>
      <c r="BN219" s="230">
        <v>-21459000</v>
      </c>
      <c r="BO219" s="229">
        <v>-0.1038</v>
      </c>
      <c r="BP219" s="230">
        <v>1221203700</v>
      </c>
      <c r="BQ219" s="230">
        <v>1078392500</v>
      </c>
      <c r="BR219" s="230">
        <v>142811200</v>
      </c>
      <c r="BS219" s="229">
        <v>0.13239999999999999</v>
      </c>
      <c r="BT219" s="230">
        <v>91466908</v>
      </c>
      <c r="BU219" s="230">
        <v>105520105</v>
      </c>
      <c r="BV219" s="230">
        <v>-14053197</v>
      </c>
      <c r="BW219" s="229">
        <v>-0.13320000000000001</v>
      </c>
      <c r="BX219" s="230">
        <v>1294972900</v>
      </c>
      <c r="BY219" s="230">
        <v>1295594900</v>
      </c>
      <c r="BZ219" s="230">
        <v>-622000</v>
      </c>
      <c r="CA219" s="229">
        <v>-5.0000000000000001E-4</v>
      </c>
      <c r="CB219" s="230">
        <v>702362400</v>
      </c>
      <c r="CC219" s="230">
        <v>947430400</v>
      </c>
      <c r="CD219" s="230">
        <v>-245068000</v>
      </c>
      <c r="CE219" s="229">
        <v>-0.25869999999999999</v>
      </c>
      <c r="CF219" s="230">
        <v>553859900</v>
      </c>
      <c r="CG219" s="230">
        <v>315229600</v>
      </c>
      <c r="CH219" s="230">
        <v>238630300</v>
      </c>
      <c r="CI219" s="229">
        <v>0.75700000000000001</v>
      </c>
      <c r="CJ219" s="230">
        <v>38750600</v>
      </c>
      <c r="CK219" s="230">
        <v>32934900</v>
      </c>
      <c r="CL219" s="230">
        <v>5815700</v>
      </c>
      <c r="CM219" s="229">
        <v>0.17660000000000001</v>
      </c>
      <c r="CN219" s="230">
        <v>657702800</v>
      </c>
      <c r="CO219" s="230">
        <v>684542100</v>
      </c>
      <c r="CP219" s="230">
        <v>-26839300</v>
      </c>
      <c r="CQ219" s="229">
        <v>-3.9199999999999999E-2</v>
      </c>
      <c r="CR219" s="230">
        <v>346765000</v>
      </c>
      <c r="CS219" s="230">
        <v>354602200</v>
      </c>
      <c r="CT219" s="230">
        <v>-7837200</v>
      </c>
      <c r="CU219" s="229">
        <v>-2.2100000000000002E-2</v>
      </c>
      <c r="CV219" s="230">
        <v>2299440700</v>
      </c>
      <c r="CW219" s="230">
        <v>2334739200</v>
      </c>
      <c r="CX219" s="230">
        <v>-35298500</v>
      </c>
      <c r="CY219" s="229">
        <v>-1.5100000000000001E-2</v>
      </c>
      <c r="CZ219" s="228">
        <v>34.520000000000003</v>
      </c>
      <c r="DA219" s="228">
        <v>34.869999999999997</v>
      </c>
      <c r="DB219" s="228">
        <v>-0.35</v>
      </c>
      <c r="DC219" s="228">
        <v>-0.35</v>
      </c>
      <c r="DD219" s="228">
        <v>38.409999999999997</v>
      </c>
      <c r="DE219" s="228">
        <v>38.5</v>
      </c>
      <c r="DF219" s="228">
        <v>-3.89</v>
      </c>
      <c r="DG219" s="228">
        <v>-0.09</v>
      </c>
      <c r="DH219" s="228">
        <v>34.75</v>
      </c>
      <c r="DI219" s="228">
        <v>35.97</v>
      </c>
      <c r="DJ219" s="228">
        <v>-1.22</v>
      </c>
      <c r="DK219" s="228">
        <v>-1.22</v>
      </c>
      <c r="DL219" s="228">
        <v>33.67</v>
      </c>
      <c r="DM219" s="228">
        <v>31.35</v>
      </c>
      <c r="DN219" s="228">
        <v>2.3199999999999998</v>
      </c>
      <c r="DO219" s="228">
        <v>2.3199999999999998</v>
      </c>
      <c r="DP219" s="228">
        <v>0.53</v>
      </c>
      <c r="DQ219" s="228">
        <v>0.52</v>
      </c>
      <c r="DR219" s="228">
        <v>0.01</v>
      </c>
      <c r="DS219" s="229">
        <v>1.9199999999999998E-2</v>
      </c>
      <c r="DT219" s="228">
        <v>22</v>
      </c>
      <c r="DU219" s="228">
        <v>20</v>
      </c>
      <c r="DV219" s="228">
        <v>0.45</v>
      </c>
      <c r="DW219" s="228">
        <v>0.31</v>
      </c>
      <c r="DX219" s="228">
        <v>0.14000000000000001</v>
      </c>
      <c r="DY219" s="229">
        <v>0.4516</v>
      </c>
      <c r="DZ219" s="229">
        <v>0.45760000000000001</v>
      </c>
      <c r="EA219" s="230">
        <v>348164500</v>
      </c>
      <c r="EB219" s="229">
        <v>5.0000000000000001E-3</v>
      </c>
      <c r="EC219" s="229">
        <v>0.45760000000000001</v>
      </c>
      <c r="ED219" s="228">
        <v>0.09</v>
      </c>
      <c r="EE219" s="229">
        <v>4.4999999999999997E-3</v>
      </c>
      <c r="EF219" s="230">
        <v>44502658</v>
      </c>
      <c r="EG219" s="230">
        <v>46535782</v>
      </c>
      <c r="EH219" s="229">
        <v>-4.3700000000000003E-2</v>
      </c>
      <c r="EI219" s="229">
        <v>0.48649999999999999</v>
      </c>
      <c r="EJ219" s="231">
        <v>87706.51</v>
      </c>
      <c r="EK219" s="231">
        <v>36602.980000000003</v>
      </c>
      <c r="EL219" s="231">
        <v>124473.58</v>
      </c>
      <c r="EM219" s="231">
        <v>9582</v>
      </c>
      <c r="EN219" s="231">
        <v>248783.07</v>
      </c>
      <c r="EO219" s="231">
        <v>224843.1</v>
      </c>
      <c r="EP219" s="231">
        <v>23939.97</v>
      </c>
      <c r="EQ219" s="229">
        <v>0.1065</v>
      </c>
      <c r="ER219" s="231">
        <v>141481</v>
      </c>
      <c r="ES219" s="231">
        <v>64325</v>
      </c>
      <c r="ET219" s="231">
        <v>259634</v>
      </c>
      <c r="EU219" s="231">
        <v>3425130022</v>
      </c>
      <c r="EV219" s="231">
        <v>465439</v>
      </c>
      <c r="EW219" s="231">
        <v>472356</v>
      </c>
      <c r="EX219" s="231">
        <v>-6917</v>
      </c>
      <c r="EY219" s="229">
        <v>-1.46E-2</v>
      </c>
      <c r="EZ219" s="229">
        <v>0.67130000000000001</v>
      </c>
      <c r="FA219" s="227" t="s">
        <v>237</v>
      </c>
      <c r="FB219" s="161">
        <f t="shared" si="5"/>
        <v>0</v>
      </c>
    </row>
    <row r="220" spans="1:158" ht="17.25" thickBot="1" x14ac:dyDescent="0.3">
      <c r="A220" s="226">
        <v>46135</v>
      </c>
      <c r="B220" s="227" t="s">
        <v>170</v>
      </c>
      <c r="C220" s="227" t="s">
        <v>556</v>
      </c>
      <c r="D220" s="228">
        <v>900</v>
      </c>
      <c r="E220" s="228">
        <v>946.55</v>
      </c>
      <c r="F220" s="228">
        <v>930.55</v>
      </c>
      <c r="G220" s="228">
        <v>16</v>
      </c>
      <c r="H220" s="229">
        <v>1.72E-2</v>
      </c>
      <c r="I220" s="228">
        <v>946.35</v>
      </c>
      <c r="J220" s="228">
        <v>929.9</v>
      </c>
      <c r="K220" s="228">
        <v>16.45</v>
      </c>
      <c r="L220" s="229">
        <v>1.77E-2</v>
      </c>
      <c r="M220" s="228">
        <v>946.55</v>
      </c>
      <c r="N220" s="228">
        <v>930.55</v>
      </c>
      <c r="O220" s="228">
        <v>16</v>
      </c>
      <c r="P220" s="229">
        <v>1.72E-2</v>
      </c>
      <c r="Q220" s="228">
        <v>951.9</v>
      </c>
      <c r="R220" s="228">
        <v>936.15</v>
      </c>
      <c r="S220" s="228">
        <v>15.75</v>
      </c>
      <c r="T220" s="229">
        <v>1.6799999999999999E-2</v>
      </c>
      <c r="U220" s="228">
        <v>957.6</v>
      </c>
      <c r="V220" s="228">
        <v>938.95</v>
      </c>
      <c r="W220" s="228">
        <v>18.649999999999999</v>
      </c>
      <c r="X220" s="229">
        <v>1.9900000000000001E-2</v>
      </c>
      <c r="Y220" s="228">
        <v>0.2</v>
      </c>
      <c r="Z220" s="228">
        <v>0.65</v>
      </c>
      <c r="AA220" s="228">
        <v>-0.45</v>
      </c>
      <c r="AB220" s="229">
        <v>2.0000000000000001E-4</v>
      </c>
      <c r="AC220" s="228">
        <v>0.2</v>
      </c>
      <c r="AD220" s="228">
        <v>0.65</v>
      </c>
      <c r="AE220" s="228">
        <v>-0.45</v>
      </c>
      <c r="AF220" s="229">
        <v>2.0000000000000001E-4</v>
      </c>
      <c r="AG220" s="228">
        <v>5.55</v>
      </c>
      <c r="AH220" s="228">
        <v>6.25</v>
      </c>
      <c r="AI220" s="228">
        <v>-0.7</v>
      </c>
      <c r="AJ220" s="229">
        <v>5.8999999999999999E-3</v>
      </c>
      <c r="AK220" s="228">
        <v>11.25</v>
      </c>
      <c r="AL220" s="228">
        <v>9.0500000000000007</v>
      </c>
      <c r="AM220" s="228">
        <v>2.2000000000000002</v>
      </c>
      <c r="AN220" s="229">
        <v>1.1900000000000001E-2</v>
      </c>
      <c r="AO220" s="228">
        <v>947.83</v>
      </c>
      <c r="AP220" s="228">
        <v>952.86</v>
      </c>
      <c r="AQ220" s="228">
        <v>0</v>
      </c>
      <c r="AR220" s="230">
        <v>9601200</v>
      </c>
      <c r="AS220" s="230">
        <v>1432800</v>
      </c>
      <c r="AT220" s="230">
        <v>8168400</v>
      </c>
      <c r="AU220" s="229">
        <v>5.7009999999999996</v>
      </c>
      <c r="AV220" s="230">
        <v>4935600</v>
      </c>
      <c r="AW220" s="230">
        <v>806400</v>
      </c>
      <c r="AX220" s="230">
        <v>4129200</v>
      </c>
      <c r="AY220" s="229">
        <v>5.1204999999999998</v>
      </c>
      <c r="AZ220" s="230">
        <v>4632300</v>
      </c>
      <c r="BA220" s="230">
        <v>613800</v>
      </c>
      <c r="BB220" s="230">
        <v>4018500</v>
      </c>
      <c r="BC220" s="229">
        <v>6.5468999999999999</v>
      </c>
      <c r="BD220" s="230">
        <v>33300</v>
      </c>
      <c r="BE220" s="230">
        <v>12600</v>
      </c>
      <c r="BF220" s="230">
        <v>20700</v>
      </c>
      <c r="BG220" s="229">
        <v>1.6429</v>
      </c>
      <c r="BH220" s="230">
        <v>17605800</v>
      </c>
      <c r="BI220" s="230">
        <v>2847600</v>
      </c>
      <c r="BJ220" s="230">
        <v>14758200</v>
      </c>
      <c r="BK220" s="229">
        <v>5.1826999999999996</v>
      </c>
      <c r="BL220" s="230">
        <v>4441500</v>
      </c>
      <c r="BM220" s="230">
        <v>745200</v>
      </c>
      <c r="BN220" s="230">
        <v>3696300</v>
      </c>
      <c r="BO220" s="229">
        <v>4.9600999999999997</v>
      </c>
      <c r="BP220" s="230">
        <v>31648500</v>
      </c>
      <c r="BQ220" s="230">
        <v>5025600</v>
      </c>
      <c r="BR220" s="230">
        <v>26622900</v>
      </c>
      <c r="BS220" s="229">
        <v>5.2975000000000003</v>
      </c>
      <c r="BT220" s="230">
        <v>1756135</v>
      </c>
      <c r="BU220" s="230">
        <v>303436</v>
      </c>
      <c r="BV220" s="230">
        <v>1452699</v>
      </c>
      <c r="BW220" s="229">
        <v>4.7874999999999996</v>
      </c>
      <c r="BX220" s="230">
        <v>9784800</v>
      </c>
      <c r="BY220" s="230">
        <v>9388800</v>
      </c>
      <c r="BZ220" s="230">
        <v>396000</v>
      </c>
      <c r="CA220" s="229">
        <v>4.2200000000000001E-2</v>
      </c>
      <c r="CB220" s="230">
        <v>5143500</v>
      </c>
      <c r="CC220" s="230">
        <v>8079300</v>
      </c>
      <c r="CD220" s="230">
        <v>-2935800</v>
      </c>
      <c r="CE220" s="229">
        <v>-0.3634</v>
      </c>
      <c r="CF220" s="230">
        <v>4548600</v>
      </c>
      <c r="CG220" s="230">
        <v>1233900</v>
      </c>
      <c r="CH220" s="230">
        <v>3314700</v>
      </c>
      <c r="CI220" s="229">
        <v>2.6863999999999999</v>
      </c>
      <c r="CJ220" s="230">
        <v>92700</v>
      </c>
      <c r="CK220" s="230">
        <v>75600</v>
      </c>
      <c r="CL220" s="230">
        <v>17100</v>
      </c>
      <c r="CM220" s="229">
        <v>0.22620000000000001</v>
      </c>
      <c r="CN220" s="230">
        <v>3559500</v>
      </c>
      <c r="CO220" s="230">
        <v>3238200</v>
      </c>
      <c r="CP220" s="230">
        <v>321300</v>
      </c>
      <c r="CQ220" s="229">
        <v>9.9199999999999997E-2</v>
      </c>
      <c r="CR220" s="230">
        <v>2814300</v>
      </c>
      <c r="CS220" s="230">
        <v>2381400</v>
      </c>
      <c r="CT220" s="230">
        <v>432900</v>
      </c>
      <c r="CU220" s="229">
        <v>0.18179999999999999</v>
      </c>
      <c r="CV220" s="230">
        <v>16158600</v>
      </c>
      <c r="CW220" s="230">
        <v>15008400</v>
      </c>
      <c r="CX220" s="230">
        <v>1150200</v>
      </c>
      <c r="CY220" s="229">
        <v>7.6600000000000001E-2</v>
      </c>
      <c r="CZ220" s="228">
        <v>30.5</v>
      </c>
      <c r="DA220" s="228">
        <v>24.11</v>
      </c>
      <c r="DB220" s="228">
        <v>6.39</v>
      </c>
      <c r="DC220" s="228">
        <v>6.39</v>
      </c>
      <c r="DD220" s="228">
        <v>28.01</v>
      </c>
      <c r="DE220" s="228">
        <v>27.99</v>
      </c>
      <c r="DF220" s="228">
        <v>2.4900000000000002</v>
      </c>
      <c r="DG220" s="228">
        <v>0.02</v>
      </c>
      <c r="DH220" s="228">
        <v>30.6</v>
      </c>
      <c r="DI220" s="228">
        <v>23.92</v>
      </c>
      <c r="DJ220" s="228">
        <v>6.68</v>
      </c>
      <c r="DK220" s="228">
        <v>6.68</v>
      </c>
      <c r="DL220" s="228">
        <v>30.18</v>
      </c>
      <c r="DM220" s="228">
        <v>24.84</v>
      </c>
      <c r="DN220" s="228">
        <v>5.34</v>
      </c>
      <c r="DO220" s="228">
        <v>5.34</v>
      </c>
      <c r="DP220" s="228">
        <v>0.79</v>
      </c>
      <c r="DQ220" s="228">
        <v>0.74</v>
      </c>
      <c r="DR220" s="228">
        <v>0.05</v>
      </c>
      <c r="DS220" s="229">
        <v>6.7599999999999993E-2</v>
      </c>
      <c r="DT220" s="231">
        <v>1000</v>
      </c>
      <c r="DU220" s="228">
        <v>880</v>
      </c>
      <c r="DV220" s="228">
        <v>0.25</v>
      </c>
      <c r="DW220" s="228">
        <v>0.26</v>
      </c>
      <c r="DX220" s="228">
        <v>-0.01</v>
      </c>
      <c r="DY220" s="229">
        <v>-3.85E-2</v>
      </c>
      <c r="DZ220" s="229">
        <v>0.4743</v>
      </c>
      <c r="EA220" s="230">
        <v>1309500</v>
      </c>
      <c r="EB220" s="229">
        <v>5.7000000000000002E-3</v>
      </c>
      <c r="EC220" s="229">
        <v>0.4743</v>
      </c>
      <c r="ED220" s="228">
        <v>5.03</v>
      </c>
      <c r="EE220" s="229">
        <v>5.3E-3</v>
      </c>
      <c r="EF220" s="230">
        <v>553092</v>
      </c>
      <c r="EG220" s="230">
        <v>145159</v>
      </c>
      <c r="EH220" s="229">
        <v>2.8102</v>
      </c>
      <c r="EI220" s="229">
        <v>0.31490000000000001</v>
      </c>
      <c r="EJ220" s="231">
        <v>171897.89</v>
      </c>
      <c r="EK220" s="231">
        <v>41436.25</v>
      </c>
      <c r="EL220" s="231">
        <v>91238.41</v>
      </c>
      <c r="EM220" s="231">
        <v>1412</v>
      </c>
      <c r="EN220" s="231">
        <v>304572.55</v>
      </c>
      <c r="EO220" s="231">
        <v>47623.85</v>
      </c>
      <c r="EP220" s="231">
        <v>256948.7</v>
      </c>
      <c r="EQ220" s="229">
        <v>5.3954000000000004</v>
      </c>
      <c r="ER220" s="231">
        <v>33967</v>
      </c>
      <c r="ES220" s="231">
        <v>25355</v>
      </c>
      <c r="ET220" s="231">
        <v>92872</v>
      </c>
      <c r="EU220" s="231">
        <v>25160867</v>
      </c>
      <c r="EV220" s="231">
        <v>152193</v>
      </c>
      <c r="EW220" s="231">
        <v>139511</v>
      </c>
      <c r="EX220" s="231">
        <v>12682</v>
      </c>
      <c r="EY220" s="229">
        <v>9.0899999999999995E-2</v>
      </c>
      <c r="EZ220" s="229">
        <v>0.64219999999999999</v>
      </c>
      <c r="FA220" s="227" t="s">
        <v>555</v>
      </c>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BX330-CB330</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L8" sqref="L8"/>
    </sheetView>
  </sheetViews>
  <sheetFormatPr defaultColWidth="13.7109375" defaultRowHeight="15" x14ac:dyDescent="0.25"/>
  <cols>
    <col min="1" max="1" width="23.85546875" customWidth="1"/>
    <col min="2" max="2" width="12"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615</v>
      </c>
      <c r="B2" s="226">
        <v>46135</v>
      </c>
      <c r="C2" s="230">
        <v>10836018</v>
      </c>
      <c r="D2" s="230">
        <v>1441088</v>
      </c>
      <c r="E2" s="230">
        <v>10924133</v>
      </c>
      <c r="F2" s="230">
        <v>1448563</v>
      </c>
      <c r="G2" s="230">
        <v>-88115</v>
      </c>
      <c r="H2" s="230">
        <v>-7475</v>
      </c>
      <c r="I2" s="230">
        <v>14057621</v>
      </c>
      <c r="J2" s="230">
        <v>1444811</v>
      </c>
      <c r="K2" s="230">
        <v>245933</v>
      </c>
      <c r="L2" s="230">
        <v>28584</v>
      </c>
      <c r="M2" s="230">
        <v>14303554</v>
      </c>
      <c r="N2" s="230">
        <v>1473395</v>
      </c>
      <c r="O2" s="61"/>
      <c r="P2" s="61"/>
      <c r="Q2" s="61"/>
      <c r="R2" s="61"/>
      <c r="S2" s="61"/>
      <c r="U2" t="s">
        <v>453</v>
      </c>
      <c r="V2">
        <f>SUM('Data Vlaue (Cr)'!CD:CD)</f>
        <v>459444</v>
      </c>
      <c r="W2" t="s">
        <v>454</v>
      </c>
    </row>
    <row r="3" spans="1:23" ht="17.25" thickBot="1" x14ac:dyDescent="0.3">
      <c r="A3" s="227" t="s">
        <v>616</v>
      </c>
      <c r="B3" s="226">
        <v>46135</v>
      </c>
      <c r="C3" s="230">
        <v>6396</v>
      </c>
      <c r="D3" s="230">
        <v>1085</v>
      </c>
      <c r="E3" s="230">
        <v>10323</v>
      </c>
      <c r="F3" s="230">
        <v>1753</v>
      </c>
      <c r="G3" s="230">
        <v>-3927</v>
      </c>
      <c r="H3" s="228">
        <v>-668</v>
      </c>
      <c r="I3" s="230">
        <v>61573</v>
      </c>
      <c r="J3" s="230">
        <v>10566</v>
      </c>
      <c r="K3" s="228">
        <v>-791</v>
      </c>
      <c r="L3" s="228">
        <v>-279</v>
      </c>
      <c r="M3" s="230">
        <v>60782</v>
      </c>
      <c r="N3" s="230">
        <v>10287</v>
      </c>
      <c r="O3" s="61"/>
      <c r="P3" s="61"/>
      <c r="Q3" s="61"/>
      <c r="R3" s="61"/>
      <c r="S3" s="61"/>
      <c r="U3" t="s">
        <v>453</v>
      </c>
      <c r="V3">
        <f>SUM('Data shares'!CC:CC)</f>
        <v>12745941848</v>
      </c>
      <c r="W3" t="s">
        <v>455</v>
      </c>
    </row>
    <row r="4" spans="1:23" ht="17.25" thickBot="1" x14ac:dyDescent="0.3">
      <c r="A4" s="227" t="s">
        <v>617</v>
      </c>
      <c r="B4" s="226">
        <v>46135</v>
      </c>
      <c r="C4" s="230">
        <v>499334</v>
      </c>
      <c r="D4" s="230">
        <v>85655</v>
      </c>
      <c r="E4" s="230">
        <v>498208</v>
      </c>
      <c r="F4" s="230">
        <v>85518</v>
      </c>
      <c r="G4" s="230">
        <v>1126</v>
      </c>
      <c r="H4" s="228">
        <v>136</v>
      </c>
      <c r="I4" s="230">
        <v>529692</v>
      </c>
      <c r="J4" s="230">
        <v>90775</v>
      </c>
      <c r="K4" s="230">
        <v>25624</v>
      </c>
      <c r="L4" s="230">
        <v>3026</v>
      </c>
      <c r="M4" s="230">
        <v>555316</v>
      </c>
      <c r="N4" s="230">
        <v>93801</v>
      </c>
      <c r="O4" s="61"/>
      <c r="P4" s="61"/>
      <c r="Q4" s="61"/>
      <c r="R4" s="61"/>
      <c r="S4" s="61"/>
    </row>
    <row r="5" spans="1:23" ht="17.25" thickBot="1" x14ac:dyDescent="0.3">
      <c r="A5" s="227" t="s">
        <v>618</v>
      </c>
      <c r="B5" s="226">
        <v>46135</v>
      </c>
      <c r="C5" s="228">
        <v>34</v>
      </c>
      <c r="D5" s="228">
        <v>5</v>
      </c>
      <c r="E5" s="228">
        <v>55</v>
      </c>
      <c r="F5" s="228">
        <v>9</v>
      </c>
      <c r="G5" s="228">
        <v>-21</v>
      </c>
      <c r="H5" s="228">
        <v>-3</v>
      </c>
      <c r="I5" s="228">
        <v>158</v>
      </c>
      <c r="J5" s="228">
        <v>25</v>
      </c>
      <c r="K5" s="228">
        <v>13</v>
      </c>
      <c r="L5" s="228">
        <v>2</v>
      </c>
      <c r="M5" s="228">
        <v>171</v>
      </c>
      <c r="N5" s="228">
        <v>27</v>
      </c>
      <c r="O5" s="61"/>
      <c r="P5" s="61"/>
      <c r="Q5" s="61"/>
      <c r="R5" s="61"/>
      <c r="S5" s="61"/>
    </row>
    <row r="6" spans="1:23" ht="17.25" thickBot="1" x14ac:dyDescent="0.3">
      <c r="A6" s="227" t="s">
        <v>619</v>
      </c>
      <c r="B6" s="226">
        <v>46135</v>
      </c>
      <c r="C6" s="230">
        <v>9684</v>
      </c>
      <c r="D6" s="230">
        <v>1537</v>
      </c>
      <c r="E6" s="230">
        <v>10244</v>
      </c>
      <c r="F6" s="230">
        <v>1627</v>
      </c>
      <c r="G6" s="228">
        <v>-560</v>
      </c>
      <c r="H6" s="228">
        <v>-90</v>
      </c>
      <c r="I6" s="230">
        <v>6878</v>
      </c>
      <c r="J6" s="230">
        <v>1099</v>
      </c>
      <c r="K6" s="230">
        <v>1456</v>
      </c>
      <c r="L6" s="228">
        <v>214</v>
      </c>
      <c r="M6" s="230">
        <v>8334</v>
      </c>
      <c r="N6" s="230">
        <v>1312</v>
      </c>
      <c r="O6" s="61"/>
      <c r="P6" s="61"/>
      <c r="Q6" s="61"/>
      <c r="R6" s="61"/>
      <c r="S6" s="61"/>
    </row>
    <row r="7" spans="1:23" ht="17.25" thickBot="1" x14ac:dyDescent="0.3">
      <c r="A7" s="227" t="s">
        <v>620</v>
      </c>
      <c r="B7" s="226">
        <v>46135</v>
      </c>
      <c r="C7" s="230">
        <v>40350</v>
      </c>
      <c r="D7" s="230">
        <v>6467</v>
      </c>
      <c r="E7" s="230">
        <v>47950</v>
      </c>
      <c r="F7" s="230">
        <v>7736</v>
      </c>
      <c r="G7" s="230">
        <v>-7600</v>
      </c>
      <c r="H7" s="230">
        <v>-1268</v>
      </c>
      <c r="I7" s="230">
        <v>324126</v>
      </c>
      <c r="J7" s="230">
        <v>52457</v>
      </c>
      <c r="K7" s="230">
        <v>2788</v>
      </c>
      <c r="L7" s="228">
        <v>-70</v>
      </c>
      <c r="M7" s="230">
        <v>326914</v>
      </c>
      <c r="N7" s="230">
        <v>52388</v>
      </c>
    </row>
    <row r="8" spans="1:23" ht="17.25" thickBot="1" x14ac:dyDescent="0.3">
      <c r="A8" s="227" t="s">
        <v>621</v>
      </c>
      <c r="B8" s="226">
        <v>46135</v>
      </c>
      <c r="C8" s="230">
        <v>3862828</v>
      </c>
      <c r="D8" s="230">
        <v>617004</v>
      </c>
      <c r="E8" s="230">
        <v>3871613</v>
      </c>
      <c r="F8" s="230">
        <v>618314</v>
      </c>
      <c r="G8" s="230">
        <v>-8785</v>
      </c>
      <c r="H8" s="230">
        <v>-1310</v>
      </c>
      <c r="I8" s="230">
        <v>2439695</v>
      </c>
      <c r="J8" s="230">
        <v>393816</v>
      </c>
      <c r="K8" s="230">
        <v>135012</v>
      </c>
      <c r="L8" s="230">
        <v>17666</v>
      </c>
      <c r="M8" s="230">
        <v>2574707</v>
      </c>
      <c r="N8" s="230">
        <v>411482</v>
      </c>
    </row>
    <row r="9" spans="1:23" ht="17.25" thickBot="1" x14ac:dyDescent="0.3">
      <c r="A9" s="227" t="s">
        <v>622</v>
      </c>
      <c r="B9" s="226">
        <v>46135</v>
      </c>
      <c r="C9" s="230">
        <v>4466</v>
      </c>
      <c r="D9" s="228">
        <v>743</v>
      </c>
      <c r="E9" s="230">
        <v>5007</v>
      </c>
      <c r="F9" s="228">
        <v>833</v>
      </c>
      <c r="G9" s="228">
        <v>-541</v>
      </c>
      <c r="H9" s="228">
        <v>-90</v>
      </c>
      <c r="I9" s="230">
        <v>25787</v>
      </c>
      <c r="J9" s="230">
        <v>4314</v>
      </c>
      <c r="K9" s="228">
        <v>331</v>
      </c>
      <c r="L9" s="228">
        <v>27</v>
      </c>
      <c r="M9" s="230">
        <v>26118</v>
      </c>
      <c r="N9" s="230">
        <v>4341</v>
      </c>
    </row>
    <row r="10" spans="1:23" ht="17.25" thickBot="1" x14ac:dyDescent="0.3">
      <c r="A10" s="227" t="s">
        <v>623</v>
      </c>
      <c r="B10" s="226">
        <v>46135</v>
      </c>
      <c r="C10" s="230">
        <v>56844</v>
      </c>
      <c r="D10" s="230">
        <v>9451</v>
      </c>
      <c r="E10" s="230">
        <v>57327</v>
      </c>
      <c r="F10" s="230">
        <v>9527</v>
      </c>
      <c r="G10" s="228">
        <v>-483</v>
      </c>
      <c r="H10" s="228">
        <v>-76</v>
      </c>
      <c r="I10" s="230">
        <v>40780</v>
      </c>
      <c r="J10" s="230">
        <v>6822</v>
      </c>
      <c r="K10" s="228">
        <v>-395</v>
      </c>
      <c r="L10" s="228">
        <v>-110</v>
      </c>
      <c r="M10" s="230">
        <v>40385</v>
      </c>
      <c r="N10" s="230">
        <v>6711</v>
      </c>
    </row>
    <row r="11" spans="1:23" ht="17.25" thickBot="1" x14ac:dyDescent="0.3">
      <c r="A11" s="227" t="s">
        <v>624</v>
      </c>
      <c r="B11" s="226">
        <v>46135</v>
      </c>
      <c r="C11" s="230">
        <v>29433</v>
      </c>
      <c r="D11" s="230">
        <v>4630</v>
      </c>
      <c r="E11" s="230">
        <v>32542</v>
      </c>
      <c r="F11" s="230">
        <v>5137</v>
      </c>
      <c r="G11" s="230">
        <v>-3109</v>
      </c>
      <c r="H11" s="228">
        <v>-507</v>
      </c>
      <c r="I11" s="230">
        <v>236051</v>
      </c>
      <c r="J11" s="230">
        <v>37452</v>
      </c>
      <c r="K11" s="230">
        <v>3237</v>
      </c>
      <c r="L11" s="228">
        <v>183</v>
      </c>
      <c r="M11" s="230">
        <v>239288</v>
      </c>
      <c r="N11" s="230">
        <v>37635</v>
      </c>
    </row>
    <row r="12" spans="1:23" ht="17.25" thickBot="1" x14ac:dyDescent="0.3">
      <c r="A12" s="227" t="s">
        <v>625</v>
      </c>
      <c r="B12" s="226">
        <v>46135</v>
      </c>
      <c r="C12" s="230">
        <v>3296676</v>
      </c>
      <c r="D12" s="230">
        <v>520310</v>
      </c>
      <c r="E12" s="230">
        <v>3305617</v>
      </c>
      <c r="F12" s="230">
        <v>521603</v>
      </c>
      <c r="G12" s="230">
        <v>-8941</v>
      </c>
      <c r="H12" s="230">
        <v>-1293</v>
      </c>
      <c r="I12" s="230">
        <v>1861465</v>
      </c>
      <c r="J12" s="230">
        <v>294963</v>
      </c>
      <c r="K12" s="230">
        <v>108392</v>
      </c>
      <c r="L12" s="230">
        <v>14550</v>
      </c>
      <c r="M12" s="230">
        <v>1969857</v>
      </c>
      <c r="N12" s="230">
        <v>309514</v>
      </c>
    </row>
    <row r="13" spans="1:23" ht="17.25" thickBot="1" x14ac:dyDescent="0.3">
      <c r="A13" s="227" t="s">
        <v>626</v>
      </c>
      <c r="B13" s="226">
        <v>46135</v>
      </c>
      <c r="C13" s="228">
        <v>21</v>
      </c>
      <c r="D13" s="228">
        <v>4</v>
      </c>
      <c r="E13" s="228">
        <v>23</v>
      </c>
      <c r="F13" s="228">
        <v>4</v>
      </c>
      <c r="G13" s="228">
        <v>-2</v>
      </c>
      <c r="H13" s="228">
        <v>0</v>
      </c>
      <c r="I13" s="228">
        <v>557</v>
      </c>
      <c r="J13" s="228">
        <v>99</v>
      </c>
      <c r="K13" s="228">
        <v>-2</v>
      </c>
      <c r="L13" s="228">
        <v>-2</v>
      </c>
      <c r="M13" s="228">
        <v>555</v>
      </c>
      <c r="N13" s="228">
        <v>98</v>
      </c>
    </row>
    <row r="14" spans="1:23" ht="17.25" thickBot="1" x14ac:dyDescent="0.3">
      <c r="A14" s="227" t="s">
        <v>627</v>
      </c>
      <c r="B14" s="226">
        <v>46135</v>
      </c>
      <c r="C14" s="228">
        <v>290</v>
      </c>
      <c r="D14" s="228">
        <v>51</v>
      </c>
      <c r="E14" s="228">
        <v>217</v>
      </c>
      <c r="F14" s="228">
        <v>39</v>
      </c>
      <c r="G14" s="228">
        <v>73</v>
      </c>
      <c r="H14" s="228">
        <v>13</v>
      </c>
      <c r="I14" s="228">
        <v>880</v>
      </c>
      <c r="J14" s="228">
        <v>157</v>
      </c>
      <c r="K14" s="228">
        <v>-65</v>
      </c>
      <c r="L14" s="228">
        <v>-14</v>
      </c>
      <c r="M14" s="228">
        <v>815</v>
      </c>
      <c r="N14" s="228">
        <v>143</v>
      </c>
    </row>
    <row r="15" spans="1:23" ht="17.25" thickBot="1" x14ac:dyDescent="0.3">
      <c r="A15" s="227" t="s">
        <v>628</v>
      </c>
      <c r="B15" s="226">
        <v>46135</v>
      </c>
      <c r="C15" s="230">
        <v>2467736</v>
      </c>
      <c r="D15" s="230">
        <v>157584</v>
      </c>
      <c r="E15" s="230">
        <v>2541173</v>
      </c>
      <c r="F15" s="230">
        <v>161340</v>
      </c>
      <c r="G15" s="230">
        <v>-73437</v>
      </c>
      <c r="H15" s="230">
        <v>-3756</v>
      </c>
      <c r="I15" s="230">
        <v>7307995</v>
      </c>
      <c r="J15" s="230">
        <v>470345</v>
      </c>
      <c r="K15" s="230">
        <v>-14359</v>
      </c>
      <c r="L15" s="230">
        <v>-4846</v>
      </c>
      <c r="M15" s="230">
        <v>7293636</v>
      </c>
      <c r="N15" s="230">
        <v>465499</v>
      </c>
    </row>
    <row r="16" spans="1:23" ht="17.25" thickBot="1" x14ac:dyDescent="0.3">
      <c r="A16" s="227" t="s">
        <v>629</v>
      </c>
      <c r="B16" s="226">
        <v>46135</v>
      </c>
      <c r="C16" s="230">
        <v>561926</v>
      </c>
      <c r="D16" s="230">
        <v>36561</v>
      </c>
      <c r="E16" s="230">
        <v>543834</v>
      </c>
      <c r="F16" s="230">
        <v>35123</v>
      </c>
      <c r="G16" s="230">
        <v>18092</v>
      </c>
      <c r="H16" s="230">
        <v>1438</v>
      </c>
      <c r="I16" s="230">
        <v>1221984</v>
      </c>
      <c r="J16" s="230">
        <v>81920</v>
      </c>
      <c r="K16" s="230">
        <v>-15308</v>
      </c>
      <c r="L16" s="230">
        <v>-1764</v>
      </c>
      <c r="M16" s="230">
        <v>1206676</v>
      </c>
      <c r="N16" s="230">
        <v>80157</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7"/>
  <sheetViews>
    <sheetView zoomScale="85" zoomScaleNormal="85" workbookViewId="0">
      <pane ySplit="6" topLeftCell="A188" activePane="bottomLeft" state="frozen"/>
      <selection activeCell="E46" sqref="E46"/>
      <selection pane="bottomLeft" activeCell="A7" sqref="A7:A225"/>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58" t="s">
        <v>325</v>
      </c>
      <c r="B3" s="259"/>
      <c r="C3" s="259"/>
      <c r="D3" s="259"/>
      <c r="E3" s="259"/>
      <c r="F3" s="259"/>
      <c r="G3" s="259"/>
      <c r="H3" s="259"/>
      <c r="I3" s="259"/>
      <c r="J3" s="259"/>
      <c r="K3" s="259"/>
      <c r="L3" s="259"/>
      <c r="M3" s="259"/>
      <c r="N3" s="259"/>
      <c r="O3" s="259"/>
      <c r="P3" s="259"/>
      <c r="Q3" s="260"/>
    </row>
    <row r="4" spans="1:17" s="64" customFormat="1" x14ac:dyDescent="0.25">
      <c r="A4" s="261"/>
      <c r="B4" s="261" t="s">
        <v>308</v>
      </c>
      <c r="C4" s="261"/>
      <c r="D4" s="263"/>
      <c r="E4" s="263"/>
      <c r="F4" s="261" t="s">
        <v>326</v>
      </c>
      <c r="G4" s="261"/>
      <c r="H4" s="261"/>
      <c r="I4" s="261" t="s">
        <v>327</v>
      </c>
      <c r="J4" s="261"/>
      <c r="K4" s="261"/>
      <c r="L4" s="261" t="s">
        <v>311</v>
      </c>
      <c r="M4" s="261"/>
      <c r="N4" s="261"/>
      <c r="O4" s="261"/>
      <c r="P4" s="261"/>
      <c r="Q4" s="261"/>
    </row>
    <row r="5" spans="1:17" s="64" customFormat="1" x14ac:dyDescent="0.25">
      <c r="A5" s="262"/>
      <c r="B5" s="73" t="s">
        <v>312</v>
      </c>
      <c r="C5" s="262" t="s">
        <v>313</v>
      </c>
      <c r="D5" s="265"/>
      <c r="E5" s="265"/>
      <c r="F5" s="262" t="s">
        <v>314</v>
      </c>
      <c r="G5" s="262"/>
      <c r="H5" s="262"/>
      <c r="I5" s="262" t="s">
        <v>315</v>
      </c>
      <c r="J5" s="262"/>
      <c r="K5" s="262"/>
      <c r="L5" s="262" t="s">
        <v>316</v>
      </c>
      <c r="M5" s="262"/>
      <c r="N5" s="262"/>
      <c r="O5" s="262" t="s">
        <v>317</v>
      </c>
      <c r="P5" s="262"/>
      <c r="Q5" s="262"/>
    </row>
    <row r="6" spans="1:17" s="72" customFormat="1" ht="33.75" x14ac:dyDescent="0.25">
      <c r="A6" s="71" t="s">
        <v>557</v>
      </c>
      <c r="B6" s="66">
        <f>'Snapshot (Value)'!C10</f>
        <v>46135</v>
      </c>
      <c r="C6" s="66">
        <f>'Snapshot (Value)'!D10</f>
        <v>46135</v>
      </c>
      <c r="D6" s="71" t="s">
        <v>322</v>
      </c>
      <c r="E6" s="71" t="s">
        <v>328</v>
      </c>
      <c r="F6" s="66">
        <f>C6</f>
        <v>46135</v>
      </c>
      <c r="G6" s="71" t="s">
        <v>322</v>
      </c>
      <c r="H6" s="71" t="s">
        <v>328</v>
      </c>
      <c r="I6" s="66">
        <f>C6</f>
        <v>46135</v>
      </c>
      <c r="J6" s="71" t="s">
        <v>322</v>
      </c>
      <c r="K6" s="71" t="s">
        <v>328</v>
      </c>
      <c r="L6" s="66">
        <f>C6</f>
        <v>46135</v>
      </c>
      <c r="M6" s="71" t="s">
        <v>322</v>
      </c>
      <c r="N6" s="71" t="s">
        <v>328</v>
      </c>
      <c r="O6" s="66">
        <f>C6</f>
        <v>46135</v>
      </c>
      <c r="P6" s="71" t="s">
        <v>322</v>
      </c>
      <c r="Q6" s="71" t="s">
        <v>328</v>
      </c>
    </row>
    <row r="7" spans="1:17" x14ac:dyDescent="0.25">
      <c r="A7" s="97" t="str">
        <f>'Data Vlaue (Cr)'!C2</f>
        <v>360ONE</v>
      </c>
      <c r="B7" s="140">
        <f>VLOOKUP($A7,'Data shares'!$C:$FB,7)</f>
        <v>1052.25</v>
      </c>
      <c r="C7" s="140">
        <f>VLOOKUP($A7,'Data shares'!$C:$FB,3)</f>
        <v>1044.6500000000001</v>
      </c>
      <c r="D7" s="140">
        <f>VLOOKUP($A7,'Data shares'!$C:$FB,4)</f>
        <v>1047.45</v>
      </c>
      <c r="E7" s="50">
        <f>(C7-D7)/D7*100</f>
        <v>-0.26731586233232657</v>
      </c>
      <c r="F7" s="49">
        <f>VLOOKUP($A7,'Data shares'!$C:$FB,98)</f>
        <v>13753000</v>
      </c>
      <c r="G7" s="49">
        <f>VLOOKUP($A7,'Data shares'!$C:$FB,99)</f>
        <v>14822500</v>
      </c>
      <c r="H7" s="50">
        <f>(F7-G7)/G7*100</f>
        <v>-7.2153820205768255</v>
      </c>
      <c r="I7" s="49">
        <f>VLOOKUP($A7,'Data shares'!$C:$FB,66)</f>
        <v>12505000</v>
      </c>
      <c r="J7" s="49">
        <f>VLOOKUP($A7,'Data shares'!$C:$FB,67)</f>
        <v>43919500</v>
      </c>
      <c r="K7" s="50">
        <f>(I7-J7)/I7*100</f>
        <v>-251.21551379448221</v>
      </c>
      <c r="L7" s="50">
        <f>VLOOKUP($A7,'Data shares'!$C:$FB,118)</f>
        <v>0.42</v>
      </c>
      <c r="M7" s="50">
        <f>VLOOKUP($A7,'Data shares'!$C:$FB,119)</f>
        <v>0.43</v>
      </c>
      <c r="N7" s="50">
        <f>VLOOKUP($A7,'Data shares'!$C:$FB,121)*100</f>
        <v>-2.33</v>
      </c>
      <c r="O7" s="50">
        <f>VLOOKUP($A7,'Data shares'!$C:$FB,124)</f>
        <v>0.3</v>
      </c>
      <c r="P7" s="50">
        <f>VLOOKUP($A7,'Data shares'!$C:$FB,125)</f>
        <v>0.53</v>
      </c>
      <c r="Q7" s="50">
        <f>VLOOKUP($A7,'Data shares'!$C:$FB,127)*100</f>
        <v>-43.4</v>
      </c>
    </row>
    <row r="8" spans="1:17" x14ac:dyDescent="0.25">
      <c r="A8" s="97" t="str">
        <f>'Data Vlaue (Cr)'!C3</f>
        <v>ABB</v>
      </c>
      <c r="B8" s="140">
        <f>VLOOKUP($A8,'Data shares'!$C:$FB,7)</f>
        <v>7575.5</v>
      </c>
      <c r="C8" s="140">
        <f>VLOOKUP($A8,'Data shares'!$C:$FB,3)</f>
        <v>7592</v>
      </c>
      <c r="D8" s="140">
        <f>VLOOKUP($A8,'Data shares'!$C:$FB,4)</f>
        <v>7615</v>
      </c>
      <c r="E8" s="50">
        <f t="shared" ref="E8:E71" si="0">(C8-D8)/D8*100</f>
        <v>-0.30203545633617856</v>
      </c>
      <c r="F8" s="49">
        <f>VLOOKUP($A8,'Data shares'!$C:$FB,98)</f>
        <v>6245250</v>
      </c>
      <c r="G8" s="49">
        <f>VLOOKUP($A8,'Data shares'!$C:$FB,99)</f>
        <v>6432000</v>
      </c>
      <c r="H8" s="50">
        <f t="shared" ref="H8:H71" si="1">(F8-G8)/G8*100</f>
        <v>-2.9034514925373132</v>
      </c>
      <c r="I8" s="49">
        <f>VLOOKUP($A8,'Data shares'!$C:$FB,66)</f>
        <v>8476375</v>
      </c>
      <c r="J8" s="49">
        <f>VLOOKUP($A8,'Data shares'!$C:$FB,67)</f>
        <v>40244125</v>
      </c>
      <c r="K8" s="50">
        <f t="shared" ref="K8:K71" si="2">(I8-J8)/I8*100</f>
        <v>-374.77990296559557</v>
      </c>
      <c r="L8" s="50">
        <f>VLOOKUP($A8,'Data shares'!$C:$FB,118)</f>
        <v>0.82</v>
      </c>
      <c r="M8" s="50">
        <f>VLOOKUP($A8,'Data shares'!$C:$FB,119)</f>
        <v>0.86</v>
      </c>
      <c r="N8" s="50">
        <f>VLOOKUP($A8,'Data shares'!$C:$FB,121)*100</f>
        <v>-4.6500000000000004</v>
      </c>
      <c r="O8" s="50">
        <f>VLOOKUP($A8,'Data shares'!$C:$FB,124)</f>
        <v>0.52</v>
      </c>
      <c r="P8" s="50">
        <f>VLOOKUP($A8,'Data shares'!$C:$FB,125)</f>
        <v>0.49</v>
      </c>
      <c r="Q8" s="50">
        <f>VLOOKUP($A8,'Data shares'!$C:$FB,127)*100</f>
        <v>6.12</v>
      </c>
    </row>
    <row r="9" spans="1:17" x14ac:dyDescent="0.25">
      <c r="A9" s="97" t="str">
        <f>'Data Vlaue (Cr)'!C4</f>
        <v>ABCAPITAL</v>
      </c>
      <c r="B9" s="140">
        <f>VLOOKUP($A9,'Data shares'!$C:$FB,7)</f>
        <v>349.75</v>
      </c>
      <c r="C9" s="140">
        <f>VLOOKUP($A9,'Data shares'!$C:$FB,3)</f>
        <v>349.65</v>
      </c>
      <c r="D9" s="140">
        <f>VLOOKUP($A9,'Data shares'!$C:$FB,4)</f>
        <v>350.85</v>
      </c>
      <c r="E9" s="50">
        <f t="shared" si="0"/>
        <v>-0.34202650705430965</v>
      </c>
      <c r="F9" s="49">
        <f>VLOOKUP($A9,'Data shares'!$C:$FB,98)</f>
        <v>65162000</v>
      </c>
      <c r="G9" s="49">
        <f>VLOOKUP($A9,'Data shares'!$C:$FB,99)</f>
        <v>65338700</v>
      </c>
      <c r="H9" s="50">
        <f t="shared" si="1"/>
        <v>-0.27043696920814159</v>
      </c>
      <c r="I9" s="49">
        <f>VLOOKUP($A9,'Data shares'!$C:$FB,66)</f>
        <v>56444800</v>
      </c>
      <c r="J9" s="49">
        <f>VLOOKUP($A9,'Data shares'!$C:$FB,67)</f>
        <v>59120100</v>
      </c>
      <c r="K9" s="50">
        <f t="shared" si="2"/>
        <v>-4.7396748681898071</v>
      </c>
      <c r="L9" s="50">
        <f>VLOOKUP($A9,'Data shares'!$C:$FB,118)</f>
        <v>0.81</v>
      </c>
      <c r="M9" s="50">
        <f>VLOOKUP($A9,'Data shares'!$C:$FB,119)</f>
        <v>0.82</v>
      </c>
      <c r="N9" s="50">
        <f>VLOOKUP($A9,'Data shares'!$C:$FB,121)*100</f>
        <v>-1.22</v>
      </c>
      <c r="O9" s="50">
        <f>VLOOKUP($A9,'Data shares'!$C:$FB,124)</f>
        <v>0.53</v>
      </c>
      <c r="P9" s="50">
        <f>VLOOKUP($A9,'Data shares'!$C:$FB,125)</f>
        <v>0.56999999999999995</v>
      </c>
      <c r="Q9" s="50">
        <f>VLOOKUP($A9,'Data shares'!$C:$FB,127)*100</f>
        <v>-7.02</v>
      </c>
    </row>
    <row r="10" spans="1:17" x14ac:dyDescent="0.25">
      <c r="A10" s="97" t="str">
        <f>'Data Vlaue (Cr)'!C5</f>
        <v>ADANIENSOL</v>
      </c>
      <c r="B10" s="140">
        <f>VLOOKUP($A10,'Data shares'!$C:$FB,7)</f>
        <v>1361.25</v>
      </c>
      <c r="C10" s="140">
        <f>VLOOKUP($A10,'Data shares'!$C:$FB,3)</f>
        <v>1364.45</v>
      </c>
      <c r="D10" s="140">
        <f>VLOOKUP($A10,'Data shares'!$C:$FB,4)</f>
        <v>1365.25</v>
      </c>
      <c r="E10" s="50">
        <f t="shared" si="0"/>
        <v>-5.8597326496975244E-2</v>
      </c>
      <c r="F10" s="49">
        <f>VLOOKUP($A10,'Data shares'!$C:$FB,98)</f>
        <v>34359525</v>
      </c>
      <c r="G10" s="49">
        <f>VLOOKUP($A10,'Data shares'!$C:$FB,99)</f>
        <v>31702725</v>
      </c>
      <c r="H10" s="50">
        <f t="shared" si="1"/>
        <v>8.3803521621564077</v>
      </c>
      <c r="I10" s="49">
        <f>VLOOKUP($A10,'Data shares'!$C:$FB,66)</f>
        <v>42749775</v>
      </c>
      <c r="J10" s="49">
        <f>VLOOKUP($A10,'Data shares'!$C:$FB,67)</f>
        <v>56144475</v>
      </c>
      <c r="K10" s="50">
        <f t="shared" si="2"/>
        <v>-31.332796488402572</v>
      </c>
      <c r="L10" s="50">
        <f>VLOOKUP($A10,'Data shares'!$C:$FB,118)</f>
        <v>0.65</v>
      </c>
      <c r="M10" s="50">
        <f>VLOOKUP($A10,'Data shares'!$C:$FB,119)</f>
        <v>0.71</v>
      </c>
      <c r="N10" s="50">
        <f>VLOOKUP($A10,'Data shares'!$C:$FB,121)*100</f>
        <v>-8.4500000000000011</v>
      </c>
      <c r="O10" s="50">
        <f>VLOOKUP($A10,'Data shares'!$C:$FB,124)</f>
        <v>0.34</v>
      </c>
      <c r="P10" s="50">
        <f>VLOOKUP($A10,'Data shares'!$C:$FB,125)</f>
        <v>0.32</v>
      </c>
      <c r="Q10" s="50">
        <f>VLOOKUP($A10,'Data shares'!$C:$FB,127)*100</f>
        <v>6.25</v>
      </c>
    </row>
    <row r="11" spans="1:17" x14ac:dyDescent="0.25">
      <c r="A11" s="97" t="str">
        <f>'Data Vlaue (Cr)'!C6</f>
        <v>ADANIENT</v>
      </c>
      <c r="B11" s="140">
        <f>VLOOKUP($A11,'Data shares'!$C:$FB,7)</f>
        <v>2300</v>
      </c>
      <c r="C11" s="140">
        <f>VLOOKUP($A11,'Data shares'!$C:$FB,3)</f>
        <v>2307.1999999999998</v>
      </c>
      <c r="D11" s="140">
        <f>VLOOKUP($A11,'Data shares'!$C:$FB,4)</f>
        <v>2269.1999999999998</v>
      </c>
      <c r="E11" s="50">
        <f t="shared" si="0"/>
        <v>1.6745989776132559</v>
      </c>
      <c r="F11" s="49">
        <f>VLOOKUP($A11,'Data shares'!$C:$FB,98)</f>
        <v>34910511</v>
      </c>
      <c r="G11" s="49">
        <f>VLOOKUP($A11,'Data shares'!$C:$FB,99)</f>
        <v>33482004</v>
      </c>
      <c r="H11" s="50">
        <f t="shared" si="1"/>
        <v>4.2664919339953489</v>
      </c>
      <c r="I11" s="49">
        <f>VLOOKUP($A11,'Data shares'!$C:$FB,66)</f>
        <v>45176109</v>
      </c>
      <c r="J11" s="49">
        <f>VLOOKUP($A11,'Data shares'!$C:$FB,67)</f>
        <v>28128270</v>
      </c>
      <c r="K11" s="50">
        <f t="shared" si="2"/>
        <v>37.73640399176476</v>
      </c>
      <c r="L11" s="50">
        <f>VLOOKUP($A11,'Data shares'!$C:$FB,118)</f>
        <v>0.88</v>
      </c>
      <c r="M11" s="50">
        <f>VLOOKUP($A11,'Data shares'!$C:$FB,119)</f>
        <v>0.95</v>
      </c>
      <c r="N11" s="50">
        <f>VLOOKUP($A11,'Data shares'!$C:$FB,121)*100</f>
        <v>-7.37</v>
      </c>
      <c r="O11" s="50">
        <f>VLOOKUP($A11,'Data shares'!$C:$FB,124)</f>
        <v>0.38</v>
      </c>
      <c r="P11" s="50">
        <f>VLOOKUP($A11,'Data shares'!$C:$FB,125)</f>
        <v>0.55000000000000004</v>
      </c>
      <c r="Q11" s="50">
        <f>VLOOKUP($A11,'Data shares'!$C:$FB,127)*100</f>
        <v>-30.91</v>
      </c>
    </row>
    <row r="12" spans="1:17" x14ac:dyDescent="0.25">
      <c r="A12" s="97" t="str">
        <f>'Data Vlaue (Cr)'!C7</f>
        <v>ADANIGREEN</v>
      </c>
      <c r="B12" s="140">
        <f>VLOOKUP($A12,'Data shares'!$C:$FB,7)</f>
        <v>1214.1500000000001</v>
      </c>
      <c r="C12" s="140">
        <f>VLOOKUP($A12,'Data shares'!$C:$FB,3)</f>
        <v>1213.2</v>
      </c>
      <c r="D12" s="140">
        <f>VLOOKUP($A12,'Data shares'!$C:$FB,4)</f>
        <v>1198.25</v>
      </c>
      <c r="E12" s="50">
        <f t="shared" si="0"/>
        <v>1.2476528270394365</v>
      </c>
      <c r="F12" s="49">
        <f>VLOOKUP($A12,'Data shares'!$C:$FB,98)</f>
        <v>42630000</v>
      </c>
      <c r="G12" s="49">
        <f>VLOOKUP($A12,'Data shares'!$C:$FB,99)</f>
        <v>39336600</v>
      </c>
      <c r="H12" s="50">
        <f t="shared" si="1"/>
        <v>8.3723555162367873</v>
      </c>
      <c r="I12" s="49">
        <f>VLOOKUP($A12,'Data shares'!$C:$FB,66)</f>
        <v>70604400</v>
      </c>
      <c r="J12" s="49">
        <f>VLOOKUP($A12,'Data shares'!$C:$FB,67)</f>
        <v>49089000</v>
      </c>
      <c r="K12" s="50">
        <f t="shared" si="2"/>
        <v>30.473171643693593</v>
      </c>
      <c r="L12" s="50">
        <f>VLOOKUP($A12,'Data shares'!$C:$FB,118)</f>
        <v>0.67</v>
      </c>
      <c r="M12" s="50">
        <f>VLOOKUP($A12,'Data shares'!$C:$FB,119)</f>
        <v>0.74</v>
      </c>
      <c r="N12" s="50">
        <f>VLOOKUP($A12,'Data shares'!$C:$FB,121)*100</f>
        <v>-9.4600000000000009</v>
      </c>
      <c r="O12" s="50">
        <f>VLOOKUP($A12,'Data shares'!$C:$FB,124)</f>
        <v>0.31</v>
      </c>
      <c r="P12" s="50">
        <f>VLOOKUP($A12,'Data shares'!$C:$FB,125)</f>
        <v>0.33</v>
      </c>
      <c r="Q12" s="50">
        <f>VLOOKUP($A12,'Data shares'!$C:$FB,127)*100</f>
        <v>-6.0600000000000005</v>
      </c>
    </row>
    <row r="13" spans="1:17" x14ac:dyDescent="0.25">
      <c r="A13" s="97" t="str">
        <f>'Data Vlaue (Cr)'!C8</f>
        <v>ADANIPORTS</v>
      </c>
      <c r="B13" s="140">
        <f>VLOOKUP($A13,'Data shares'!$C:$FB,7)</f>
        <v>1602.9</v>
      </c>
      <c r="C13" s="140">
        <f>VLOOKUP($A13,'Data shares'!$C:$FB,3)</f>
        <v>1599.8</v>
      </c>
      <c r="D13" s="140">
        <f>VLOOKUP($A13,'Data shares'!$C:$FB,4)</f>
        <v>1591</v>
      </c>
      <c r="E13" s="50">
        <f t="shared" si="0"/>
        <v>0.55311125078566648</v>
      </c>
      <c r="F13" s="49">
        <f>VLOOKUP($A13,'Data shares'!$C:$FB,98)</f>
        <v>39292475</v>
      </c>
      <c r="G13" s="49">
        <f>VLOOKUP($A13,'Data shares'!$C:$FB,99)</f>
        <v>39542325</v>
      </c>
      <c r="H13" s="50">
        <f t="shared" si="1"/>
        <v>-0.63185460136701621</v>
      </c>
      <c r="I13" s="49">
        <f>VLOOKUP($A13,'Data shares'!$C:$FB,66)</f>
        <v>34626550</v>
      </c>
      <c r="J13" s="49">
        <f>VLOOKUP($A13,'Data shares'!$C:$FB,67)</f>
        <v>23136775</v>
      </c>
      <c r="K13" s="50">
        <f t="shared" si="2"/>
        <v>33.181980301242831</v>
      </c>
      <c r="L13" s="50">
        <f>VLOOKUP($A13,'Data shares'!$C:$FB,118)</f>
        <v>0.85</v>
      </c>
      <c r="M13" s="50">
        <f>VLOOKUP($A13,'Data shares'!$C:$FB,119)</f>
        <v>0.87</v>
      </c>
      <c r="N13" s="50">
        <f>VLOOKUP($A13,'Data shares'!$C:$FB,121)*100</f>
        <v>-2.2999999999999998</v>
      </c>
      <c r="O13" s="50">
        <f>VLOOKUP($A13,'Data shares'!$C:$FB,124)</f>
        <v>0.57999999999999996</v>
      </c>
      <c r="P13" s="50">
        <f>VLOOKUP($A13,'Data shares'!$C:$FB,125)</f>
        <v>0.6</v>
      </c>
      <c r="Q13" s="50">
        <f>VLOOKUP($A13,'Data shares'!$C:$FB,127)*100</f>
        <v>-3.3300000000000005</v>
      </c>
    </row>
    <row r="14" spans="1:17" x14ac:dyDescent="0.25">
      <c r="A14" s="97" t="str">
        <f>'Data Vlaue (Cr)'!C9</f>
        <v>ADANIPOWER</v>
      </c>
      <c r="B14" s="140">
        <f>VLOOKUP($A14,'Data shares'!$C:$FB,7)</f>
        <v>214.18</v>
      </c>
      <c r="C14" s="140">
        <f>VLOOKUP($A14,'Data shares'!$C:$FB,3)</f>
        <v>214.22</v>
      </c>
      <c r="D14" s="140">
        <f>VLOOKUP($A14,'Data shares'!$C:$FB,4)</f>
        <v>215.39</v>
      </c>
      <c r="E14" s="50">
        <f>(C14-D14)/D14*100</f>
        <v>-0.54320070569663748</v>
      </c>
      <c r="F14" s="49">
        <f>VLOOKUP($A14,'Data shares'!$C:$FB,98)</f>
        <v>154684150</v>
      </c>
      <c r="G14" s="49">
        <f>VLOOKUP($A14,'Data shares'!$C:$FB,99)</f>
        <v>152863000</v>
      </c>
      <c r="H14" s="50">
        <f t="shared" si="1"/>
        <v>1.1913608917789131</v>
      </c>
      <c r="I14" s="49">
        <f>VLOOKUP($A14,'Data shares'!$C:$FB,66)</f>
        <v>161475300</v>
      </c>
      <c r="J14" s="49">
        <f>VLOOKUP($A14,'Data shares'!$C:$FB,67)</f>
        <v>327281600</v>
      </c>
      <c r="K14" s="50">
        <f t="shared" si="2"/>
        <v>-102.68214395638218</v>
      </c>
      <c r="L14" s="50">
        <f>VLOOKUP($A14,'Data shares'!$C:$FB,118)</f>
        <v>0.79</v>
      </c>
      <c r="M14" s="50">
        <f>VLOOKUP($A14,'Data shares'!$C:$FB,119)</f>
        <v>0.86</v>
      </c>
      <c r="N14" s="50">
        <f>VLOOKUP($A14,'Data shares'!$C:$FB,121)*100</f>
        <v>-8.14</v>
      </c>
      <c r="O14" s="50">
        <f>VLOOKUP($A14,'Data shares'!$C:$FB,124)</f>
        <v>0.48</v>
      </c>
      <c r="P14" s="50">
        <f>VLOOKUP($A14,'Data shares'!$C:$FB,125)</f>
        <v>0.33</v>
      </c>
      <c r="Q14" s="50">
        <f>VLOOKUP($A14,'Data shares'!$C:$FB,127)*100</f>
        <v>45.45</v>
      </c>
    </row>
    <row r="15" spans="1:17" x14ac:dyDescent="0.25">
      <c r="A15" s="97" t="str">
        <f>'Data Vlaue (Cr)'!C10</f>
        <v>ALKEM</v>
      </c>
      <c r="B15" s="140">
        <f>VLOOKUP($A15,'Data shares'!$C:$FB,7)</f>
        <v>5520.5</v>
      </c>
      <c r="C15" s="140">
        <f>VLOOKUP($A15,'Data shares'!$C:$FB,3)</f>
        <v>5511</v>
      </c>
      <c r="D15" s="140">
        <f>VLOOKUP($A15,'Data shares'!$C:$FB,4)</f>
        <v>5599.5</v>
      </c>
      <c r="E15" s="50">
        <f t="shared" si="0"/>
        <v>-1.5804982587731047</v>
      </c>
      <c r="F15" s="49">
        <f>VLOOKUP($A15,'Data shares'!$C:$FB,98)</f>
        <v>1786750</v>
      </c>
      <c r="G15" s="49">
        <f>VLOOKUP($A15,'Data shares'!$C:$FB,99)</f>
        <v>1748125</v>
      </c>
      <c r="H15" s="50">
        <f t="shared" si="1"/>
        <v>2.2095101894887379</v>
      </c>
      <c r="I15" s="49">
        <f>VLOOKUP($A15,'Data shares'!$C:$FB,66)</f>
        <v>2437250</v>
      </c>
      <c r="J15" s="49">
        <f>VLOOKUP($A15,'Data shares'!$C:$FB,67)</f>
        <v>1374625</v>
      </c>
      <c r="K15" s="50">
        <f t="shared" si="2"/>
        <v>43.599343522412553</v>
      </c>
      <c r="L15" s="50">
        <f>VLOOKUP($A15,'Data shares'!$C:$FB,118)</f>
        <v>0.69</v>
      </c>
      <c r="M15" s="50">
        <f>VLOOKUP($A15,'Data shares'!$C:$FB,119)</f>
        <v>0.75</v>
      </c>
      <c r="N15" s="50">
        <f>VLOOKUP($A15,'Data shares'!$C:$FB,121)*100</f>
        <v>-8</v>
      </c>
      <c r="O15" s="50">
        <f>VLOOKUP($A15,'Data shares'!$C:$FB,124)</f>
        <v>0.54</v>
      </c>
      <c r="P15" s="50">
        <f>VLOOKUP($A15,'Data shares'!$C:$FB,125)</f>
        <v>0.55000000000000004</v>
      </c>
      <c r="Q15" s="50">
        <f>VLOOKUP($A15,'Data shares'!$C:$FB,127)*100</f>
        <v>-1.82</v>
      </c>
    </row>
    <row r="16" spans="1:17" x14ac:dyDescent="0.25">
      <c r="A16" s="97" t="str">
        <f>'Data Vlaue (Cr)'!C11</f>
        <v>AMBER</v>
      </c>
      <c r="B16" s="140">
        <f>VLOOKUP($A16,'Data shares'!$C:$FB,7)</f>
        <v>7795</v>
      </c>
      <c r="C16" s="140">
        <f>VLOOKUP($A16,'Data shares'!$C:$FB,3)</f>
        <v>7817</v>
      </c>
      <c r="D16" s="140">
        <f>VLOOKUP($A16,'Data shares'!$C:$FB,4)</f>
        <v>7807</v>
      </c>
      <c r="E16" s="50">
        <f t="shared" si="0"/>
        <v>0.1280901754835404</v>
      </c>
      <c r="F16" s="49">
        <f>VLOOKUP($A16,'Data shares'!$C:$FB,98)</f>
        <v>2873800</v>
      </c>
      <c r="G16" s="49">
        <f>VLOOKUP($A16,'Data shares'!$C:$FB,99)</f>
        <v>2966300</v>
      </c>
      <c r="H16" s="50">
        <f t="shared" si="1"/>
        <v>-3.1183629437346188</v>
      </c>
      <c r="I16" s="49">
        <f>VLOOKUP($A16,'Data shares'!$C:$FB,66)</f>
        <v>3194000</v>
      </c>
      <c r="J16" s="49">
        <f>VLOOKUP($A16,'Data shares'!$C:$FB,67)</f>
        <v>2343800</v>
      </c>
      <c r="K16" s="50">
        <f t="shared" si="2"/>
        <v>26.618659987476516</v>
      </c>
      <c r="L16" s="50">
        <f>VLOOKUP($A16,'Data shares'!$C:$FB,118)</f>
        <v>0.78</v>
      </c>
      <c r="M16" s="50">
        <f>VLOOKUP($A16,'Data shares'!$C:$FB,119)</f>
        <v>0.74</v>
      </c>
      <c r="N16" s="50">
        <f>VLOOKUP($A16,'Data shares'!$C:$FB,121)*100</f>
        <v>5.41</v>
      </c>
      <c r="O16" s="50">
        <f>VLOOKUP($A16,'Data shares'!$C:$FB,124)</f>
        <v>0.63</v>
      </c>
      <c r="P16" s="50">
        <f>VLOOKUP($A16,'Data shares'!$C:$FB,125)</f>
        <v>0.52</v>
      </c>
      <c r="Q16" s="50">
        <f>VLOOKUP($A16,'Data shares'!$C:$FB,127)*100</f>
        <v>21.15</v>
      </c>
    </row>
    <row r="17" spans="1:17" x14ac:dyDescent="0.25">
      <c r="A17" s="97" t="str">
        <f>'Data Vlaue (Cr)'!C12</f>
        <v>AMBUJACEM</v>
      </c>
      <c r="B17" s="140">
        <f>VLOOKUP($A17,'Data shares'!$C:$FB,7)</f>
        <v>450.4</v>
      </c>
      <c r="C17" s="140">
        <f>VLOOKUP($A17,'Data shares'!$C:$FB,3)</f>
        <v>449.75</v>
      </c>
      <c r="D17" s="140">
        <f>VLOOKUP($A17,'Data shares'!$C:$FB,4)</f>
        <v>461.45</v>
      </c>
      <c r="E17" s="50">
        <f t="shared" si="0"/>
        <v>-2.5354859681438922</v>
      </c>
      <c r="F17" s="49">
        <f>VLOOKUP($A17,'Data shares'!$C:$FB,98)</f>
        <v>80059350</v>
      </c>
      <c r="G17" s="49">
        <f>VLOOKUP($A17,'Data shares'!$C:$FB,99)</f>
        <v>79242450</v>
      </c>
      <c r="H17" s="50">
        <f t="shared" si="1"/>
        <v>1.030886854205038</v>
      </c>
      <c r="I17" s="49">
        <f>VLOOKUP($A17,'Data shares'!$C:$FB,66)</f>
        <v>40111050</v>
      </c>
      <c r="J17" s="49">
        <f>VLOOKUP($A17,'Data shares'!$C:$FB,67)</f>
        <v>41352150</v>
      </c>
      <c r="K17" s="50">
        <f t="shared" si="2"/>
        <v>-3.0941598387476765</v>
      </c>
      <c r="L17" s="50">
        <f>VLOOKUP($A17,'Data shares'!$C:$FB,118)</f>
        <v>0.84</v>
      </c>
      <c r="M17" s="50">
        <f>VLOOKUP($A17,'Data shares'!$C:$FB,119)</f>
        <v>0.93</v>
      </c>
      <c r="N17" s="50">
        <f>VLOOKUP($A17,'Data shares'!$C:$FB,121)*100</f>
        <v>-9.68</v>
      </c>
      <c r="O17" s="50">
        <f>VLOOKUP($A17,'Data shares'!$C:$FB,124)</f>
        <v>0.36</v>
      </c>
      <c r="P17" s="50">
        <f>VLOOKUP($A17,'Data shares'!$C:$FB,125)</f>
        <v>0.48</v>
      </c>
      <c r="Q17" s="50">
        <f>VLOOKUP($A17,'Data shares'!$C:$FB,127)*100</f>
        <v>-25</v>
      </c>
    </row>
    <row r="18" spans="1:17" x14ac:dyDescent="0.25">
      <c r="A18" s="97" t="str">
        <f>'Data Vlaue (Cr)'!C13</f>
        <v>ANGELONE</v>
      </c>
      <c r="B18" s="140">
        <f>VLOOKUP($A18,'Data shares'!$C:$FB,7)</f>
        <v>321.20999999999998</v>
      </c>
      <c r="C18" s="140">
        <f>VLOOKUP($A18,'Data shares'!$C:$FB,3)</f>
        <v>321.87</v>
      </c>
      <c r="D18" s="140">
        <f>VLOOKUP($A18,'Data shares'!$C:$FB,4)</f>
        <v>329.19</v>
      </c>
      <c r="E18" s="50">
        <f t="shared" si="0"/>
        <v>-2.2236398432516156</v>
      </c>
      <c r="F18" s="49">
        <f>VLOOKUP($A18,'Data shares'!$C:$FB,98)</f>
        <v>87907500</v>
      </c>
      <c r="G18" s="49">
        <f>VLOOKUP($A18,'Data shares'!$C:$FB,99)</f>
        <v>94730000</v>
      </c>
      <c r="H18" s="50">
        <f t="shared" si="1"/>
        <v>-7.2020479256835221</v>
      </c>
      <c r="I18" s="49">
        <f>VLOOKUP($A18,'Data shares'!$C:$FB,66)</f>
        <v>93875000</v>
      </c>
      <c r="J18" s="49">
        <f>VLOOKUP($A18,'Data shares'!$C:$FB,67)</f>
        <v>98360000</v>
      </c>
      <c r="K18" s="50">
        <f t="shared" si="2"/>
        <v>-4.7776298268974697</v>
      </c>
      <c r="L18" s="50">
        <f>VLOOKUP($A18,'Data shares'!$C:$FB,118)</f>
        <v>1.02</v>
      </c>
      <c r="M18" s="50">
        <f>VLOOKUP($A18,'Data shares'!$C:$FB,119)</f>
        <v>1.1299999999999999</v>
      </c>
      <c r="N18" s="50">
        <f>VLOOKUP($A18,'Data shares'!$C:$FB,121)*100</f>
        <v>-9.73</v>
      </c>
      <c r="O18" s="50">
        <f>VLOOKUP($A18,'Data shares'!$C:$FB,124)</f>
        <v>0.97</v>
      </c>
      <c r="P18" s="50">
        <f>VLOOKUP($A18,'Data shares'!$C:$FB,125)</f>
        <v>0.69</v>
      </c>
      <c r="Q18" s="50">
        <f>VLOOKUP($A18,'Data shares'!$C:$FB,127)*100</f>
        <v>40.58</v>
      </c>
    </row>
    <row r="19" spans="1:17" x14ac:dyDescent="0.25">
      <c r="A19" s="97" t="str">
        <f>'Data Vlaue (Cr)'!C14</f>
        <v>APLAPOLLO</v>
      </c>
      <c r="B19" s="140">
        <f>VLOOKUP($A19,'Data shares'!$C:$FB,7)</f>
        <v>2022.9</v>
      </c>
      <c r="C19" s="140">
        <f>VLOOKUP($A19,'Data shares'!$C:$FB,3)</f>
        <v>2025.7</v>
      </c>
      <c r="D19" s="140">
        <f>VLOOKUP($A19,'Data shares'!$C:$FB,4)</f>
        <v>2118.4</v>
      </c>
      <c r="E19" s="50">
        <f t="shared" si="0"/>
        <v>-4.3759441087613311</v>
      </c>
      <c r="F19" s="49">
        <f>VLOOKUP($A19,'Data shares'!$C:$FB,98)</f>
        <v>7261100</v>
      </c>
      <c r="G19" s="49">
        <f>VLOOKUP($A19,'Data shares'!$C:$FB,99)</f>
        <v>6946100</v>
      </c>
      <c r="H19" s="50">
        <f t="shared" si="1"/>
        <v>4.5349188753401188</v>
      </c>
      <c r="I19" s="49">
        <f>VLOOKUP($A19,'Data shares'!$C:$FB,66)</f>
        <v>9625000</v>
      </c>
      <c r="J19" s="49">
        <f>VLOOKUP($A19,'Data shares'!$C:$FB,67)</f>
        <v>1945300</v>
      </c>
      <c r="K19" s="50">
        <f t="shared" si="2"/>
        <v>79.789090909090916</v>
      </c>
      <c r="L19" s="50">
        <f>VLOOKUP($A19,'Data shares'!$C:$FB,118)</f>
        <v>0.75</v>
      </c>
      <c r="M19" s="50">
        <f>VLOOKUP($A19,'Data shares'!$C:$FB,119)</f>
        <v>0.67</v>
      </c>
      <c r="N19" s="50">
        <f>VLOOKUP($A19,'Data shares'!$C:$FB,121)*100</f>
        <v>11.940000000000001</v>
      </c>
      <c r="O19" s="50">
        <f>VLOOKUP($A19,'Data shares'!$C:$FB,124)</f>
        <v>1.22</v>
      </c>
      <c r="P19" s="50">
        <f>VLOOKUP($A19,'Data shares'!$C:$FB,125)</f>
        <v>0.28999999999999998</v>
      </c>
      <c r="Q19" s="50">
        <f>VLOOKUP($A19,'Data shares'!$C:$FB,127)*100</f>
        <v>320.69</v>
      </c>
    </row>
    <row r="20" spans="1:17" x14ac:dyDescent="0.25">
      <c r="A20" s="97" t="str">
        <f>'Data Vlaue (Cr)'!C15</f>
        <v>APOLLOHOSP</v>
      </c>
      <c r="B20" s="140">
        <f>VLOOKUP($A20,'Data shares'!$C:$FB,7)</f>
        <v>7781</v>
      </c>
      <c r="C20" s="140">
        <f>VLOOKUP($A20,'Data shares'!$C:$FB,3)</f>
        <v>7766.5</v>
      </c>
      <c r="D20" s="140">
        <f>VLOOKUP($A20,'Data shares'!$C:$FB,4)</f>
        <v>7646</v>
      </c>
      <c r="E20" s="50">
        <f t="shared" si="0"/>
        <v>1.5759874444153807</v>
      </c>
      <c r="F20" s="49">
        <f>VLOOKUP($A20,'Data shares'!$C:$FB,98)</f>
        <v>3907500</v>
      </c>
      <c r="G20" s="49">
        <f>VLOOKUP($A20,'Data shares'!$C:$FB,99)</f>
        <v>3941125</v>
      </c>
      <c r="H20" s="50">
        <f t="shared" si="1"/>
        <v>-0.85318278410352366</v>
      </c>
      <c r="I20" s="49">
        <f>VLOOKUP($A20,'Data shares'!$C:$FB,66)</f>
        <v>5993125</v>
      </c>
      <c r="J20" s="49">
        <f>VLOOKUP($A20,'Data shares'!$C:$FB,67)</f>
        <v>7299250</v>
      </c>
      <c r="K20" s="50">
        <f t="shared" si="2"/>
        <v>-21.793721973094172</v>
      </c>
      <c r="L20" s="50">
        <f>VLOOKUP($A20,'Data shares'!$C:$FB,118)</f>
        <v>1.1299999999999999</v>
      </c>
      <c r="M20" s="50">
        <f>VLOOKUP($A20,'Data shares'!$C:$FB,119)</f>
        <v>0.94</v>
      </c>
      <c r="N20" s="50">
        <f>VLOOKUP($A20,'Data shares'!$C:$FB,121)*100</f>
        <v>20.21</v>
      </c>
      <c r="O20" s="50">
        <f>VLOOKUP($A20,'Data shares'!$C:$FB,124)</f>
        <v>0.55000000000000004</v>
      </c>
      <c r="P20" s="50">
        <f>VLOOKUP($A20,'Data shares'!$C:$FB,125)</f>
        <v>1.0900000000000001</v>
      </c>
      <c r="Q20" s="50">
        <f>VLOOKUP($A20,'Data shares'!$C:$FB,127)*100</f>
        <v>-49.54</v>
      </c>
    </row>
    <row r="21" spans="1:17" x14ac:dyDescent="0.25">
      <c r="A21" s="97" t="str">
        <f>'Data Vlaue (Cr)'!C16</f>
        <v>ASHOKLEY</v>
      </c>
      <c r="B21" s="140">
        <f>VLOOKUP($A21,'Data shares'!$C:$FB,7)</f>
        <v>170.63</v>
      </c>
      <c r="C21" s="140">
        <f>VLOOKUP($A21,'Data shares'!$C:$FB,3)</f>
        <v>170.92</v>
      </c>
      <c r="D21" s="140">
        <f>VLOOKUP($A21,'Data shares'!$C:$FB,4)</f>
        <v>178.94</v>
      </c>
      <c r="E21" s="50">
        <f t="shared" si="0"/>
        <v>-4.4819492567341062</v>
      </c>
      <c r="F21" s="49">
        <f>VLOOKUP($A21,'Data shares'!$C:$FB,98)</f>
        <v>328660000</v>
      </c>
      <c r="G21" s="49">
        <f>VLOOKUP($A21,'Data shares'!$C:$FB,99)</f>
        <v>312935000</v>
      </c>
      <c r="H21" s="50">
        <f t="shared" si="1"/>
        <v>5.0250051927716619</v>
      </c>
      <c r="I21" s="49">
        <f>VLOOKUP($A21,'Data shares'!$C:$FB,66)</f>
        <v>381725000</v>
      </c>
      <c r="J21" s="49">
        <f>VLOOKUP($A21,'Data shares'!$C:$FB,67)</f>
        <v>333355000</v>
      </c>
      <c r="K21" s="50">
        <f t="shared" si="2"/>
        <v>12.671425764621128</v>
      </c>
      <c r="L21" s="50">
        <f>VLOOKUP($A21,'Data shares'!$C:$FB,118)</f>
        <v>0.63</v>
      </c>
      <c r="M21" s="50">
        <f>VLOOKUP($A21,'Data shares'!$C:$FB,119)</f>
        <v>0.69</v>
      </c>
      <c r="N21" s="50">
        <f>VLOOKUP($A21,'Data shares'!$C:$FB,121)*100</f>
        <v>-8.6999999999999993</v>
      </c>
      <c r="O21" s="50">
        <f>VLOOKUP($A21,'Data shares'!$C:$FB,124)</f>
        <v>0.6</v>
      </c>
      <c r="P21" s="50">
        <f>VLOOKUP($A21,'Data shares'!$C:$FB,125)</f>
        <v>0.44</v>
      </c>
      <c r="Q21" s="50">
        <f>VLOOKUP($A21,'Data shares'!$C:$FB,127)*100</f>
        <v>36.36</v>
      </c>
    </row>
    <row r="22" spans="1:17" x14ac:dyDescent="0.25">
      <c r="A22" s="97" t="str">
        <f>'Data Vlaue (Cr)'!C17</f>
        <v>ASIANPAINT</v>
      </c>
      <c r="B22" s="140">
        <f>VLOOKUP($A22,'Data shares'!$C:$FB,7)</f>
        <v>2521.4</v>
      </c>
      <c r="C22" s="140">
        <f>VLOOKUP($A22,'Data shares'!$C:$FB,3)</f>
        <v>2516.8000000000002</v>
      </c>
      <c r="D22" s="140">
        <f>VLOOKUP($A22,'Data shares'!$C:$FB,4)</f>
        <v>2559.9</v>
      </c>
      <c r="E22" s="50">
        <f t="shared" si="0"/>
        <v>-1.6836595179499161</v>
      </c>
      <c r="F22" s="49">
        <f>VLOOKUP($A22,'Data shares'!$C:$FB,98)</f>
        <v>25227750</v>
      </c>
      <c r="G22" s="49">
        <f>VLOOKUP($A22,'Data shares'!$C:$FB,99)</f>
        <v>25841000</v>
      </c>
      <c r="H22" s="50">
        <f t="shared" si="1"/>
        <v>-2.3731666731163656</v>
      </c>
      <c r="I22" s="49">
        <f>VLOOKUP($A22,'Data shares'!$C:$FB,66)</f>
        <v>20498750</v>
      </c>
      <c r="J22" s="49">
        <f>VLOOKUP($A22,'Data shares'!$C:$FB,67)</f>
        <v>15981000</v>
      </c>
      <c r="K22" s="50">
        <f t="shared" si="2"/>
        <v>22.039148728581011</v>
      </c>
      <c r="L22" s="50">
        <f>VLOOKUP($A22,'Data shares'!$C:$FB,118)</f>
        <v>1.1399999999999999</v>
      </c>
      <c r="M22" s="50">
        <f>VLOOKUP($A22,'Data shares'!$C:$FB,119)</f>
        <v>1.25</v>
      </c>
      <c r="N22" s="50">
        <f>VLOOKUP($A22,'Data shares'!$C:$FB,121)*100</f>
        <v>-8.7999999999999989</v>
      </c>
      <c r="O22" s="50">
        <f>VLOOKUP($A22,'Data shares'!$C:$FB,124)</f>
        <v>1.1399999999999999</v>
      </c>
      <c r="P22" s="50">
        <f>VLOOKUP($A22,'Data shares'!$C:$FB,125)</f>
        <v>0.83</v>
      </c>
      <c r="Q22" s="50">
        <f>VLOOKUP($A22,'Data shares'!$C:$FB,127)*100</f>
        <v>37.35</v>
      </c>
    </row>
    <row r="23" spans="1:17" x14ac:dyDescent="0.25">
      <c r="A23" s="97" t="str">
        <f>'Data Vlaue (Cr)'!C18</f>
        <v>ASTRAL</v>
      </c>
      <c r="B23" s="140">
        <f>VLOOKUP($A23,'Data shares'!$C:$FB,7)</f>
        <v>1574.9</v>
      </c>
      <c r="C23" s="140">
        <f>VLOOKUP($A23,'Data shares'!$C:$FB,3)</f>
        <v>1575.3</v>
      </c>
      <c r="D23" s="140">
        <f>VLOOKUP($A23,'Data shares'!$C:$FB,4)</f>
        <v>1581.4</v>
      </c>
      <c r="E23" s="50">
        <f t="shared" si="0"/>
        <v>-0.38573415960542151</v>
      </c>
      <c r="F23" s="49">
        <f>VLOOKUP($A23,'Data shares'!$C:$FB,98)</f>
        <v>18219325</v>
      </c>
      <c r="G23" s="49">
        <f>VLOOKUP($A23,'Data shares'!$C:$FB,99)</f>
        <v>20626525</v>
      </c>
      <c r="H23" s="50">
        <f t="shared" si="1"/>
        <v>-11.670409824243299</v>
      </c>
      <c r="I23" s="49">
        <f>VLOOKUP($A23,'Data shares'!$C:$FB,66)</f>
        <v>15847825</v>
      </c>
      <c r="J23" s="49">
        <f>VLOOKUP($A23,'Data shares'!$C:$FB,67)</f>
        <v>6998050</v>
      </c>
      <c r="K23" s="50">
        <f t="shared" si="2"/>
        <v>55.842205476145779</v>
      </c>
      <c r="L23" s="50">
        <f>VLOOKUP($A23,'Data shares'!$C:$FB,118)</f>
        <v>0.69</v>
      </c>
      <c r="M23" s="50">
        <f>VLOOKUP($A23,'Data shares'!$C:$FB,119)</f>
        <v>0.62</v>
      </c>
      <c r="N23" s="50">
        <f>VLOOKUP($A23,'Data shares'!$C:$FB,121)*100</f>
        <v>11.29</v>
      </c>
      <c r="O23" s="50">
        <f>VLOOKUP($A23,'Data shares'!$C:$FB,124)</f>
        <v>0.43</v>
      </c>
      <c r="P23" s="50">
        <f>VLOOKUP($A23,'Data shares'!$C:$FB,125)</f>
        <v>0.51</v>
      </c>
      <c r="Q23" s="50">
        <f>VLOOKUP($A23,'Data shares'!$C:$FB,127)*100</f>
        <v>-15.690000000000001</v>
      </c>
    </row>
    <row r="24" spans="1:17" x14ac:dyDescent="0.25">
      <c r="A24" s="97" t="str">
        <f>'Data Vlaue (Cr)'!C19</f>
        <v>AUBANK</v>
      </c>
      <c r="B24" s="140">
        <f>VLOOKUP($A24,'Data shares'!$C:$FB,7)</f>
        <v>1056.25</v>
      </c>
      <c r="C24" s="140">
        <f>VLOOKUP($A24,'Data shares'!$C:$FB,3)</f>
        <v>1057.5999999999999</v>
      </c>
      <c r="D24" s="140">
        <f>VLOOKUP($A24,'Data shares'!$C:$FB,4)</f>
        <v>1042.45</v>
      </c>
      <c r="E24" s="50">
        <f t="shared" si="0"/>
        <v>1.4533071130509725</v>
      </c>
      <c r="F24" s="49">
        <f>VLOOKUP($A24,'Data shares'!$C:$FB,98)</f>
        <v>44555000</v>
      </c>
      <c r="G24" s="49">
        <f>VLOOKUP($A24,'Data shares'!$C:$FB,99)</f>
        <v>42087000</v>
      </c>
      <c r="H24" s="50">
        <f t="shared" si="1"/>
        <v>5.8640435288806518</v>
      </c>
      <c r="I24" s="49">
        <f>VLOOKUP($A24,'Data shares'!$C:$FB,66)</f>
        <v>43214000</v>
      </c>
      <c r="J24" s="49">
        <f>VLOOKUP($A24,'Data shares'!$C:$FB,67)</f>
        <v>35495000</v>
      </c>
      <c r="K24" s="50">
        <f t="shared" si="2"/>
        <v>17.862266857962698</v>
      </c>
      <c r="L24" s="50">
        <f>VLOOKUP($A24,'Data shares'!$C:$FB,118)</f>
        <v>0.83</v>
      </c>
      <c r="M24" s="50">
        <f>VLOOKUP($A24,'Data shares'!$C:$FB,119)</f>
        <v>0.89</v>
      </c>
      <c r="N24" s="50">
        <f>VLOOKUP($A24,'Data shares'!$C:$FB,121)*100</f>
        <v>-6.74</v>
      </c>
      <c r="O24" s="50">
        <f>VLOOKUP($A24,'Data shares'!$C:$FB,124)</f>
        <v>0.54</v>
      </c>
      <c r="P24" s="50">
        <f>VLOOKUP($A24,'Data shares'!$C:$FB,125)</f>
        <v>0.55000000000000004</v>
      </c>
      <c r="Q24" s="50">
        <f>VLOOKUP($A24,'Data shares'!$C:$FB,127)*100</f>
        <v>-1.82</v>
      </c>
    </row>
    <row r="25" spans="1:17" x14ac:dyDescent="0.25">
      <c r="A25" s="97" t="str">
        <f>'Data Vlaue (Cr)'!C20</f>
        <v>AUROPHARMA</v>
      </c>
      <c r="B25" s="140">
        <f>VLOOKUP($A25,'Data shares'!$C:$FB,7)</f>
        <v>1435.4</v>
      </c>
      <c r="C25" s="140">
        <f>VLOOKUP($A25,'Data shares'!$C:$FB,3)</f>
        <v>1437.7</v>
      </c>
      <c r="D25" s="140">
        <f>VLOOKUP($A25,'Data shares'!$C:$FB,4)</f>
        <v>1417.3</v>
      </c>
      <c r="E25" s="50">
        <f t="shared" si="0"/>
        <v>1.43935652296621</v>
      </c>
      <c r="F25" s="49">
        <f>VLOOKUP($A25,'Data shares'!$C:$FB,98)</f>
        <v>30328100</v>
      </c>
      <c r="G25" s="49">
        <f>VLOOKUP($A25,'Data shares'!$C:$FB,99)</f>
        <v>29419500</v>
      </c>
      <c r="H25" s="50">
        <f t="shared" si="1"/>
        <v>3.0884277435034586</v>
      </c>
      <c r="I25" s="49">
        <f>VLOOKUP($A25,'Data shares'!$C:$FB,66)</f>
        <v>23829300</v>
      </c>
      <c r="J25" s="49">
        <f>VLOOKUP($A25,'Data shares'!$C:$FB,67)</f>
        <v>13724700</v>
      </c>
      <c r="K25" s="50">
        <f t="shared" si="2"/>
        <v>42.404099155241653</v>
      </c>
      <c r="L25" s="50">
        <f>VLOOKUP($A25,'Data shares'!$C:$FB,118)</f>
        <v>0.76</v>
      </c>
      <c r="M25" s="50">
        <f>VLOOKUP($A25,'Data shares'!$C:$FB,119)</f>
        <v>0.67</v>
      </c>
      <c r="N25" s="50">
        <f>VLOOKUP($A25,'Data shares'!$C:$FB,121)*100</f>
        <v>13.43</v>
      </c>
      <c r="O25" s="50">
        <f>VLOOKUP($A25,'Data shares'!$C:$FB,124)</f>
        <v>0.41</v>
      </c>
      <c r="P25" s="50">
        <f>VLOOKUP($A25,'Data shares'!$C:$FB,125)</f>
        <v>0.55000000000000004</v>
      </c>
      <c r="Q25" s="50">
        <f>VLOOKUP($A25,'Data shares'!$C:$FB,127)*100</f>
        <v>-25.45</v>
      </c>
    </row>
    <row r="26" spans="1:17" x14ac:dyDescent="0.25">
      <c r="A26" s="97" t="str">
        <f>'Data Vlaue (Cr)'!C21</f>
        <v>AXISBANK</v>
      </c>
      <c r="B26" s="140">
        <f>VLOOKUP($A26,'Data shares'!$C:$FB,7)</f>
        <v>1369.6</v>
      </c>
      <c r="C26" s="140">
        <f>VLOOKUP($A26,'Data shares'!$C:$FB,3)</f>
        <v>1367.3</v>
      </c>
      <c r="D26" s="140">
        <f>VLOOKUP($A26,'Data shares'!$C:$FB,4)</f>
        <v>1377.7</v>
      </c>
      <c r="E26" s="50">
        <f t="shared" si="0"/>
        <v>-0.75488132394571317</v>
      </c>
      <c r="F26" s="49">
        <f>VLOOKUP($A26,'Data shares'!$C:$FB,98)</f>
        <v>99314375</v>
      </c>
      <c r="G26" s="49">
        <f>VLOOKUP($A26,'Data shares'!$C:$FB,99)</f>
        <v>95924375</v>
      </c>
      <c r="H26" s="50">
        <f t="shared" si="1"/>
        <v>3.5340339720743552</v>
      </c>
      <c r="I26" s="49">
        <f>VLOOKUP($A26,'Data shares'!$C:$FB,66)</f>
        <v>70062500</v>
      </c>
      <c r="J26" s="49">
        <f>VLOOKUP($A26,'Data shares'!$C:$FB,67)</f>
        <v>47274375</v>
      </c>
      <c r="K26" s="50">
        <f t="shared" si="2"/>
        <v>32.525423728813557</v>
      </c>
      <c r="L26" s="50">
        <f>VLOOKUP($A26,'Data shares'!$C:$FB,118)</f>
        <v>0.76</v>
      </c>
      <c r="M26" s="50">
        <f>VLOOKUP($A26,'Data shares'!$C:$FB,119)</f>
        <v>0.83</v>
      </c>
      <c r="N26" s="50">
        <f>VLOOKUP($A26,'Data shares'!$C:$FB,121)*100</f>
        <v>-8.43</v>
      </c>
      <c r="O26" s="50">
        <f>VLOOKUP($A26,'Data shares'!$C:$FB,124)</f>
        <v>0.79</v>
      </c>
      <c r="P26" s="50">
        <f>VLOOKUP($A26,'Data shares'!$C:$FB,125)</f>
        <v>0.68</v>
      </c>
      <c r="Q26" s="50">
        <f>VLOOKUP($A26,'Data shares'!$C:$FB,127)*100</f>
        <v>16.18</v>
      </c>
    </row>
    <row r="27" spans="1:17" x14ac:dyDescent="0.25">
      <c r="A27" s="97" t="str">
        <f>'Data Vlaue (Cr)'!C22</f>
        <v>BAJAJ-AUTO</v>
      </c>
      <c r="B27" s="140">
        <f>VLOOKUP($A27,'Data shares'!$C:$FB,7)</f>
        <v>9550.5</v>
      </c>
      <c r="C27" s="140">
        <f>VLOOKUP($A27,'Data shares'!$C:$FB,3)</f>
        <v>9574</v>
      </c>
      <c r="D27" s="140">
        <f>VLOOKUP($A27,'Data shares'!$C:$FB,4)</f>
        <v>9635</v>
      </c>
      <c r="E27" s="50">
        <f t="shared" si="0"/>
        <v>-0.63310845874416199</v>
      </c>
      <c r="F27" s="49">
        <f>VLOOKUP($A27,'Data shares'!$C:$FB,98)</f>
        <v>5352075</v>
      </c>
      <c r="G27" s="49">
        <f>VLOOKUP($A27,'Data shares'!$C:$FB,99)</f>
        <v>5524125</v>
      </c>
      <c r="H27" s="50">
        <f t="shared" si="1"/>
        <v>-3.1145203991582378</v>
      </c>
      <c r="I27" s="49">
        <f>VLOOKUP($A27,'Data shares'!$C:$FB,66)</f>
        <v>5561025</v>
      </c>
      <c r="J27" s="49">
        <f>VLOOKUP($A27,'Data shares'!$C:$FB,67)</f>
        <v>3412950</v>
      </c>
      <c r="K27" s="50">
        <f t="shared" si="2"/>
        <v>38.627321402079652</v>
      </c>
      <c r="L27" s="50">
        <f>VLOOKUP($A27,'Data shares'!$C:$FB,118)</f>
        <v>0.93</v>
      </c>
      <c r="M27" s="50">
        <f>VLOOKUP($A27,'Data shares'!$C:$FB,119)</f>
        <v>0.86</v>
      </c>
      <c r="N27" s="50">
        <f>VLOOKUP($A27,'Data shares'!$C:$FB,121)*100</f>
        <v>8.14</v>
      </c>
      <c r="O27" s="50">
        <f>VLOOKUP($A27,'Data shares'!$C:$FB,124)</f>
        <v>0.74</v>
      </c>
      <c r="P27" s="50">
        <f>VLOOKUP($A27,'Data shares'!$C:$FB,125)</f>
        <v>0.62</v>
      </c>
      <c r="Q27" s="50">
        <f>VLOOKUP($A27,'Data shares'!$C:$FB,127)*100</f>
        <v>19.350000000000001</v>
      </c>
    </row>
    <row r="28" spans="1:17" x14ac:dyDescent="0.25">
      <c r="A28" s="97" t="str">
        <f>'Data Vlaue (Cr)'!C23</f>
        <v>BAJAJFINSV</v>
      </c>
      <c r="B28" s="140">
        <f>VLOOKUP($A28,'Data shares'!$C:$FB,7)</f>
        <v>1792.6</v>
      </c>
      <c r="C28" s="140">
        <f>VLOOKUP($A28,'Data shares'!$C:$FB,3)</f>
        <v>1789.4</v>
      </c>
      <c r="D28" s="140">
        <f>VLOOKUP($A28,'Data shares'!$C:$FB,4)</f>
        <v>1845.8</v>
      </c>
      <c r="E28" s="50">
        <f t="shared" si="0"/>
        <v>-3.0555856539169932</v>
      </c>
      <c r="F28" s="49">
        <f>VLOOKUP($A28,'Data shares'!$C:$FB,98)</f>
        <v>18712500</v>
      </c>
      <c r="G28" s="49">
        <f>VLOOKUP($A28,'Data shares'!$C:$FB,99)</f>
        <v>18208750</v>
      </c>
      <c r="H28" s="50">
        <f t="shared" si="1"/>
        <v>2.7665270817601426</v>
      </c>
      <c r="I28" s="49">
        <f>VLOOKUP($A28,'Data shares'!$C:$FB,66)</f>
        <v>15312250</v>
      </c>
      <c r="J28" s="49">
        <f>VLOOKUP($A28,'Data shares'!$C:$FB,67)</f>
        <v>6788000</v>
      </c>
      <c r="K28" s="50">
        <f t="shared" si="2"/>
        <v>55.669480318046006</v>
      </c>
      <c r="L28" s="50">
        <f>VLOOKUP($A28,'Data shares'!$C:$FB,118)</f>
        <v>0.88</v>
      </c>
      <c r="M28" s="50">
        <f>VLOOKUP($A28,'Data shares'!$C:$FB,119)</f>
        <v>0.98</v>
      </c>
      <c r="N28" s="50">
        <f>VLOOKUP($A28,'Data shares'!$C:$FB,121)*100</f>
        <v>-10.199999999999999</v>
      </c>
      <c r="O28" s="50">
        <f>VLOOKUP($A28,'Data shares'!$C:$FB,124)</f>
        <v>0.68</v>
      </c>
      <c r="P28" s="50">
        <f>VLOOKUP($A28,'Data shares'!$C:$FB,125)</f>
        <v>0.88</v>
      </c>
      <c r="Q28" s="50">
        <f>VLOOKUP($A28,'Data shares'!$C:$FB,127)*100</f>
        <v>-22.73</v>
      </c>
    </row>
    <row r="29" spans="1:17" x14ac:dyDescent="0.25">
      <c r="A29" s="97" t="str">
        <f>'Data Vlaue (Cr)'!C24</f>
        <v>BAJAJHLDNG</v>
      </c>
      <c r="B29" s="140">
        <f>VLOOKUP($A29,'Data shares'!$C:$FB,7)</f>
        <v>10376.5</v>
      </c>
      <c r="C29" s="140">
        <f>VLOOKUP($A29,'Data shares'!$C:$FB,3)</f>
        <v>10375.5</v>
      </c>
      <c r="D29" s="140">
        <f>VLOOKUP($A29,'Data shares'!$C:$FB,4)</f>
        <v>10401.5</v>
      </c>
      <c r="E29" s="50">
        <f t="shared" si="0"/>
        <v>-0.24996394750757103</v>
      </c>
      <c r="F29" s="49">
        <f>VLOOKUP($A29,'Data shares'!$C:$FB,98)</f>
        <v>402250</v>
      </c>
      <c r="G29" s="49">
        <f>VLOOKUP($A29,'Data shares'!$C:$FB,99)</f>
        <v>416250</v>
      </c>
      <c r="H29" s="50">
        <f t="shared" si="1"/>
        <v>-3.3633633633633635</v>
      </c>
      <c r="I29" s="49">
        <f>VLOOKUP($A29,'Data shares'!$C:$FB,66)</f>
        <v>449200</v>
      </c>
      <c r="J29" s="49">
        <f>VLOOKUP($A29,'Data shares'!$C:$FB,67)</f>
        <v>343100</v>
      </c>
      <c r="K29" s="50">
        <f t="shared" si="2"/>
        <v>23.619768477292965</v>
      </c>
      <c r="L29" s="50">
        <f>VLOOKUP($A29,'Data shares'!$C:$FB,118)</f>
        <v>0.69</v>
      </c>
      <c r="M29" s="50">
        <f>VLOOKUP($A29,'Data shares'!$C:$FB,119)</f>
        <v>0.75</v>
      </c>
      <c r="N29" s="50">
        <f>VLOOKUP($A29,'Data shares'!$C:$FB,121)*100</f>
        <v>-8</v>
      </c>
      <c r="O29" s="50">
        <f>VLOOKUP($A29,'Data shares'!$C:$FB,124)</f>
        <v>1.1399999999999999</v>
      </c>
      <c r="P29" s="50">
        <f>VLOOKUP($A29,'Data shares'!$C:$FB,125)</f>
        <v>1.8</v>
      </c>
      <c r="Q29" s="50">
        <f>VLOOKUP($A29,'Data shares'!$C:$FB,127)*100</f>
        <v>-36.67</v>
      </c>
    </row>
    <row r="30" spans="1:17" x14ac:dyDescent="0.25">
      <c r="A30" s="97" t="str">
        <f>'Data Vlaue (Cr)'!C25</f>
        <v>BAJFINANCE</v>
      </c>
      <c r="B30" s="176">
        <f>VLOOKUP($A30,'Data shares'!$C:$FB,7)</f>
        <v>918.35</v>
      </c>
      <c r="C30" s="176">
        <f>VLOOKUP($A30,'Data shares'!$C:$FB,3)</f>
        <v>916.75</v>
      </c>
      <c r="D30" s="176">
        <f>VLOOKUP($A30,'Data shares'!$C:$FB,4)</f>
        <v>933.8</v>
      </c>
      <c r="E30" s="50">
        <f t="shared" si="0"/>
        <v>-1.8258727778967612</v>
      </c>
      <c r="F30" s="49">
        <f>VLOOKUP($A30,'Data shares'!$C:$FB,98)</f>
        <v>112378500</v>
      </c>
      <c r="G30" s="49">
        <f>VLOOKUP($A30,'Data shares'!$C:$FB,99)</f>
        <v>111276000</v>
      </c>
      <c r="H30" s="50">
        <f t="shared" si="1"/>
        <v>0.99077968295050145</v>
      </c>
      <c r="I30" s="49">
        <f>VLOOKUP($A30,'Data shares'!$C:$FB,66)</f>
        <v>100338750</v>
      </c>
      <c r="J30" s="49">
        <f>VLOOKUP($A30,'Data shares'!$C:$FB,67)</f>
        <v>71716500</v>
      </c>
      <c r="K30" s="50">
        <f t="shared" si="2"/>
        <v>28.525619464065478</v>
      </c>
      <c r="L30" s="50">
        <f>VLOOKUP($A30,'Data shares'!$C:$FB,118)</f>
        <v>0.8</v>
      </c>
      <c r="M30" s="50">
        <f>VLOOKUP($A30,'Data shares'!$C:$FB,119)</f>
        <v>0.77</v>
      </c>
      <c r="N30" s="50">
        <f>VLOOKUP($A30,'Data shares'!$C:$FB,121)*100</f>
        <v>3.9</v>
      </c>
      <c r="O30" s="50">
        <f>VLOOKUP($A30,'Data shares'!$C:$FB,124)</f>
        <v>0.74</v>
      </c>
      <c r="P30" s="50">
        <f>VLOOKUP($A30,'Data shares'!$C:$FB,125)</f>
        <v>0.65</v>
      </c>
      <c r="Q30" s="50">
        <f>VLOOKUP($A30,'Data shares'!$C:$FB,127)*100</f>
        <v>13.850000000000001</v>
      </c>
    </row>
    <row r="31" spans="1:17" x14ac:dyDescent="0.25">
      <c r="A31" s="97" t="str">
        <f>'Data Vlaue (Cr)'!C26</f>
        <v>BANDHANBNK</v>
      </c>
      <c r="B31" s="140">
        <f>VLOOKUP($A31,'Data shares'!$C:$FB,7)</f>
        <v>173.9</v>
      </c>
      <c r="C31" s="140">
        <f>VLOOKUP($A31,'Data shares'!$C:$FB,3)</f>
        <v>173.67</v>
      </c>
      <c r="D31" s="140">
        <f>VLOOKUP($A31,'Data shares'!$C:$FB,4)</f>
        <v>176.15</v>
      </c>
      <c r="E31" s="50">
        <f t="shared" si="0"/>
        <v>-1.4078910019869533</v>
      </c>
      <c r="F31" s="49">
        <f>VLOOKUP($A31,'Data shares'!$C:$FB,98)</f>
        <v>138225600</v>
      </c>
      <c r="G31" s="49">
        <f>VLOOKUP($A31,'Data shares'!$C:$FB,99)</f>
        <v>137844000</v>
      </c>
      <c r="H31" s="50">
        <f t="shared" si="1"/>
        <v>0.27683468268477407</v>
      </c>
      <c r="I31" s="49">
        <f>VLOOKUP($A31,'Data shares'!$C:$FB,66)</f>
        <v>73861200</v>
      </c>
      <c r="J31" s="49">
        <f>VLOOKUP($A31,'Data shares'!$C:$FB,67)</f>
        <v>56296800</v>
      </c>
      <c r="K31" s="50">
        <f t="shared" si="2"/>
        <v>23.780279767997271</v>
      </c>
      <c r="L31" s="50">
        <f>VLOOKUP($A31,'Data shares'!$C:$FB,118)</f>
        <v>0.7</v>
      </c>
      <c r="M31" s="50">
        <f>VLOOKUP($A31,'Data shares'!$C:$FB,119)</f>
        <v>0.7</v>
      </c>
      <c r="N31" s="50">
        <f>VLOOKUP($A31,'Data shares'!$C:$FB,121)*100</f>
        <v>0</v>
      </c>
      <c r="O31" s="50">
        <f>VLOOKUP($A31,'Data shares'!$C:$FB,124)</f>
        <v>0.83</v>
      </c>
      <c r="P31" s="50">
        <f>VLOOKUP($A31,'Data shares'!$C:$FB,125)</f>
        <v>0.73</v>
      </c>
      <c r="Q31" s="50">
        <f>VLOOKUP($A31,'Data shares'!$C:$FB,127)*100</f>
        <v>13.700000000000001</v>
      </c>
    </row>
    <row r="32" spans="1:17" x14ac:dyDescent="0.25">
      <c r="A32" s="97" t="str">
        <f>'Data Vlaue (Cr)'!C27</f>
        <v>BANKBARODA</v>
      </c>
      <c r="B32" s="140">
        <f>VLOOKUP($A32,'Data shares'!$C:$FB,7)</f>
        <v>276.33999999999997</v>
      </c>
      <c r="C32" s="140">
        <f>VLOOKUP($A32,'Data shares'!$C:$FB,3)</f>
        <v>276.51</v>
      </c>
      <c r="D32" s="140">
        <f>VLOOKUP($A32,'Data shares'!$C:$FB,4)</f>
        <v>282.41000000000003</v>
      </c>
      <c r="E32" s="50">
        <f t="shared" si="0"/>
        <v>-2.0891611486845485</v>
      </c>
      <c r="F32" s="49">
        <f>VLOOKUP($A32,'Data shares'!$C:$FB,98)</f>
        <v>204516000</v>
      </c>
      <c r="G32" s="49">
        <f>VLOOKUP($A32,'Data shares'!$C:$FB,99)</f>
        <v>192365550</v>
      </c>
      <c r="H32" s="50">
        <f t="shared" si="1"/>
        <v>6.3163336678526898</v>
      </c>
      <c r="I32" s="49">
        <f>VLOOKUP($A32,'Data shares'!$C:$FB,66)</f>
        <v>174309525</v>
      </c>
      <c r="J32" s="49">
        <f>VLOOKUP($A32,'Data shares'!$C:$FB,67)</f>
        <v>78407550</v>
      </c>
      <c r="K32" s="50">
        <f t="shared" si="2"/>
        <v>55.018206836373395</v>
      </c>
      <c r="L32" s="50">
        <f>VLOOKUP($A32,'Data shares'!$C:$FB,118)</f>
        <v>0.82</v>
      </c>
      <c r="M32" s="50">
        <f>VLOOKUP($A32,'Data shares'!$C:$FB,119)</f>
        <v>0.9</v>
      </c>
      <c r="N32" s="50">
        <f>VLOOKUP($A32,'Data shares'!$C:$FB,121)*100</f>
        <v>-8.89</v>
      </c>
      <c r="O32" s="50">
        <f>VLOOKUP($A32,'Data shares'!$C:$FB,124)</f>
        <v>0.65</v>
      </c>
      <c r="P32" s="50">
        <f>VLOOKUP($A32,'Data shares'!$C:$FB,125)</f>
        <v>0.72</v>
      </c>
      <c r="Q32" s="50">
        <f>VLOOKUP($A32,'Data shares'!$C:$FB,127)*100</f>
        <v>-9.7199999999999989</v>
      </c>
    </row>
    <row r="33" spans="1:17" x14ac:dyDescent="0.25">
      <c r="A33" s="97" t="str">
        <f>'Data Vlaue (Cr)'!C28</f>
        <v>BANKINDIA</v>
      </c>
      <c r="B33" s="140">
        <f>VLOOKUP($A33,'Data shares'!$C:$FB,7)</f>
        <v>150.86000000000001</v>
      </c>
      <c r="C33" s="140">
        <f>VLOOKUP($A33,'Data shares'!$C:$FB,3)</f>
        <v>150.6</v>
      </c>
      <c r="D33" s="140">
        <f>VLOOKUP($A33,'Data shares'!$C:$FB,4)</f>
        <v>152.62</v>
      </c>
      <c r="E33" s="50">
        <f t="shared" si="0"/>
        <v>-1.3235486830035448</v>
      </c>
      <c r="F33" s="49">
        <f>VLOOKUP($A33,'Data shares'!$C:$FB,98)</f>
        <v>105840800</v>
      </c>
      <c r="G33" s="49">
        <f>VLOOKUP($A33,'Data shares'!$C:$FB,99)</f>
        <v>109761600</v>
      </c>
      <c r="H33" s="50">
        <f t="shared" si="1"/>
        <v>-3.5721053628955848</v>
      </c>
      <c r="I33" s="49">
        <f>VLOOKUP($A33,'Data shares'!$C:$FB,66)</f>
        <v>114275200</v>
      </c>
      <c r="J33" s="49">
        <f>VLOOKUP($A33,'Data shares'!$C:$FB,67)</f>
        <v>100219600</v>
      </c>
      <c r="K33" s="50">
        <f t="shared" si="2"/>
        <v>12.299781579905352</v>
      </c>
      <c r="L33" s="50">
        <f>VLOOKUP($A33,'Data shares'!$C:$FB,118)</f>
        <v>0.9</v>
      </c>
      <c r="M33" s="50">
        <f>VLOOKUP($A33,'Data shares'!$C:$FB,119)</f>
        <v>0.9</v>
      </c>
      <c r="N33" s="50">
        <f>VLOOKUP($A33,'Data shares'!$C:$FB,121)*100</f>
        <v>0</v>
      </c>
      <c r="O33" s="50">
        <f>VLOOKUP($A33,'Data shares'!$C:$FB,124)</f>
        <v>0.56000000000000005</v>
      </c>
      <c r="P33" s="50">
        <f>VLOOKUP($A33,'Data shares'!$C:$FB,125)</f>
        <v>0.42</v>
      </c>
      <c r="Q33" s="50">
        <f>VLOOKUP($A33,'Data shares'!$C:$FB,127)*100</f>
        <v>33.33</v>
      </c>
    </row>
    <row r="34" spans="1:17" x14ac:dyDescent="0.25">
      <c r="A34" s="97" t="str">
        <f>'Data Vlaue (Cr)'!C29</f>
        <v>BANKNIFTY</v>
      </c>
      <c r="B34" s="140">
        <f>VLOOKUP($A34,'Data shares'!$C:$FB,7)</f>
        <v>56305</v>
      </c>
      <c r="C34" s="140">
        <f>VLOOKUP($A34,'Data shares'!$C:$FB,3)</f>
        <v>56344.2</v>
      </c>
      <c r="D34" s="140">
        <f>VLOOKUP($A34,'Data shares'!$C:$FB,4)</f>
        <v>57147</v>
      </c>
      <c r="E34" s="50">
        <f t="shared" si="0"/>
        <v>-1.4047981521339754</v>
      </c>
      <c r="F34" s="49">
        <f>VLOOKUP($A34,'Data shares'!$C:$FB,98)</f>
        <v>45145020</v>
      </c>
      <c r="G34" s="49">
        <f>VLOOKUP($A34,'Data shares'!$C:$FB,99)</f>
        <v>44003130</v>
      </c>
      <c r="H34" s="50">
        <f t="shared" si="1"/>
        <v>2.5950199451720821</v>
      </c>
      <c r="I34" s="49">
        <f>VLOOKUP($A34,'Data shares'!$C:$FB,66)</f>
        <v>127968450</v>
      </c>
      <c r="J34" s="49">
        <f>VLOOKUP($A34,'Data shares'!$C:$FB,67)</f>
        <v>116476470</v>
      </c>
      <c r="K34" s="50">
        <f t="shared" si="2"/>
        <v>8.9803228842734288</v>
      </c>
      <c r="L34" s="50">
        <f>VLOOKUP($A34,'Data shares'!$C:$FB,118)</f>
        <v>0.91</v>
      </c>
      <c r="M34" s="50">
        <f>VLOOKUP($A34,'Data shares'!$C:$FB,119)</f>
        <v>0.99</v>
      </c>
      <c r="N34" s="50">
        <f>VLOOKUP($A34,'Data shares'!$C:$FB,121)*100</f>
        <v>-8.08</v>
      </c>
      <c r="O34" s="50">
        <f>VLOOKUP($A34,'Data shares'!$C:$FB,124)</f>
        <v>0.89</v>
      </c>
      <c r="P34" s="50">
        <f>VLOOKUP($A34,'Data shares'!$C:$FB,125)</f>
        <v>1.04</v>
      </c>
      <c r="Q34" s="50">
        <f>VLOOKUP($A34,'Data shares'!$C:$FB,127)*100</f>
        <v>-14.42</v>
      </c>
    </row>
    <row r="35" spans="1:17" x14ac:dyDescent="0.25">
      <c r="A35" s="97" t="str">
        <f>'Data Vlaue (Cr)'!C30</f>
        <v>BDL</v>
      </c>
      <c r="B35" s="140">
        <f>VLOOKUP($A35,'Data shares'!$C:$FB,7)</f>
        <v>1423.3</v>
      </c>
      <c r="C35" s="140">
        <f>VLOOKUP($A35,'Data shares'!$C:$FB,3)</f>
        <v>1424.5</v>
      </c>
      <c r="D35" s="140">
        <f>VLOOKUP($A35,'Data shares'!$C:$FB,4)</f>
        <v>1384.1</v>
      </c>
      <c r="E35" s="50">
        <f t="shared" si="0"/>
        <v>2.9188642439130188</v>
      </c>
      <c r="F35" s="49">
        <f>VLOOKUP($A35,'Data shares'!$C:$FB,98)</f>
        <v>11016950</v>
      </c>
      <c r="G35" s="49">
        <f>VLOOKUP($A35,'Data shares'!$C:$FB,99)</f>
        <v>10586450</v>
      </c>
      <c r="H35" s="50">
        <f t="shared" si="1"/>
        <v>4.0665189936192014</v>
      </c>
      <c r="I35" s="49">
        <f>VLOOKUP($A35,'Data shares'!$C:$FB,66)</f>
        <v>17820600</v>
      </c>
      <c r="J35" s="49">
        <f>VLOOKUP($A35,'Data shares'!$C:$FB,67)</f>
        <v>6240150</v>
      </c>
      <c r="K35" s="50">
        <f t="shared" si="2"/>
        <v>64.983502238981856</v>
      </c>
      <c r="L35" s="50">
        <f>VLOOKUP($A35,'Data shares'!$C:$FB,118)</f>
        <v>0.84</v>
      </c>
      <c r="M35" s="50">
        <f>VLOOKUP($A35,'Data shares'!$C:$FB,119)</f>
        <v>0.81</v>
      </c>
      <c r="N35" s="50">
        <f>VLOOKUP($A35,'Data shares'!$C:$FB,121)*100</f>
        <v>3.6999999999999997</v>
      </c>
      <c r="O35" s="50">
        <f>VLOOKUP($A35,'Data shares'!$C:$FB,124)</f>
        <v>0.35</v>
      </c>
      <c r="P35" s="50">
        <f>VLOOKUP($A35,'Data shares'!$C:$FB,125)</f>
        <v>0.74</v>
      </c>
      <c r="Q35" s="50">
        <f>VLOOKUP($A35,'Data shares'!$C:$FB,127)*100</f>
        <v>-52.7</v>
      </c>
    </row>
    <row r="36" spans="1:17" x14ac:dyDescent="0.25">
      <c r="A36" s="97" t="str">
        <f>'Data Vlaue (Cr)'!C31</f>
        <v>BEL</v>
      </c>
      <c r="B36" s="140">
        <f>VLOOKUP($A36,'Data shares'!$C:$FB,7)</f>
        <v>449.95</v>
      </c>
      <c r="C36" s="140">
        <f>VLOOKUP($A36,'Data shares'!$C:$FB,3)</f>
        <v>450.3</v>
      </c>
      <c r="D36" s="140">
        <f>VLOOKUP($A36,'Data shares'!$C:$FB,4)</f>
        <v>449.45</v>
      </c>
      <c r="E36" s="50">
        <f t="shared" si="0"/>
        <v>0.18912003559907059</v>
      </c>
      <c r="F36" s="49">
        <f>VLOOKUP($A36,'Data shares'!$C:$FB,98)</f>
        <v>188080050</v>
      </c>
      <c r="G36" s="49">
        <f>VLOOKUP($A36,'Data shares'!$C:$FB,99)</f>
        <v>187679625</v>
      </c>
      <c r="H36" s="50">
        <f t="shared" si="1"/>
        <v>0.21335560533009379</v>
      </c>
      <c r="I36" s="49">
        <f>VLOOKUP($A36,'Data shares'!$C:$FB,66)</f>
        <v>162901725</v>
      </c>
      <c r="J36" s="49">
        <f>VLOOKUP($A36,'Data shares'!$C:$FB,67)</f>
        <v>120914100</v>
      </c>
      <c r="K36" s="50">
        <f t="shared" si="2"/>
        <v>25.774819143259531</v>
      </c>
      <c r="L36" s="50">
        <f>VLOOKUP($A36,'Data shares'!$C:$FB,118)</f>
        <v>0.68</v>
      </c>
      <c r="M36" s="50">
        <f>VLOOKUP($A36,'Data shares'!$C:$FB,119)</f>
        <v>0.7</v>
      </c>
      <c r="N36" s="50">
        <f>VLOOKUP($A36,'Data shares'!$C:$FB,121)*100</f>
        <v>-2.86</v>
      </c>
      <c r="O36" s="50">
        <f>VLOOKUP($A36,'Data shares'!$C:$FB,124)</f>
        <v>0.46</v>
      </c>
      <c r="P36" s="50">
        <f>VLOOKUP($A36,'Data shares'!$C:$FB,125)</f>
        <v>0.45</v>
      </c>
      <c r="Q36" s="50">
        <f>VLOOKUP($A36,'Data shares'!$C:$FB,127)*100</f>
        <v>2.2200000000000002</v>
      </c>
    </row>
    <row r="37" spans="1:17" x14ac:dyDescent="0.25">
      <c r="A37" s="97" t="str">
        <f>'Data Vlaue (Cr)'!C32</f>
        <v>BHARATFORG</v>
      </c>
      <c r="B37" s="140">
        <f>VLOOKUP($A37,'Data shares'!$C:$FB,7)</f>
        <v>1874.1</v>
      </c>
      <c r="C37" s="140">
        <f>VLOOKUP($A37,'Data shares'!$C:$FB,3)</f>
        <v>1860.7</v>
      </c>
      <c r="D37" s="140">
        <f>VLOOKUP($A37,'Data shares'!$C:$FB,4)</f>
        <v>1896.6</v>
      </c>
      <c r="E37" s="50">
        <f t="shared" si="0"/>
        <v>-1.8928609089950366</v>
      </c>
      <c r="F37" s="49">
        <f>VLOOKUP($A37,'Data shares'!$C:$FB,98)</f>
        <v>16088000</v>
      </c>
      <c r="G37" s="49">
        <f>VLOOKUP($A37,'Data shares'!$C:$FB,99)</f>
        <v>14917500</v>
      </c>
      <c r="H37" s="50">
        <f t="shared" si="1"/>
        <v>7.8464890229596111</v>
      </c>
      <c r="I37" s="49">
        <f>VLOOKUP($A37,'Data shares'!$C:$FB,66)</f>
        <v>17452500</v>
      </c>
      <c r="J37" s="49">
        <f>VLOOKUP($A37,'Data shares'!$C:$FB,67)</f>
        <v>10284500</v>
      </c>
      <c r="K37" s="50">
        <f t="shared" si="2"/>
        <v>41.071479730697611</v>
      </c>
      <c r="L37" s="50">
        <f>VLOOKUP($A37,'Data shares'!$C:$FB,118)</f>
        <v>0.68</v>
      </c>
      <c r="M37" s="50">
        <f>VLOOKUP($A37,'Data shares'!$C:$FB,119)</f>
        <v>0.67</v>
      </c>
      <c r="N37" s="50">
        <f>VLOOKUP($A37,'Data shares'!$C:$FB,121)*100</f>
        <v>1.49</v>
      </c>
      <c r="O37" s="50">
        <f>VLOOKUP($A37,'Data shares'!$C:$FB,124)</f>
        <v>0.69</v>
      </c>
      <c r="P37" s="50">
        <f>VLOOKUP($A37,'Data shares'!$C:$FB,125)</f>
        <v>0.42</v>
      </c>
      <c r="Q37" s="50">
        <f>VLOOKUP($A37,'Data shares'!$C:$FB,127)*100</f>
        <v>64.290000000000006</v>
      </c>
    </row>
    <row r="38" spans="1:17" x14ac:dyDescent="0.25">
      <c r="A38" s="97" t="str">
        <f>'Data Vlaue (Cr)'!C33</f>
        <v>BHARTIARTL</v>
      </c>
      <c r="B38" s="140">
        <f>VLOOKUP($A38,'Data shares'!$C:$FB,7)</f>
        <v>1841.2</v>
      </c>
      <c r="C38" s="140">
        <f>VLOOKUP($A38,'Data shares'!$C:$FB,3)</f>
        <v>1838.5</v>
      </c>
      <c r="D38" s="140">
        <f>VLOOKUP($A38,'Data shares'!$C:$FB,4)</f>
        <v>1831.5</v>
      </c>
      <c r="E38" s="50">
        <f t="shared" si="0"/>
        <v>0.38220038220038216</v>
      </c>
      <c r="F38" s="49">
        <f>VLOOKUP($A38,'Data shares'!$C:$FB,98)</f>
        <v>84268800</v>
      </c>
      <c r="G38" s="49">
        <f>VLOOKUP($A38,'Data shares'!$C:$FB,99)</f>
        <v>84977025</v>
      </c>
      <c r="H38" s="50">
        <f t="shared" si="1"/>
        <v>-0.83343115389130173</v>
      </c>
      <c r="I38" s="49">
        <f>VLOOKUP($A38,'Data shares'!$C:$FB,66)</f>
        <v>54242150</v>
      </c>
      <c r="J38" s="49">
        <f>VLOOKUP($A38,'Data shares'!$C:$FB,67)</f>
        <v>38645050</v>
      </c>
      <c r="K38" s="50">
        <f t="shared" si="2"/>
        <v>28.754575546876371</v>
      </c>
      <c r="L38" s="50">
        <f>VLOOKUP($A38,'Data shares'!$C:$FB,118)</f>
        <v>0.64</v>
      </c>
      <c r="M38" s="50">
        <f>VLOOKUP($A38,'Data shares'!$C:$FB,119)</f>
        <v>0.64</v>
      </c>
      <c r="N38" s="50">
        <f>VLOOKUP($A38,'Data shares'!$C:$FB,121)*100</f>
        <v>0</v>
      </c>
      <c r="O38" s="50">
        <f>VLOOKUP($A38,'Data shares'!$C:$FB,124)</f>
        <v>0.35</v>
      </c>
      <c r="P38" s="50">
        <f>VLOOKUP($A38,'Data shares'!$C:$FB,125)</f>
        <v>0.56000000000000005</v>
      </c>
      <c r="Q38" s="50">
        <f>VLOOKUP($A38,'Data shares'!$C:$FB,127)*100</f>
        <v>-37.5</v>
      </c>
    </row>
    <row r="39" spans="1:17" x14ac:dyDescent="0.25">
      <c r="A39" s="97" t="str">
        <f>'Data Vlaue (Cr)'!C34</f>
        <v>BHEL</v>
      </c>
      <c r="B39" s="140">
        <f>VLOOKUP($A39,'Data shares'!$C:$FB,7)</f>
        <v>337.6</v>
      </c>
      <c r="C39" s="140">
        <f>VLOOKUP($A39,'Data shares'!$C:$FB,3)</f>
        <v>338.22</v>
      </c>
      <c r="D39" s="140">
        <f>VLOOKUP($A39,'Data shares'!$C:$FB,4)</f>
        <v>334.14</v>
      </c>
      <c r="E39" s="50">
        <f t="shared" si="0"/>
        <v>1.2210450709283658</v>
      </c>
      <c r="F39" s="49">
        <f>VLOOKUP($A39,'Data shares'!$C:$FB,98)</f>
        <v>210228375</v>
      </c>
      <c r="G39" s="49">
        <f>VLOOKUP($A39,'Data shares'!$C:$FB,99)</f>
        <v>211393875</v>
      </c>
      <c r="H39" s="50">
        <f t="shared" si="1"/>
        <v>-0.55134047758006233</v>
      </c>
      <c r="I39" s="49">
        <f>VLOOKUP($A39,'Data shares'!$C:$FB,66)</f>
        <v>252950250</v>
      </c>
      <c r="J39" s="49">
        <f>VLOOKUP($A39,'Data shares'!$C:$FB,67)</f>
        <v>205723875</v>
      </c>
      <c r="K39" s="50">
        <f t="shared" si="2"/>
        <v>18.670222701894936</v>
      </c>
      <c r="L39" s="50">
        <f>VLOOKUP($A39,'Data shares'!$C:$FB,118)</f>
        <v>0.91</v>
      </c>
      <c r="M39" s="50">
        <f>VLOOKUP($A39,'Data shares'!$C:$FB,119)</f>
        <v>0.83</v>
      </c>
      <c r="N39" s="50">
        <f>VLOOKUP($A39,'Data shares'!$C:$FB,121)*100</f>
        <v>9.64</v>
      </c>
      <c r="O39" s="50">
        <f>VLOOKUP($A39,'Data shares'!$C:$FB,124)</f>
        <v>0.6</v>
      </c>
      <c r="P39" s="50">
        <f>VLOOKUP($A39,'Data shares'!$C:$FB,125)</f>
        <v>0.55000000000000004</v>
      </c>
      <c r="Q39" s="50">
        <f>VLOOKUP($A39,'Data shares'!$C:$FB,127)*100</f>
        <v>9.09</v>
      </c>
    </row>
    <row r="40" spans="1:17" x14ac:dyDescent="0.25">
      <c r="A40" s="97" t="str">
        <f>'Data Vlaue (Cr)'!C35</f>
        <v>BIOCON</v>
      </c>
      <c r="B40" s="140">
        <f>VLOOKUP($A40,'Data shares'!$C:$FB,7)</f>
        <v>358</v>
      </c>
      <c r="C40" s="140">
        <f>VLOOKUP($A40,'Data shares'!$C:$FB,3)</f>
        <v>358.6</v>
      </c>
      <c r="D40" s="140">
        <f>VLOOKUP($A40,'Data shares'!$C:$FB,4)</f>
        <v>358.15</v>
      </c>
      <c r="E40" s="50">
        <f t="shared" si="0"/>
        <v>0.12564567918471184</v>
      </c>
      <c r="F40" s="49">
        <f>VLOOKUP($A40,'Data shares'!$C:$FB,98)</f>
        <v>75197500</v>
      </c>
      <c r="G40" s="49">
        <f>VLOOKUP($A40,'Data shares'!$C:$FB,99)</f>
        <v>73425000</v>
      </c>
      <c r="H40" s="50">
        <f t="shared" si="1"/>
        <v>2.4140279196458971</v>
      </c>
      <c r="I40" s="49">
        <f>VLOOKUP($A40,'Data shares'!$C:$FB,66)</f>
        <v>68695000</v>
      </c>
      <c r="J40" s="49">
        <f>VLOOKUP($A40,'Data shares'!$C:$FB,67)</f>
        <v>35492500</v>
      </c>
      <c r="K40" s="50">
        <f t="shared" si="2"/>
        <v>48.333212024164787</v>
      </c>
      <c r="L40" s="50">
        <f>VLOOKUP($A40,'Data shares'!$C:$FB,118)</f>
        <v>0.62</v>
      </c>
      <c r="M40" s="50">
        <f>VLOOKUP($A40,'Data shares'!$C:$FB,119)</f>
        <v>0.67</v>
      </c>
      <c r="N40" s="50">
        <f>VLOOKUP($A40,'Data shares'!$C:$FB,121)*100</f>
        <v>-7.46</v>
      </c>
      <c r="O40" s="50">
        <f>VLOOKUP($A40,'Data shares'!$C:$FB,124)</f>
        <v>0.25</v>
      </c>
      <c r="P40" s="50">
        <f>VLOOKUP($A40,'Data shares'!$C:$FB,125)</f>
        <v>0.36</v>
      </c>
      <c r="Q40" s="50">
        <f>VLOOKUP($A40,'Data shares'!$C:$FB,127)*100</f>
        <v>-30.56</v>
      </c>
    </row>
    <row r="41" spans="1:17" x14ac:dyDescent="0.25">
      <c r="A41" s="97" t="str">
        <f>'Data Vlaue (Cr)'!C36</f>
        <v>BLUESTARCO</v>
      </c>
      <c r="B41" s="140">
        <f>VLOOKUP($A41,'Data shares'!$C:$FB,7)</f>
        <v>1829.8</v>
      </c>
      <c r="C41" s="140">
        <f>VLOOKUP($A41,'Data shares'!$C:$FB,3)</f>
        <v>1834.8</v>
      </c>
      <c r="D41" s="140">
        <f>VLOOKUP($A41,'Data shares'!$C:$FB,4)</f>
        <v>1891.7</v>
      </c>
      <c r="E41" s="50">
        <f t="shared" si="0"/>
        <v>-3.0078765131891996</v>
      </c>
      <c r="F41" s="49">
        <f>VLOOKUP($A41,'Data shares'!$C:$FB,98)</f>
        <v>6435000</v>
      </c>
      <c r="G41" s="49">
        <f>VLOOKUP($A41,'Data shares'!$C:$FB,99)</f>
        <v>7024875</v>
      </c>
      <c r="H41" s="50">
        <f t="shared" si="1"/>
        <v>-8.3969465648854964</v>
      </c>
      <c r="I41" s="49">
        <f>VLOOKUP($A41,'Data shares'!$C:$FB,66)</f>
        <v>6028425</v>
      </c>
      <c r="J41" s="49">
        <f>VLOOKUP($A41,'Data shares'!$C:$FB,67)</f>
        <v>3202875</v>
      </c>
      <c r="K41" s="50">
        <f t="shared" si="2"/>
        <v>46.870451237263467</v>
      </c>
      <c r="L41" s="50">
        <f>VLOOKUP($A41,'Data shares'!$C:$FB,118)</f>
        <v>0.76</v>
      </c>
      <c r="M41" s="50">
        <f>VLOOKUP($A41,'Data shares'!$C:$FB,119)</f>
        <v>0.71</v>
      </c>
      <c r="N41" s="50">
        <f>VLOOKUP($A41,'Data shares'!$C:$FB,121)*100</f>
        <v>7.04</v>
      </c>
      <c r="O41" s="50">
        <f>VLOOKUP($A41,'Data shares'!$C:$FB,124)</f>
        <v>0.63</v>
      </c>
      <c r="P41" s="50">
        <f>VLOOKUP($A41,'Data shares'!$C:$FB,125)</f>
        <v>0.33</v>
      </c>
      <c r="Q41" s="50">
        <f>VLOOKUP($A41,'Data shares'!$C:$FB,127)*100</f>
        <v>90.91</v>
      </c>
    </row>
    <row r="42" spans="1:17" x14ac:dyDescent="0.25">
      <c r="A42" s="97" t="str">
        <f>'Data Vlaue (Cr)'!C37</f>
        <v>BOSCHLTD</v>
      </c>
      <c r="B42" s="140">
        <f>VLOOKUP($A42,'Data shares'!$C:$FB,7)</f>
        <v>37380</v>
      </c>
      <c r="C42" s="140">
        <f>VLOOKUP($A42,'Data shares'!$C:$FB,3)</f>
        <v>37350</v>
      </c>
      <c r="D42" s="140">
        <f>VLOOKUP($A42,'Data shares'!$C:$FB,4)</f>
        <v>37965</v>
      </c>
      <c r="E42" s="50">
        <f t="shared" si="0"/>
        <v>-1.6199130778348478</v>
      </c>
      <c r="F42" s="49">
        <f>VLOOKUP($A42,'Data shares'!$C:$FB,98)</f>
        <v>707125</v>
      </c>
      <c r="G42" s="49">
        <f>VLOOKUP($A42,'Data shares'!$C:$FB,99)</f>
        <v>744400</v>
      </c>
      <c r="H42" s="50">
        <f t="shared" si="1"/>
        <v>-5.0073885008060186</v>
      </c>
      <c r="I42" s="49">
        <f>VLOOKUP($A42,'Data shares'!$C:$FB,66)</f>
        <v>1819900</v>
      </c>
      <c r="J42" s="49">
        <f>VLOOKUP($A42,'Data shares'!$C:$FB,67)</f>
        <v>1396175</v>
      </c>
      <c r="K42" s="50">
        <f t="shared" si="2"/>
        <v>23.28287268531238</v>
      </c>
      <c r="L42" s="50">
        <f>VLOOKUP($A42,'Data shares'!$C:$FB,118)</f>
        <v>1</v>
      </c>
      <c r="M42" s="50">
        <f>VLOOKUP($A42,'Data shares'!$C:$FB,119)</f>
        <v>0.93</v>
      </c>
      <c r="N42" s="50">
        <f>VLOOKUP($A42,'Data shares'!$C:$FB,121)*100</f>
        <v>7.53</v>
      </c>
      <c r="O42" s="50">
        <f>VLOOKUP($A42,'Data shares'!$C:$FB,124)</f>
        <v>6.58</v>
      </c>
      <c r="P42" s="50">
        <f>VLOOKUP($A42,'Data shares'!$C:$FB,125)</f>
        <v>5.73</v>
      </c>
      <c r="Q42" s="50">
        <f>VLOOKUP($A42,'Data shares'!$C:$FB,127)*100</f>
        <v>14.829999999999998</v>
      </c>
    </row>
    <row r="43" spans="1:17" x14ac:dyDescent="0.25">
      <c r="A43" s="97" t="str">
        <f>'Data Vlaue (Cr)'!C38</f>
        <v>BPCL</v>
      </c>
      <c r="B43" s="140">
        <f>VLOOKUP($A43,'Data shares'!$C:$FB,7)</f>
        <v>309.8</v>
      </c>
      <c r="C43" s="140">
        <f>VLOOKUP($A43,'Data shares'!$C:$FB,3)</f>
        <v>310.5</v>
      </c>
      <c r="D43" s="140">
        <f>VLOOKUP($A43,'Data shares'!$C:$FB,4)</f>
        <v>314.5</v>
      </c>
      <c r="E43" s="50">
        <f t="shared" si="0"/>
        <v>-1.2718600953895072</v>
      </c>
      <c r="F43" s="49">
        <f>VLOOKUP($A43,'Data shares'!$C:$FB,98)</f>
        <v>107979175</v>
      </c>
      <c r="G43" s="49">
        <f>VLOOKUP($A43,'Data shares'!$C:$FB,99)</f>
        <v>107929800</v>
      </c>
      <c r="H43" s="50">
        <f t="shared" si="1"/>
        <v>4.5747328356024006E-2</v>
      </c>
      <c r="I43" s="49">
        <f>VLOOKUP($A43,'Data shares'!$C:$FB,66)</f>
        <v>70468000</v>
      </c>
      <c r="J43" s="49">
        <f>VLOOKUP($A43,'Data shares'!$C:$FB,67)</f>
        <v>50868100</v>
      </c>
      <c r="K43" s="50">
        <f t="shared" si="2"/>
        <v>27.81390134529148</v>
      </c>
      <c r="L43" s="50">
        <f>VLOOKUP($A43,'Data shares'!$C:$FB,118)</f>
        <v>0.74</v>
      </c>
      <c r="M43" s="50">
        <f>VLOOKUP($A43,'Data shares'!$C:$FB,119)</f>
        <v>0.78</v>
      </c>
      <c r="N43" s="50">
        <f>VLOOKUP($A43,'Data shares'!$C:$FB,121)*100</f>
        <v>-5.13</v>
      </c>
      <c r="O43" s="50">
        <f>VLOOKUP($A43,'Data shares'!$C:$FB,124)</f>
        <v>0.85</v>
      </c>
      <c r="P43" s="50">
        <f>VLOOKUP($A43,'Data shares'!$C:$FB,125)</f>
        <v>0.53</v>
      </c>
      <c r="Q43" s="50">
        <f>VLOOKUP($A43,'Data shares'!$C:$FB,127)*100</f>
        <v>60.38</v>
      </c>
    </row>
    <row r="44" spans="1:17" x14ac:dyDescent="0.25">
      <c r="A44" s="97" t="str">
        <f>'Data Vlaue (Cr)'!C39</f>
        <v>BRITANNIA</v>
      </c>
      <c r="B44" s="140">
        <f>VLOOKUP($A44,'Data shares'!$C:$FB,7)</f>
        <v>5671.5</v>
      </c>
      <c r="C44" s="140">
        <f>VLOOKUP($A44,'Data shares'!$C:$FB,3)</f>
        <v>5676</v>
      </c>
      <c r="D44" s="140">
        <f>VLOOKUP($A44,'Data shares'!$C:$FB,4)</f>
        <v>5737</v>
      </c>
      <c r="E44" s="50">
        <f t="shared" si="0"/>
        <v>-1.0632734878856545</v>
      </c>
      <c r="F44" s="49">
        <f>VLOOKUP($A44,'Data shares'!$C:$FB,98)</f>
        <v>4713500</v>
      </c>
      <c r="G44" s="49">
        <f>VLOOKUP($A44,'Data shares'!$C:$FB,99)</f>
        <v>4755625</v>
      </c>
      <c r="H44" s="50">
        <f t="shared" si="1"/>
        <v>-0.88579313970298335</v>
      </c>
      <c r="I44" s="49">
        <f>VLOOKUP($A44,'Data shares'!$C:$FB,66)</f>
        <v>4593875</v>
      </c>
      <c r="J44" s="49">
        <f>VLOOKUP($A44,'Data shares'!$C:$FB,67)</f>
        <v>7204250</v>
      </c>
      <c r="K44" s="50">
        <f t="shared" si="2"/>
        <v>-56.822943593371612</v>
      </c>
      <c r="L44" s="50">
        <f>VLOOKUP($A44,'Data shares'!$C:$FB,118)</f>
        <v>0.74</v>
      </c>
      <c r="M44" s="50">
        <f>VLOOKUP($A44,'Data shares'!$C:$FB,119)</f>
        <v>0.7</v>
      </c>
      <c r="N44" s="50">
        <f>VLOOKUP($A44,'Data shares'!$C:$FB,121)*100</f>
        <v>5.71</v>
      </c>
      <c r="O44" s="50">
        <f>VLOOKUP($A44,'Data shares'!$C:$FB,124)</f>
        <v>0.42</v>
      </c>
      <c r="P44" s="50">
        <f>VLOOKUP($A44,'Data shares'!$C:$FB,125)</f>
        <v>0.33</v>
      </c>
      <c r="Q44" s="50">
        <f>VLOOKUP($A44,'Data shares'!$C:$FB,127)*100</f>
        <v>27.27</v>
      </c>
    </row>
    <row r="45" spans="1:17" x14ac:dyDescent="0.25">
      <c r="A45" s="97" t="str">
        <f>'Data Vlaue (Cr)'!C40</f>
        <v>BSE</v>
      </c>
      <c r="B45" s="140">
        <f>VLOOKUP($A45,'Data shares'!$C:$FB,7)</f>
        <v>3463</v>
      </c>
      <c r="C45" s="140">
        <f>VLOOKUP($A45,'Data shares'!$C:$FB,3)</f>
        <v>3471.5</v>
      </c>
      <c r="D45" s="140">
        <f>VLOOKUP($A45,'Data shares'!$C:$FB,4)</f>
        <v>3505.6</v>
      </c>
      <c r="E45" s="50">
        <f t="shared" si="0"/>
        <v>-0.97272934732998362</v>
      </c>
      <c r="F45" s="49">
        <f>VLOOKUP($A45,'Data shares'!$C:$FB,98)</f>
        <v>25542750</v>
      </c>
      <c r="G45" s="49">
        <f>VLOOKUP($A45,'Data shares'!$C:$FB,99)</f>
        <v>26313375</v>
      </c>
      <c r="H45" s="50">
        <f t="shared" si="1"/>
        <v>-2.9286437030597559</v>
      </c>
      <c r="I45" s="49">
        <f>VLOOKUP($A45,'Data shares'!$C:$FB,66)</f>
        <v>26989500</v>
      </c>
      <c r="J45" s="49">
        <f>VLOOKUP($A45,'Data shares'!$C:$FB,67)</f>
        <v>21563250</v>
      </c>
      <c r="K45" s="50">
        <f t="shared" si="2"/>
        <v>20.10504084921914</v>
      </c>
      <c r="L45" s="50">
        <f>VLOOKUP($A45,'Data shares'!$C:$FB,118)</f>
        <v>1.1000000000000001</v>
      </c>
      <c r="M45" s="50">
        <f>VLOOKUP($A45,'Data shares'!$C:$FB,119)</f>
        <v>1.1399999999999999</v>
      </c>
      <c r="N45" s="50">
        <f>VLOOKUP($A45,'Data shares'!$C:$FB,121)*100</f>
        <v>-3.51</v>
      </c>
      <c r="O45" s="50">
        <f>VLOOKUP($A45,'Data shares'!$C:$FB,124)</f>
        <v>0.97</v>
      </c>
      <c r="P45" s="50">
        <f>VLOOKUP($A45,'Data shares'!$C:$FB,125)</f>
        <v>1.08</v>
      </c>
      <c r="Q45" s="50">
        <f>VLOOKUP($A45,'Data shares'!$C:$FB,127)*100</f>
        <v>-10.190000000000001</v>
      </c>
    </row>
    <row r="46" spans="1:17" x14ac:dyDescent="0.25">
      <c r="A46" s="97" t="str">
        <f>'Data Vlaue (Cr)'!C41</f>
        <v>CAMS</v>
      </c>
      <c r="B46" s="140">
        <f>VLOOKUP($A46,'Data shares'!$C:$FB,7)</f>
        <v>770.4</v>
      </c>
      <c r="C46" s="140">
        <f>VLOOKUP($A46,'Data shares'!$C:$FB,3)</f>
        <v>762.55</v>
      </c>
      <c r="D46" s="140">
        <f>VLOOKUP($A46,'Data shares'!$C:$FB,4)</f>
        <v>757.65</v>
      </c>
      <c r="E46" s="50">
        <f t="shared" si="0"/>
        <v>0.64673661981125552</v>
      </c>
      <c r="F46" s="49">
        <f>VLOOKUP($A46,'Data shares'!$C:$FB,98)</f>
        <v>14578500</v>
      </c>
      <c r="G46" s="49">
        <f>VLOOKUP($A46,'Data shares'!$C:$FB,99)</f>
        <v>13869750</v>
      </c>
      <c r="H46" s="50">
        <f t="shared" si="1"/>
        <v>5.1100416373763045</v>
      </c>
      <c r="I46" s="49">
        <f>VLOOKUP($A46,'Data shares'!$C:$FB,66)</f>
        <v>19564500</v>
      </c>
      <c r="J46" s="49">
        <f>VLOOKUP($A46,'Data shares'!$C:$FB,67)</f>
        <v>4685250</v>
      </c>
      <c r="K46" s="50">
        <f t="shared" si="2"/>
        <v>76.052288583914745</v>
      </c>
      <c r="L46" s="50">
        <f>VLOOKUP($A46,'Data shares'!$C:$FB,118)</f>
        <v>0.79</v>
      </c>
      <c r="M46" s="50">
        <f>VLOOKUP($A46,'Data shares'!$C:$FB,119)</f>
        <v>0.79</v>
      </c>
      <c r="N46" s="50">
        <f>VLOOKUP($A46,'Data shares'!$C:$FB,121)*100</f>
        <v>0</v>
      </c>
      <c r="O46" s="50">
        <f>VLOOKUP($A46,'Data shares'!$C:$FB,124)</f>
        <v>0.34</v>
      </c>
      <c r="P46" s="50">
        <f>VLOOKUP($A46,'Data shares'!$C:$FB,125)</f>
        <v>0.49</v>
      </c>
      <c r="Q46" s="50">
        <f>VLOOKUP($A46,'Data shares'!$C:$FB,127)*100</f>
        <v>-30.61</v>
      </c>
    </row>
    <row r="47" spans="1:17" x14ac:dyDescent="0.25">
      <c r="A47" s="97" t="str">
        <f>'Data Vlaue (Cr)'!C42</f>
        <v>CANBK</v>
      </c>
      <c r="B47" s="140">
        <f>VLOOKUP($A47,'Data shares'!$C:$FB,7)</f>
        <v>140.87</v>
      </c>
      <c r="C47" s="140">
        <f>VLOOKUP($A47,'Data shares'!$C:$FB,3)</f>
        <v>140.93</v>
      </c>
      <c r="D47" s="140">
        <f>VLOOKUP($A47,'Data shares'!$C:$FB,4)</f>
        <v>145.38999999999999</v>
      </c>
      <c r="E47" s="50">
        <f t="shared" si="0"/>
        <v>-3.0676112524932799</v>
      </c>
      <c r="F47" s="49">
        <f>VLOOKUP($A47,'Data shares'!$C:$FB,98)</f>
        <v>376913250</v>
      </c>
      <c r="G47" s="49">
        <f>VLOOKUP($A47,'Data shares'!$C:$FB,99)</f>
        <v>368118000</v>
      </c>
      <c r="H47" s="50">
        <f t="shared" si="1"/>
        <v>2.3892474695613908</v>
      </c>
      <c r="I47" s="49">
        <f>VLOOKUP($A47,'Data shares'!$C:$FB,66)</f>
        <v>394065000</v>
      </c>
      <c r="J47" s="49">
        <f>VLOOKUP($A47,'Data shares'!$C:$FB,67)</f>
        <v>261353250</v>
      </c>
      <c r="K47" s="50">
        <f t="shared" si="2"/>
        <v>33.67762932511134</v>
      </c>
      <c r="L47" s="50">
        <f>VLOOKUP($A47,'Data shares'!$C:$FB,118)</f>
        <v>0.88</v>
      </c>
      <c r="M47" s="50">
        <f>VLOOKUP($A47,'Data shares'!$C:$FB,119)</f>
        <v>0.94</v>
      </c>
      <c r="N47" s="50">
        <f>VLOOKUP($A47,'Data shares'!$C:$FB,121)*100</f>
        <v>-6.38</v>
      </c>
      <c r="O47" s="50">
        <f>VLOOKUP($A47,'Data shares'!$C:$FB,124)</f>
        <v>0.88</v>
      </c>
      <c r="P47" s="50">
        <f>VLOOKUP($A47,'Data shares'!$C:$FB,125)</f>
        <v>0.88</v>
      </c>
      <c r="Q47" s="50">
        <f>VLOOKUP($A47,'Data shares'!$C:$FB,127)*100</f>
        <v>0</v>
      </c>
    </row>
    <row r="48" spans="1:17" x14ac:dyDescent="0.25">
      <c r="A48" s="97" t="str">
        <f>'Data Vlaue (Cr)'!C43</f>
        <v>CDSL</v>
      </c>
      <c r="B48" s="140">
        <f>VLOOKUP($A48,'Data shares'!$C:$FB,7)</f>
        <v>1323.6</v>
      </c>
      <c r="C48" s="140">
        <f>VLOOKUP($A48,'Data shares'!$C:$FB,3)</f>
        <v>1321.6</v>
      </c>
      <c r="D48" s="140">
        <f>VLOOKUP($A48,'Data shares'!$C:$FB,4)</f>
        <v>1319.2</v>
      </c>
      <c r="E48" s="50">
        <f t="shared" si="0"/>
        <v>0.18192844147967432</v>
      </c>
      <c r="F48" s="49">
        <f>VLOOKUP($A48,'Data shares'!$C:$FB,98)</f>
        <v>23892975</v>
      </c>
      <c r="G48" s="49">
        <f>VLOOKUP($A48,'Data shares'!$C:$FB,99)</f>
        <v>25622450</v>
      </c>
      <c r="H48" s="50">
        <f t="shared" si="1"/>
        <v>-6.7498424233435914</v>
      </c>
      <c r="I48" s="49">
        <f>VLOOKUP($A48,'Data shares'!$C:$FB,66)</f>
        <v>21428200</v>
      </c>
      <c r="J48" s="49">
        <f>VLOOKUP($A48,'Data shares'!$C:$FB,67)</f>
        <v>28914675</v>
      </c>
      <c r="K48" s="50">
        <f t="shared" si="2"/>
        <v>-34.93748891647455</v>
      </c>
      <c r="L48" s="50">
        <f>VLOOKUP($A48,'Data shares'!$C:$FB,118)</f>
        <v>0.81</v>
      </c>
      <c r="M48" s="50">
        <f>VLOOKUP($A48,'Data shares'!$C:$FB,119)</f>
        <v>0.8</v>
      </c>
      <c r="N48" s="50">
        <f>VLOOKUP($A48,'Data shares'!$C:$FB,121)*100</f>
        <v>1.25</v>
      </c>
      <c r="O48" s="50">
        <f>VLOOKUP($A48,'Data shares'!$C:$FB,124)</f>
        <v>0.5</v>
      </c>
      <c r="P48" s="50">
        <f>VLOOKUP($A48,'Data shares'!$C:$FB,125)</f>
        <v>0.67</v>
      </c>
      <c r="Q48" s="50">
        <f>VLOOKUP($A48,'Data shares'!$C:$FB,127)*100</f>
        <v>-25.369999999999997</v>
      </c>
    </row>
    <row r="49" spans="1:17" x14ac:dyDescent="0.25">
      <c r="A49" s="97" t="str">
        <f>'Data Vlaue (Cr)'!C44</f>
        <v>CGPOWER</v>
      </c>
      <c r="B49" s="140">
        <f>VLOOKUP($A49,'Data shares'!$C:$FB,7)</f>
        <v>837.8</v>
      </c>
      <c r="C49" s="140">
        <f>VLOOKUP($A49,'Data shares'!$C:$FB,3)</f>
        <v>837</v>
      </c>
      <c r="D49" s="140">
        <f>VLOOKUP($A49,'Data shares'!$C:$FB,4)</f>
        <v>826.65</v>
      </c>
      <c r="E49" s="50">
        <f t="shared" si="0"/>
        <v>1.2520413718018537</v>
      </c>
      <c r="F49" s="49">
        <f>VLOOKUP($A49,'Data shares'!$C:$FB,98)</f>
        <v>31773000</v>
      </c>
      <c r="G49" s="49">
        <f>VLOOKUP($A49,'Data shares'!$C:$FB,99)</f>
        <v>31248550</v>
      </c>
      <c r="H49" s="50">
        <f t="shared" si="1"/>
        <v>1.6783178739493512</v>
      </c>
      <c r="I49" s="49">
        <f>VLOOKUP($A49,'Data shares'!$C:$FB,66)</f>
        <v>45567650</v>
      </c>
      <c r="J49" s="49">
        <f>VLOOKUP($A49,'Data shares'!$C:$FB,67)</f>
        <v>38799950</v>
      </c>
      <c r="K49" s="50">
        <f t="shared" si="2"/>
        <v>14.851983808688839</v>
      </c>
      <c r="L49" s="50">
        <f>VLOOKUP($A49,'Data shares'!$C:$FB,118)</f>
        <v>0.74</v>
      </c>
      <c r="M49" s="50">
        <f>VLOOKUP($A49,'Data shares'!$C:$FB,119)</f>
        <v>0.78</v>
      </c>
      <c r="N49" s="50">
        <f>VLOOKUP($A49,'Data shares'!$C:$FB,121)*100</f>
        <v>-5.13</v>
      </c>
      <c r="O49" s="50">
        <f>VLOOKUP($A49,'Data shares'!$C:$FB,124)</f>
        <v>0.39</v>
      </c>
      <c r="P49" s="50">
        <f>VLOOKUP($A49,'Data shares'!$C:$FB,125)</f>
        <v>0.4</v>
      </c>
      <c r="Q49" s="50">
        <f>VLOOKUP($A49,'Data shares'!$C:$FB,127)*100</f>
        <v>-2.5</v>
      </c>
    </row>
    <row r="50" spans="1:17" x14ac:dyDescent="0.25">
      <c r="A50" s="97" t="str">
        <f>'Data Vlaue (Cr)'!C45</f>
        <v>CHOLAFIN</v>
      </c>
      <c r="B50" s="140">
        <f>VLOOKUP($A50,'Data shares'!$C:$FB,7)</f>
        <v>1543.4</v>
      </c>
      <c r="C50" s="140">
        <f>VLOOKUP($A50,'Data shares'!$C:$FB,3)</f>
        <v>1541.3</v>
      </c>
      <c r="D50" s="140">
        <f>VLOOKUP($A50,'Data shares'!$C:$FB,4)</f>
        <v>1565.9</v>
      </c>
      <c r="E50" s="50">
        <f t="shared" si="0"/>
        <v>-1.5709815441599166</v>
      </c>
      <c r="F50" s="49">
        <f>VLOOKUP($A50,'Data shares'!$C:$FB,98)</f>
        <v>28812500</v>
      </c>
      <c r="G50" s="49">
        <f>VLOOKUP($A50,'Data shares'!$C:$FB,99)</f>
        <v>29204375</v>
      </c>
      <c r="H50" s="50">
        <f t="shared" si="1"/>
        <v>-1.3418366255055965</v>
      </c>
      <c r="I50" s="49">
        <f>VLOOKUP($A50,'Data shares'!$C:$FB,66)</f>
        <v>23923125</v>
      </c>
      <c r="J50" s="49">
        <f>VLOOKUP($A50,'Data shares'!$C:$FB,67)</f>
        <v>13853125</v>
      </c>
      <c r="K50" s="50">
        <f t="shared" si="2"/>
        <v>42.093162996055071</v>
      </c>
      <c r="L50" s="50">
        <f>VLOOKUP($A50,'Data shares'!$C:$FB,118)</f>
        <v>0.71</v>
      </c>
      <c r="M50" s="50">
        <f>VLOOKUP($A50,'Data shares'!$C:$FB,119)</f>
        <v>0.71</v>
      </c>
      <c r="N50" s="50">
        <f>VLOOKUP($A50,'Data shares'!$C:$FB,121)*100</f>
        <v>0</v>
      </c>
      <c r="O50" s="50">
        <f>VLOOKUP($A50,'Data shares'!$C:$FB,124)</f>
        <v>0.56999999999999995</v>
      </c>
      <c r="P50" s="50">
        <f>VLOOKUP($A50,'Data shares'!$C:$FB,125)</f>
        <v>0.49</v>
      </c>
      <c r="Q50" s="50">
        <f>VLOOKUP($A50,'Data shares'!$C:$FB,127)*100</f>
        <v>16.329999999999998</v>
      </c>
    </row>
    <row r="51" spans="1:17" x14ac:dyDescent="0.25">
      <c r="A51" s="97" t="str">
        <f>'Data Vlaue (Cr)'!C46</f>
        <v>CIPLA</v>
      </c>
      <c r="B51" s="140">
        <f>VLOOKUP($A51,'Data shares'!$C:$FB,7)</f>
        <v>1305.9000000000001</v>
      </c>
      <c r="C51" s="140">
        <f>VLOOKUP($A51,'Data shares'!$C:$FB,3)</f>
        <v>1304.7</v>
      </c>
      <c r="D51" s="140">
        <f>VLOOKUP($A51,'Data shares'!$C:$FB,4)</f>
        <v>1238.4000000000001</v>
      </c>
      <c r="E51" s="50">
        <f t="shared" si="0"/>
        <v>5.3536821705426316</v>
      </c>
      <c r="F51" s="49">
        <f>VLOOKUP($A51,'Data shares'!$C:$FB,98)</f>
        <v>25907250</v>
      </c>
      <c r="G51" s="49">
        <f>VLOOKUP($A51,'Data shares'!$C:$FB,99)</f>
        <v>24688125</v>
      </c>
      <c r="H51" s="50">
        <f t="shared" si="1"/>
        <v>4.9381028328396752</v>
      </c>
      <c r="I51" s="49">
        <f>VLOOKUP($A51,'Data shares'!$C:$FB,66)</f>
        <v>82903125</v>
      </c>
      <c r="J51" s="49">
        <f>VLOOKUP($A51,'Data shares'!$C:$FB,67)</f>
        <v>7527375</v>
      </c>
      <c r="K51" s="50">
        <f t="shared" si="2"/>
        <v>90.920275924460029</v>
      </c>
      <c r="L51" s="50">
        <f>VLOOKUP($A51,'Data shares'!$C:$FB,118)</f>
        <v>0.98</v>
      </c>
      <c r="M51" s="50">
        <f>VLOOKUP($A51,'Data shares'!$C:$FB,119)</f>
        <v>0.88</v>
      </c>
      <c r="N51" s="50">
        <f>VLOOKUP($A51,'Data shares'!$C:$FB,121)*100</f>
        <v>11.360000000000001</v>
      </c>
      <c r="O51" s="50">
        <f>VLOOKUP($A51,'Data shares'!$C:$FB,124)</f>
        <v>0.26</v>
      </c>
      <c r="P51" s="50">
        <f>VLOOKUP($A51,'Data shares'!$C:$FB,125)</f>
        <v>0.41</v>
      </c>
      <c r="Q51" s="50">
        <f>VLOOKUP($A51,'Data shares'!$C:$FB,127)*100</f>
        <v>-36.590000000000003</v>
      </c>
    </row>
    <row r="52" spans="1:17" x14ac:dyDescent="0.25">
      <c r="A52" s="97" t="str">
        <f>'Data Vlaue (Cr)'!C47</f>
        <v>COALINDIA</v>
      </c>
      <c r="B52" s="140">
        <f>VLOOKUP($A52,'Data shares'!$C:$FB,7)</f>
        <v>450.65</v>
      </c>
      <c r="C52" s="140">
        <f>VLOOKUP($A52,'Data shares'!$C:$FB,3)</f>
        <v>452.2</v>
      </c>
      <c r="D52" s="140">
        <f>VLOOKUP($A52,'Data shares'!$C:$FB,4)</f>
        <v>445.25</v>
      </c>
      <c r="E52" s="50">
        <f t="shared" si="0"/>
        <v>1.5609208309938212</v>
      </c>
      <c r="F52" s="49">
        <f>VLOOKUP($A52,'Data shares'!$C:$FB,98)</f>
        <v>130376250</v>
      </c>
      <c r="G52" s="49">
        <f>VLOOKUP($A52,'Data shares'!$C:$FB,99)</f>
        <v>142519500</v>
      </c>
      <c r="H52" s="50">
        <f t="shared" si="1"/>
        <v>-8.5204129961163204</v>
      </c>
      <c r="I52" s="49">
        <f>VLOOKUP($A52,'Data shares'!$C:$FB,66)</f>
        <v>158515650</v>
      </c>
      <c r="J52" s="49">
        <f>VLOOKUP($A52,'Data shares'!$C:$FB,67)</f>
        <v>101960100</v>
      </c>
      <c r="K52" s="50">
        <f t="shared" si="2"/>
        <v>35.678212214377567</v>
      </c>
      <c r="L52" s="50">
        <f>VLOOKUP($A52,'Data shares'!$C:$FB,118)</f>
        <v>0.68</v>
      </c>
      <c r="M52" s="50">
        <f>VLOOKUP($A52,'Data shares'!$C:$FB,119)</f>
        <v>0.62</v>
      </c>
      <c r="N52" s="50">
        <f>VLOOKUP($A52,'Data shares'!$C:$FB,121)*100</f>
        <v>9.68</v>
      </c>
      <c r="O52" s="50">
        <f>VLOOKUP($A52,'Data shares'!$C:$FB,124)</f>
        <v>0.57999999999999996</v>
      </c>
      <c r="P52" s="50">
        <f>VLOOKUP($A52,'Data shares'!$C:$FB,125)</f>
        <v>0.55000000000000004</v>
      </c>
      <c r="Q52" s="50">
        <f>VLOOKUP($A52,'Data shares'!$C:$FB,127)*100</f>
        <v>5.45</v>
      </c>
    </row>
    <row r="53" spans="1:17" x14ac:dyDescent="0.25">
      <c r="A53" s="97" t="str">
        <f>'Data Vlaue (Cr)'!C48</f>
        <v>COCHINSHIP</v>
      </c>
      <c r="B53" s="140">
        <f>VLOOKUP($A53,'Data shares'!$C:$FB,7)</f>
        <v>1592.8</v>
      </c>
      <c r="C53" s="140">
        <f>VLOOKUP($A53,'Data shares'!$C:$FB,3)</f>
        <v>1593.5</v>
      </c>
      <c r="D53" s="140">
        <f>VLOOKUP($A53,'Data shares'!$C:$FB,4)</f>
        <v>1584.5</v>
      </c>
      <c r="E53" s="50">
        <f t="shared" si="0"/>
        <v>0.56800252445566424</v>
      </c>
      <c r="F53" s="49">
        <f>VLOOKUP($A53,'Data shares'!$C:$FB,98)</f>
        <v>3881600</v>
      </c>
      <c r="G53" s="49">
        <f>VLOOKUP($A53,'Data shares'!$C:$FB,99)</f>
        <v>3982400</v>
      </c>
      <c r="H53" s="50">
        <f t="shared" si="1"/>
        <v>-2.5311370028123745</v>
      </c>
      <c r="I53" s="49">
        <f>VLOOKUP($A53,'Data shares'!$C:$FB,66)</f>
        <v>6248400</v>
      </c>
      <c r="J53" s="49">
        <f>VLOOKUP($A53,'Data shares'!$C:$FB,67)</f>
        <v>3752800</v>
      </c>
      <c r="K53" s="50">
        <f t="shared" si="2"/>
        <v>39.939824595096347</v>
      </c>
      <c r="L53" s="50">
        <f>VLOOKUP($A53,'Data shares'!$C:$FB,118)</f>
        <v>0.67</v>
      </c>
      <c r="M53" s="50">
        <f>VLOOKUP($A53,'Data shares'!$C:$FB,119)</f>
        <v>0.63</v>
      </c>
      <c r="N53" s="50">
        <f>VLOOKUP($A53,'Data shares'!$C:$FB,121)*100</f>
        <v>6.35</v>
      </c>
      <c r="O53" s="50">
        <f>VLOOKUP($A53,'Data shares'!$C:$FB,124)</f>
        <v>0.28999999999999998</v>
      </c>
      <c r="P53" s="50">
        <f>VLOOKUP($A53,'Data shares'!$C:$FB,125)</f>
        <v>0.28000000000000003</v>
      </c>
      <c r="Q53" s="50">
        <f>VLOOKUP($A53,'Data shares'!$C:$FB,127)*100</f>
        <v>3.5700000000000003</v>
      </c>
    </row>
    <row r="54" spans="1:17" x14ac:dyDescent="0.25">
      <c r="A54" s="97" t="str">
        <f>'Data Vlaue (Cr)'!C49</f>
        <v>COFORGE</v>
      </c>
      <c r="B54" s="140">
        <f>VLOOKUP($A54,'Data shares'!$C:$FB,7)</f>
        <v>1220.5999999999999</v>
      </c>
      <c r="C54" s="140">
        <f>VLOOKUP($A54,'Data shares'!$C:$FB,3)</f>
        <v>1219.5</v>
      </c>
      <c r="D54" s="140">
        <f>VLOOKUP($A54,'Data shares'!$C:$FB,4)</f>
        <v>1240.9000000000001</v>
      </c>
      <c r="E54" s="50">
        <f t="shared" si="0"/>
        <v>-1.7245547586429277</v>
      </c>
      <c r="F54" s="49">
        <f>VLOOKUP($A54,'Data shares'!$C:$FB,98)</f>
        <v>35113875</v>
      </c>
      <c r="G54" s="49">
        <f>VLOOKUP($A54,'Data shares'!$C:$FB,99)</f>
        <v>34827375</v>
      </c>
      <c r="H54" s="50">
        <f t="shared" si="1"/>
        <v>0.8226287510901984</v>
      </c>
      <c r="I54" s="49">
        <f>VLOOKUP($A54,'Data shares'!$C:$FB,66)</f>
        <v>27624375</v>
      </c>
      <c r="J54" s="49">
        <f>VLOOKUP($A54,'Data shares'!$C:$FB,67)</f>
        <v>44265000</v>
      </c>
      <c r="K54" s="50">
        <f t="shared" si="2"/>
        <v>-60.238919432566348</v>
      </c>
      <c r="L54" s="50">
        <f>VLOOKUP($A54,'Data shares'!$C:$FB,118)</f>
        <v>0.54</v>
      </c>
      <c r="M54" s="50">
        <f>VLOOKUP($A54,'Data shares'!$C:$FB,119)</f>
        <v>0.57999999999999996</v>
      </c>
      <c r="N54" s="50">
        <f>VLOOKUP($A54,'Data shares'!$C:$FB,121)*100</f>
        <v>-6.9</v>
      </c>
      <c r="O54" s="50">
        <f>VLOOKUP($A54,'Data shares'!$C:$FB,124)</f>
        <v>0.56000000000000005</v>
      </c>
      <c r="P54" s="50">
        <f>VLOOKUP($A54,'Data shares'!$C:$FB,125)</f>
        <v>0.62</v>
      </c>
      <c r="Q54" s="50">
        <f>VLOOKUP($A54,'Data shares'!$C:$FB,127)*100</f>
        <v>-9.68</v>
      </c>
    </row>
    <row r="55" spans="1:17" x14ac:dyDescent="0.25">
      <c r="A55" s="97" t="str">
        <f>'Data Vlaue (Cr)'!C50</f>
        <v>COLPAL</v>
      </c>
      <c r="B55" s="140">
        <f>VLOOKUP($A55,'Data shares'!$C:$FB,7)</f>
        <v>2150.1999999999998</v>
      </c>
      <c r="C55" s="140">
        <f>VLOOKUP($A55,'Data shares'!$C:$FB,3)</f>
        <v>2148.4</v>
      </c>
      <c r="D55" s="140">
        <f>VLOOKUP($A55,'Data shares'!$C:$FB,4)</f>
        <v>2105.6</v>
      </c>
      <c r="E55" s="50">
        <f t="shared" si="0"/>
        <v>2.0326747720364828</v>
      </c>
      <c r="F55" s="49">
        <f>VLOOKUP($A55,'Data shares'!$C:$FB,98)</f>
        <v>9758025</v>
      </c>
      <c r="G55" s="49">
        <f>VLOOKUP($A55,'Data shares'!$C:$FB,99)</f>
        <v>10028925</v>
      </c>
      <c r="H55" s="50">
        <f t="shared" si="1"/>
        <v>-2.7011868171314473</v>
      </c>
      <c r="I55" s="49">
        <f>VLOOKUP($A55,'Data shares'!$C:$FB,66)</f>
        <v>11639025</v>
      </c>
      <c r="J55" s="49">
        <f>VLOOKUP($A55,'Data shares'!$C:$FB,67)</f>
        <v>6969375</v>
      </c>
      <c r="K55" s="50">
        <f t="shared" si="2"/>
        <v>40.120628660905879</v>
      </c>
      <c r="L55" s="50">
        <f>VLOOKUP($A55,'Data shares'!$C:$FB,118)</f>
        <v>0.73</v>
      </c>
      <c r="M55" s="50">
        <f>VLOOKUP($A55,'Data shares'!$C:$FB,119)</f>
        <v>0.68</v>
      </c>
      <c r="N55" s="50">
        <f>VLOOKUP($A55,'Data shares'!$C:$FB,121)*100</f>
        <v>7.35</v>
      </c>
      <c r="O55" s="50">
        <f>VLOOKUP($A55,'Data shares'!$C:$FB,124)</f>
        <v>0.51</v>
      </c>
      <c r="P55" s="50">
        <f>VLOOKUP($A55,'Data shares'!$C:$FB,125)</f>
        <v>0.43</v>
      </c>
      <c r="Q55" s="50">
        <f>VLOOKUP($A55,'Data shares'!$C:$FB,127)*100</f>
        <v>18.600000000000001</v>
      </c>
    </row>
    <row r="56" spans="1:17" x14ac:dyDescent="0.25">
      <c r="A56" s="97" t="str">
        <f>'Data Vlaue (Cr)'!C51</f>
        <v>CONCOR</v>
      </c>
      <c r="B56" s="140">
        <f>VLOOKUP($A56,'Data shares'!$C:$FB,7)</f>
        <v>505.05</v>
      </c>
      <c r="C56" s="140">
        <f>VLOOKUP($A56,'Data shares'!$C:$FB,3)</f>
        <v>504.3</v>
      </c>
      <c r="D56" s="140">
        <f>VLOOKUP($A56,'Data shares'!$C:$FB,4)</f>
        <v>515.1</v>
      </c>
      <c r="E56" s="50">
        <f t="shared" si="0"/>
        <v>-2.0966802562609224</v>
      </c>
      <c r="F56" s="49">
        <f>VLOOKUP($A56,'Data shares'!$C:$FB,98)</f>
        <v>39211250</v>
      </c>
      <c r="G56" s="49">
        <f>VLOOKUP($A56,'Data shares'!$C:$FB,99)</f>
        <v>39543750</v>
      </c>
      <c r="H56" s="50">
        <f t="shared" si="1"/>
        <v>-0.84084084084084088</v>
      </c>
      <c r="I56" s="49">
        <f>VLOOKUP($A56,'Data shares'!$C:$FB,66)</f>
        <v>23711250</v>
      </c>
      <c r="J56" s="49">
        <f>VLOOKUP($A56,'Data shares'!$C:$FB,67)</f>
        <v>23355000</v>
      </c>
      <c r="K56" s="50">
        <f t="shared" si="2"/>
        <v>1.5024513680215088</v>
      </c>
      <c r="L56" s="50">
        <f>VLOOKUP($A56,'Data shares'!$C:$FB,118)</f>
        <v>0.67</v>
      </c>
      <c r="M56" s="50">
        <f>VLOOKUP($A56,'Data shares'!$C:$FB,119)</f>
        <v>0.64</v>
      </c>
      <c r="N56" s="50">
        <f>VLOOKUP($A56,'Data shares'!$C:$FB,121)*100</f>
        <v>4.6899999999999995</v>
      </c>
      <c r="O56" s="50">
        <f>VLOOKUP($A56,'Data shares'!$C:$FB,124)</f>
        <v>0.35</v>
      </c>
      <c r="P56" s="50">
        <f>VLOOKUP($A56,'Data shares'!$C:$FB,125)</f>
        <v>0.18</v>
      </c>
      <c r="Q56" s="50">
        <f>VLOOKUP($A56,'Data shares'!$C:$FB,127)*100</f>
        <v>94.44</v>
      </c>
    </row>
    <row r="57" spans="1:17" x14ac:dyDescent="0.25">
      <c r="A57" s="97" t="str">
        <f>'Data Vlaue (Cr)'!C52</f>
        <v>CROMPTON</v>
      </c>
      <c r="B57" s="140">
        <f>VLOOKUP($A57,'Data shares'!$C:$FB,7)</f>
        <v>253.39</v>
      </c>
      <c r="C57" s="140">
        <f>VLOOKUP($A57,'Data shares'!$C:$FB,3)</f>
        <v>253.05</v>
      </c>
      <c r="D57" s="140">
        <f>VLOOKUP($A57,'Data shares'!$C:$FB,4)</f>
        <v>260.85000000000002</v>
      </c>
      <c r="E57" s="50">
        <f t="shared" si="0"/>
        <v>-2.9902242668200159</v>
      </c>
      <c r="F57" s="49">
        <f>VLOOKUP($A57,'Data shares'!$C:$FB,98)</f>
        <v>64485000</v>
      </c>
      <c r="G57" s="49">
        <f>VLOOKUP($A57,'Data shares'!$C:$FB,99)</f>
        <v>67905000</v>
      </c>
      <c r="H57" s="50">
        <f t="shared" si="1"/>
        <v>-5.0364479787939027</v>
      </c>
      <c r="I57" s="49">
        <f>VLOOKUP($A57,'Data shares'!$C:$FB,66)</f>
        <v>70016400</v>
      </c>
      <c r="J57" s="49">
        <f>VLOOKUP($A57,'Data shares'!$C:$FB,67)</f>
        <v>20619000</v>
      </c>
      <c r="K57" s="50">
        <f t="shared" si="2"/>
        <v>70.5511851509075</v>
      </c>
      <c r="L57" s="50">
        <f>VLOOKUP($A57,'Data shares'!$C:$FB,118)</f>
        <v>0.59</v>
      </c>
      <c r="M57" s="50">
        <f>VLOOKUP($A57,'Data shares'!$C:$FB,119)</f>
        <v>0.56999999999999995</v>
      </c>
      <c r="N57" s="50">
        <f>VLOOKUP($A57,'Data shares'!$C:$FB,121)*100</f>
        <v>3.51</v>
      </c>
      <c r="O57" s="50">
        <f>VLOOKUP($A57,'Data shares'!$C:$FB,124)</f>
        <v>0.55000000000000004</v>
      </c>
      <c r="P57" s="50">
        <f>VLOOKUP($A57,'Data shares'!$C:$FB,125)</f>
        <v>0.33</v>
      </c>
      <c r="Q57" s="50">
        <f>VLOOKUP($A57,'Data shares'!$C:$FB,127)*100</f>
        <v>66.67</v>
      </c>
    </row>
    <row r="58" spans="1:17" x14ac:dyDescent="0.25">
      <c r="A58" s="97" t="str">
        <f>'Data Vlaue (Cr)'!C53</f>
        <v>CUMMINSIND</v>
      </c>
      <c r="B58" s="140">
        <f>VLOOKUP($A58,'Data shares'!$C:$FB,7)</f>
        <v>5176.8999999999996</v>
      </c>
      <c r="C58" s="140">
        <f>VLOOKUP($A58,'Data shares'!$C:$FB,3)</f>
        <v>5170.2</v>
      </c>
      <c r="D58" s="140">
        <f>VLOOKUP($A58,'Data shares'!$C:$FB,4)</f>
        <v>5219.6000000000004</v>
      </c>
      <c r="E58" s="50">
        <f t="shared" si="0"/>
        <v>-0.9464326768334842</v>
      </c>
      <c r="F58" s="49">
        <f>VLOOKUP($A58,'Data shares'!$C:$FB,98)</f>
        <v>6528000</v>
      </c>
      <c r="G58" s="49">
        <f>VLOOKUP($A58,'Data shares'!$C:$FB,99)</f>
        <v>6642800</v>
      </c>
      <c r="H58" s="50">
        <f t="shared" si="1"/>
        <v>-1.7281869091347022</v>
      </c>
      <c r="I58" s="49">
        <f>VLOOKUP($A58,'Data shares'!$C:$FB,66)</f>
        <v>8505000</v>
      </c>
      <c r="J58" s="49">
        <f>VLOOKUP($A58,'Data shares'!$C:$FB,67)</f>
        <v>9541200</v>
      </c>
      <c r="K58" s="50">
        <f t="shared" si="2"/>
        <v>-12.18342151675485</v>
      </c>
      <c r="L58" s="50">
        <f>VLOOKUP($A58,'Data shares'!$C:$FB,118)</f>
        <v>0.75</v>
      </c>
      <c r="M58" s="50">
        <f>VLOOKUP($A58,'Data shares'!$C:$FB,119)</f>
        <v>0.73</v>
      </c>
      <c r="N58" s="50">
        <f>VLOOKUP($A58,'Data shares'!$C:$FB,121)*100</f>
        <v>2.74</v>
      </c>
      <c r="O58" s="50">
        <f>VLOOKUP($A58,'Data shares'!$C:$FB,124)</f>
        <v>1.23</v>
      </c>
      <c r="P58" s="50">
        <f>VLOOKUP($A58,'Data shares'!$C:$FB,125)</f>
        <v>0.52</v>
      </c>
      <c r="Q58" s="50">
        <f>VLOOKUP($A58,'Data shares'!$C:$FB,127)*100</f>
        <v>136.54</v>
      </c>
    </row>
    <row r="59" spans="1:17" x14ac:dyDescent="0.25">
      <c r="A59" s="97" t="str">
        <f>'Data Vlaue (Cr)'!C54</f>
        <v>DABUR</v>
      </c>
      <c r="B59" s="140">
        <f>VLOOKUP($A59,'Data shares'!$C:$FB,7)</f>
        <v>460</v>
      </c>
      <c r="C59" s="140">
        <f>VLOOKUP($A59,'Data shares'!$C:$FB,3)</f>
        <v>459.5</v>
      </c>
      <c r="D59" s="140">
        <f>VLOOKUP($A59,'Data shares'!$C:$FB,4)</f>
        <v>459.7</v>
      </c>
      <c r="E59" s="50">
        <f t="shared" si="0"/>
        <v>-4.3506634761798703E-2</v>
      </c>
      <c r="F59" s="49">
        <f>VLOOKUP($A59,'Data shares'!$C:$FB,98)</f>
        <v>49072500</v>
      </c>
      <c r="G59" s="49">
        <f>VLOOKUP($A59,'Data shares'!$C:$FB,99)</f>
        <v>48877500</v>
      </c>
      <c r="H59" s="50">
        <f t="shared" si="1"/>
        <v>0.39895657511124749</v>
      </c>
      <c r="I59" s="49">
        <f>VLOOKUP($A59,'Data shares'!$C:$FB,66)</f>
        <v>34312500</v>
      </c>
      <c r="J59" s="49">
        <f>VLOOKUP($A59,'Data shares'!$C:$FB,67)</f>
        <v>42951250</v>
      </c>
      <c r="K59" s="50">
        <f t="shared" si="2"/>
        <v>-25.176684881602913</v>
      </c>
      <c r="L59" s="50">
        <f>VLOOKUP($A59,'Data shares'!$C:$FB,118)</f>
        <v>0.88</v>
      </c>
      <c r="M59" s="50">
        <f>VLOOKUP($A59,'Data shares'!$C:$FB,119)</f>
        <v>0.81</v>
      </c>
      <c r="N59" s="50">
        <f>VLOOKUP($A59,'Data shares'!$C:$FB,121)*100</f>
        <v>8.64</v>
      </c>
      <c r="O59" s="50">
        <f>VLOOKUP($A59,'Data shares'!$C:$FB,124)</f>
        <v>0.43</v>
      </c>
      <c r="P59" s="50">
        <f>VLOOKUP($A59,'Data shares'!$C:$FB,125)</f>
        <v>0.36</v>
      </c>
      <c r="Q59" s="50">
        <f>VLOOKUP($A59,'Data shares'!$C:$FB,127)*100</f>
        <v>19.439999999999998</v>
      </c>
    </row>
    <row r="60" spans="1:17" x14ac:dyDescent="0.25">
      <c r="A60" s="97" t="str">
        <f>'Data Vlaue (Cr)'!C55</f>
        <v>DALBHARAT</v>
      </c>
      <c r="B60" s="140">
        <f>VLOOKUP($A60,'Data shares'!$C:$FB,7)</f>
        <v>1958.8</v>
      </c>
      <c r="C60" s="140">
        <f>VLOOKUP($A60,'Data shares'!$C:$FB,3)</f>
        <v>1955.6</v>
      </c>
      <c r="D60" s="140">
        <f>VLOOKUP($A60,'Data shares'!$C:$FB,4)</f>
        <v>1990.6</v>
      </c>
      <c r="E60" s="50">
        <f t="shared" si="0"/>
        <v>-1.7582638400482267</v>
      </c>
      <c r="F60" s="49">
        <f>VLOOKUP($A60,'Data shares'!$C:$FB,98)</f>
        <v>4526275</v>
      </c>
      <c r="G60" s="49">
        <f>VLOOKUP($A60,'Data shares'!$C:$FB,99)</f>
        <v>4756050</v>
      </c>
      <c r="H60" s="50">
        <f t="shared" si="1"/>
        <v>-4.8312149788164547</v>
      </c>
      <c r="I60" s="49">
        <f>VLOOKUP($A60,'Data shares'!$C:$FB,66)</f>
        <v>4768725</v>
      </c>
      <c r="J60" s="49">
        <f>VLOOKUP($A60,'Data shares'!$C:$FB,67)</f>
        <v>1985750</v>
      </c>
      <c r="K60" s="50">
        <f t="shared" si="2"/>
        <v>58.358890479111295</v>
      </c>
      <c r="L60" s="50">
        <f>VLOOKUP($A60,'Data shares'!$C:$FB,118)</f>
        <v>0.74</v>
      </c>
      <c r="M60" s="50">
        <f>VLOOKUP($A60,'Data shares'!$C:$FB,119)</f>
        <v>0.88</v>
      </c>
      <c r="N60" s="50">
        <f>VLOOKUP($A60,'Data shares'!$C:$FB,121)*100</f>
        <v>-15.909999999999998</v>
      </c>
      <c r="O60" s="50">
        <f>VLOOKUP($A60,'Data shares'!$C:$FB,124)</f>
        <v>0.72</v>
      </c>
      <c r="P60" s="50">
        <f>VLOOKUP($A60,'Data shares'!$C:$FB,125)</f>
        <v>0.47</v>
      </c>
      <c r="Q60" s="50">
        <f>VLOOKUP($A60,'Data shares'!$C:$FB,127)*100</f>
        <v>53.190000000000005</v>
      </c>
    </row>
    <row r="61" spans="1:17" x14ac:dyDescent="0.25">
      <c r="A61" s="97" t="str">
        <f>'Data Vlaue (Cr)'!C56</f>
        <v>DELHIVERY</v>
      </c>
      <c r="B61" s="140">
        <f>VLOOKUP($A61,'Data shares'!$C:$FB,7)</f>
        <v>449.4</v>
      </c>
      <c r="C61" s="140">
        <f>VLOOKUP($A61,'Data shares'!$C:$FB,3)</f>
        <v>450.35</v>
      </c>
      <c r="D61" s="140">
        <f>VLOOKUP($A61,'Data shares'!$C:$FB,4)</f>
        <v>462.55</v>
      </c>
      <c r="E61" s="50">
        <f t="shared" si="0"/>
        <v>-2.6375526970057268</v>
      </c>
      <c r="F61" s="49">
        <f>VLOOKUP($A61,'Data shares'!$C:$FB,98)</f>
        <v>52877225</v>
      </c>
      <c r="G61" s="49">
        <f>VLOOKUP($A61,'Data shares'!$C:$FB,99)</f>
        <v>54248800</v>
      </c>
      <c r="H61" s="50">
        <f t="shared" si="1"/>
        <v>-2.5283047735618114</v>
      </c>
      <c r="I61" s="49">
        <f>VLOOKUP($A61,'Data shares'!$C:$FB,66)</f>
        <v>46235150</v>
      </c>
      <c r="J61" s="49">
        <f>VLOOKUP($A61,'Data shares'!$C:$FB,67)</f>
        <v>69533250</v>
      </c>
      <c r="K61" s="50">
        <f t="shared" si="2"/>
        <v>-50.390449690333007</v>
      </c>
      <c r="L61" s="50">
        <f>VLOOKUP($A61,'Data shares'!$C:$FB,118)</f>
        <v>0.4</v>
      </c>
      <c r="M61" s="50">
        <f>VLOOKUP($A61,'Data shares'!$C:$FB,119)</f>
        <v>0.38</v>
      </c>
      <c r="N61" s="50">
        <f>VLOOKUP($A61,'Data shares'!$C:$FB,121)*100</f>
        <v>5.26</v>
      </c>
      <c r="O61" s="50">
        <f>VLOOKUP($A61,'Data shares'!$C:$FB,124)</f>
        <v>0.35</v>
      </c>
      <c r="P61" s="50">
        <f>VLOOKUP($A61,'Data shares'!$C:$FB,125)</f>
        <v>0.56999999999999995</v>
      </c>
      <c r="Q61" s="50">
        <f>VLOOKUP($A61,'Data shares'!$C:$FB,127)*100</f>
        <v>-38.6</v>
      </c>
    </row>
    <row r="62" spans="1:17" x14ac:dyDescent="0.25">
      <c r="A62" s="97" t="str">
        <f>'Data Vlaue (Cr)'!C57</f>
        <v>DIVISLAB</v>
      </c>
      <c r="B62" s="140">
        <f>VLOOKUP($A62,'Data shares'!$C:$FB,7)</f>
        <v>6378.5</v>
      </c>
      <c r="C62" s="140">
        <f>VLOOKUP($A62,'Data shares'!$C:$FB,3)</f>
        <v>6369.5</v>
      </c>
      <c r="D62" s="140">
        <f>VLOOKUP($A62,'Data shares'!$C:$FB,4)</f>
        <v>6286.5</v>
      </c>
      <c r="E62" s="50">
        <f t="shared" si="0"/>
        <v>1.3202895092658873</v>
      </c>
      <c r="F62" s="49">
        <f>VLOOKUP($A62,'Data shares'!$C:$FB,98)</f>
        <v>4403200</v>
      </c>
      <c r="G62" s="49">
        <f>VLOOKUP($A62,'Data shares'!$C:$FB,99)</f>
        <v>4379900</v>
      </c>
      <c r="H62" s="50">
        <f t="shared" si="1"/>
        <v>0.53197561588164111</v>
      </c>
      <c r="I62" s="49">
        <f>VLOOKUP($A62,'Data shares'!$C:$FB,66)</f>
        <v>7655700</v>
      </c>
      <c r="J62" s="49">
        <f>VLOOKUP($A62,'Data shares'!$C:$FB,67)</f>
        <v>2385300</v>
      </c>
      <c r="K62" s="50">
        <f t="shared" si="2"/>
        <v>68.842822994631447</v>
      </c>
      <c r="L62" s="50">
        <f>VLOOKUP($A62,'Data shares'!$C:$FB,118)</f>
        <v>1.07</v>
      </c>
      <c r="M62" s="50">
        <f>VLOOKUP($A62,'Data shares'!$C:$FB,119)</f>
        <v>1.1000000000000001</v>
      </c>
      <c r="N62" s="50">
        <f>VLOOKUP($A62,'Data shares'!$C:$FB,121)*100</f>
        <v>-2.73</v>
      </c>
      <c r="O62" s="50">
        <f>VLOOKUP($A62,'Data shares'!$C:$FB,124)</f>
        <v>0.25</v>
      </c>
      <c r="P62" s="50">
        <f>VLOOKUP($A62,'Data shares'!$C:$FB,125)</f>
        <v>0.52</v>
      </c>
      <c r="Q62" s="50">
        <f>VLOOKUP($A62,'Data shares'!$C:$FB,127)*100</f>
        <v>-51.92</v>
      </c>
    </row>
    <row r="63" spans="1:17" x14ac:dyDescent="0.25">
      <c r="A63" s="97" t="str">
        <f>'Data Vlaue (Cr)'!C58</f>
        <v>DIXON</v>
      </c>
      <c r="B63" s="140">
        <f>VLOOKUP($A63,'Data shares'!$C:$FB,7)</f>
        <v>10866.5</v>
      </c>
      <c r="C63" s="140">
        <f>VLOOKUP($A63,'Data shares'!$C:$FB,3)</f>
        <v>10827.5</v>
      </c>
      <c r="D63" s="140">
        <f>VLOOKUP($A63,'Data shares'!$C:$FB,4)</f>
        <v>11279</v>
      </c>
      <c r="E63" s="50">
        <f t="shared" si="0"/>
        <v>-4.0030144516357833</v>
      </c>
      <c r="F63" s="49">
        <f>VLOOKUP($A63,'Data shares'!$C:$FB,98)</f>
        <v>6584700</v>
      </c>
      <c r="G63" s="49">
        <f>VLOOKUP($A63,'Data shares'!$C:$FB,99)</f>
        <v>6584650</v>
      </c>
      <c r="H63" s="50">
        <f t="shared" si="1"/>
        <v>7.5934180252557092E-4</v>
      </c>
      <c r="I63" s="49">
        <f>VLOOKUP($A63,'Data shares'!$C:$FB,66)</f>
        <v>9278300</v>
      </c>
      <c r="J63" s="49">
        <f>VLOOKUP($A63,'Data shares'!$C:$FB,67)</f>
        <v>4445700</v>
      </c>
      <c r="K63" s="50">
        <f t="shared" si="2"/>
        <v>52.084972462627853</v>
      </c>
      <c r="L63" s="50">
        <f>VLOOKUP($A63,'Data shares'!$C:$FB,118)</f>
        <v>0.7</v>
      </c>
      <c r="M63" s="50">
        <f>VLOOKUP($A63,'Data shares'!$C:$FB,119)</f>
        <v>0.75</v>
      </c>
      <c r="N63" s="50">
        <f>VLOOKUP($A63,'Data shares'!$C:$FB,121)*100</f>
        <v>-6.67</v>
      </c>
      <c r="O63" s="50">
        <f>VLOOKUP($A63,'Data shares'!$C:$FB,124)</f>
        <v>0.65</v>
      </c>
      <c r="P63" s="50">
        <f>VLOOKUP($A63,'Data shares'!$C:$FB,125)</f>
        <v>0.6</v>
      </c>
      <c r="Q63" s="50">
        <f>VLOOKUP($A63,'Data shares'!$C:$FB,127)*100</f>
        <v>8.33</v>
      </c>
    </row>
    <row r="64" spans="1:17" x14ac:dyDescent="0.25">
      <c r="A64" s="97" t="str">
        <f>'Data Vlaue (Cr)'!C59</f>
        <v>DLF</v>
      </c>
      <c r="B64" s="140">
        <f>VLOOKUP($A64,'Data shares'!$C:$FB,7)</f>
        <v>592.79999999999995</v>
      </c>
      <c r="C64" s="140">
        <f>VLOOKUP($A64,'Data shares'!$C:$FB,3)</f>
        <v>591.9</v>
      </c>
      <c r="D64" s="140">
        <f>VLOOKUP($A64,'Data shares'!$C:$FB,4)</f>
        <v>610.1</v>
      </c>
      <c r="E64" s="50">
        <f t="shared" si="0"/>
        <v>-2.9831175217177588</v>
      </c>
      <c r="F64" s="49">
        <f>VLOOKUP($A64,'Data shares'!$C:$FB,98)</f>
        <v>72916800</v>
      </c>
      <c r="G64" s="49">
        <f>VLOOKUP($A64,'Data shares'!$C:$FB,99)</f>
        <v>72358275</v>
      </c>
      <c r="H64" s="50">
        <f t="shared" si="1"/>
        <v>0.77188821872826574</v>
      </c>
      <c r="I64" s="49">
        <f>VLOOKUP($A64,'Data shares'!$C:$FB,66)</f>
        <v>45003750</v>
      </c>
      <c r="J64" s="49">
        <f>VLOOKUP($A64,'Data shares'!$C:$FB,67)</f>
        <v>34370325</v>
      </c>
      <c r="K64" s="50">
        <f t="shared" si="2"/>
        <v>23.627864344637945</v>
      </c>
      <c r="L64" s="50">
        <f>VLOOKUP($A64,'Data shares'!$C:$FB,118)</f>
        <v>0.96</v>
      </c>
      <c r="M64" s="50">
        <f>VLOOKUP($A64,'Data shares'!$C:$FB,119)</f>
        <v>1.04</v>
      </c>
      <c r="N64" s="50">
        <f>VLOOKUP($A64,'Data shares'!$C:$FB,121)*100</f>
        <v>-7.6899999999999995</v>
      </c>
      <c r="O64" s="50">
        <f>VLOOKUP($A64,'Data shares'!$C:$FB,124)</f>
        <v>0.71</v>
      </c>
      <c r="P64" s="50">
        <f>VLOOKUP($A64,'Data shares'!$C:$FB,125)</f>
        <v>0.55000000000000004</v>
      </c>
      <c r="Q64" s="50">
        <f>VLOOKUP($A64,'Data shares'!$C:$FB,127)*100</f>
        <v>29.09</v>
      </c>
    </row>
    <row r="65" spans="1:17" x14ac:dyDescent="0.25">
      <c r="A65" s="97" t="str">
        <f>'Data Vlaue (Cr)'!C60</f>
        <v>DMART</v>
      </c>
      <c r="B65" s="140">
        <f>VLOOKUP($A65,'Data shares'!$C:$FB,7)</f>
        <v>4521.2</v>
      </c>
      <c r="C65" s="140">
        <f>VLOOKUP($A65,'Data shares'!$C:$FB,3)</f>
        <v>4529.3</v>
      </c>
      <c r="D65" s="140">
        <f>VLOOKUP($A65,'Data shares'!$C:$FB,4)</f>
        <v>4592.6000000000004</v>
      </c>
      <c r="E65" s="50">
        <f t="shared" si="0"/>
        <v>-1.3783042285415708</v>
      </c>
      <c r="F65" s="49">
        <f>VLOOKUP($A65,'Data shares'!$C:$FB,98)</f>
        <v>7160850</v>
      </c>
      <c r="G65" s="49">
        <f>VLOOKUP($A65,'Data shares'!$C:$FB,99)</f>
        <v>7633050</v>
      </c>
      <c r="H65" s="50">
        <f t="shared" si="1"/>
        <v>-6.1862558217226402</v>
      </c>
      <c r="I65" s="49">
        <f>VLOOKUP($A65,'Data shares'!$C:$FB,66)</f>
        <v>7741050</v>
      </c>
      <c r="J65" s="49">
        <f>VLOOKUP($A65,'Data shares'!$C:$FB,67)</f>
        <v>5905650</v>
      </c>
      <c r="K65" s="50">
        <f t="shared" si="2"/>
        <v>23.709961826883948</v>
      </c>
      <c r="L65" s="50">
        <f>VLOOKUP($A65,'Data shares'!$C:$FB,118)</f>
        <v>0.86</v>
      </c>
      <c r="M65" s="50">
        <f>VLOOKUP($A65,'Data shares'!$C:$FB,119)</f>
        <v>0.89</v>
      </c>
      <c r="N65" s="50">
        <f>VLOOKUP($A65,'Data shares'!$C:$FB,121)*100</f>
        <v>-3.37</v>
      </c>
      <c r="O65" s="50">
        <f>VLOOKUP($A65,'Data shares'!$C:$FB,124)</f>
        <v>0.77</v>
      </c>
      <c r="P65" s="50">
        <f>VLOOKUP($A65,'Data shares'!$C:$FB,125)</f>
        <v>0.78</v>
      </c>
      <c r="Q65" s="50">
        <f>VLOOKUP($A65,'Data shares'!$C:$FB,127)*100</f>
        <v>-1.28</v>
      </c>
    </row>
    <row r="66" spans="1:17" x14ac:dyDescent="0.25">
      <c r="A66" s="97" t="str">
        <f>'Data Vlaue (Cr)'!C61</f>
        <v>DRREDDY</v>
      </c>
      <c r="B66" s="140">
        <f>VLOOKUP($A66,'Data shares'!$C:$FB,7)</f>
        <v>1331</v>
      </c>
      <c r="C66" s="140">
        <f>VLOOKUP($A66,'Data shares'!$C:$FB,3)</f>
        <v>1323.8</v>
      </c>
      <c r="D66" s="140">
        <f>VLOOKUP($A66,'Data shares'!$C:$FB,4)</f>
        <v>1210.9000000000001</v>
      </c>
      <c r="E66" s="50">
        <f t="shared" si="0"/>
        <v>9.3236435708976675</v>
      </c>
      <c r="F66" s="49">
        <f>VLOOKUP($A66,'Data shares'!$C:$FB,98)</f>
        <v>37967500</v>
      </c>
      <c r="G66" s="49">
        <f>VLOOKUP($A66,'Data shares'!$C:$FB,99)</f>
        <v>28318125</v>
      </c>
      <c r="H66" s="50">
        <f t="shared" si="1"/>
        <v>34.074907854951554</v>
      </c>
      <c r="I66" s="49">
        <f>VLOOKUP($A66,'Data shares'!$C:$FB,66)</f>
        <v>300425000</v>
      </c>
      <c r="J66" s="49">
        <f>VLOOKUP($A66,'Data shares'!$C:$FB,67)</f>
        <v>18795625</v>
      </c>
      <c r="K66" s="50">
        <f t="shared" si="2"/>
        <v>93.743654822335017</v>
      </c>
      <c r="L66" s="50">
        <f>VLOOKUP($A66,'Data shares'!$C:$FB,118)</f>
        <v>0.66</v>
      </c>
      <c r="M66" s="50">
        <f>VLOOKUP($A66,'Data shares'!$C:$FB,119)</f>
        <v>0.69</v>
      </c>
      <c r="N66" s="50">
        <f>VLOOKUP($A66,'Data shares'!$C:$FB,121)*100</f>
        <v>-4.3499999999999996</v>
      </c>
      <c r="O66" s="50">
        <f>VLOOKUP($A66,'Data shares'!$C:$FB,124)</f>
        <v>0.4</v>
      </c>
      <c r="P66" s="50">
        <f>VLOOKUP($A66,'Data shares'!$C:$FB,125)</f>
        <v>0.45</v>
      </c>
      <c r="Q66" s="50">
        <f>VLOOKUP($A66,'Data shares'!$C:$FB,127)*100</f>
        <v>-11.110000000000001</v>
      </c>
    </row>
    <row r="67" spans="1:17" x14ac:dyDescent="0.25">
      <c r="A67" s="97" t="str">
        <f>'Data Vlaue (Cr)'!C62</f>
        <v>EICHERMOT</v>
      </c>
      <c r="B67" s="140">
        <f>VLOOKUP($A67,'Data shares'!$C:$FB,7)</f>
        <v>7092.5</v>
      </c>
      <c r="C67" s="140">
        <f>VLOOKUP($A67,'Data shares'!$C:$FB,3)</f>
        <v>7086</v>
      </c>
      <c r="D67" s="140">
        <f>VLOOKUP($A67,'Data shares'!$C:$FB,4)</f>
        <v>7220.5</v>
      </c>
      <c r="E67" s="50">
        <f t="shared" si="0"/>
        <v>-1.8627518869884359</v>
      </c>
      <c r="F67" s="49">
        <f>VLOOKUP($A67,'Data shares'!$C:$FB,98)</f>
        <v>7448600</v>
      </c>
      <c r="G67" s="49">
        <f>VLOOKUP($A67,'Data shares'!$C:$FB,99)</f>
        <v>7569800</v>
      </c>
      <c r="H67" s="50">
        <f t="shared" si="1"/>
        <v>-1.6010991043356495</v>
      </c>
      <c r="I67" s="49">
        <f>VLOOKUP($A67,'Data shares'!$C:$FB,66)</f>
        <v>6604800</v>
      </c>
      <c r="J67" s="49">
        <f>VLOOKUP($A67,'Data shares'!$C:$FB,67)</f>
        <v>4186600</v>
      </c>
      <c r="K67" s="50">
        <f t="shared" si="2"/>
        <v>36.612766472868216</v>
      </c>
      <c r="L67" s="50">
        <f>VLOOKUP($A67,'Data shares'!$C:$FB,118)</f>
        <v>0.73</v>
      </c>
      <c r="M67" s="50">
        <f>VLOOKUP($A67,'Data shares'!$C:$FB,119)</f>
        <v>0.76</v>
      </c>
      <c r="N67" s="50">
        <f>VLOOKUP($A67,'Data shares'!$C:$FB,121)*100</f>
        <v>-3.95</v>
      </c>
      <c r="O67" s="50">
        <f>VLOOKUP($A67,'Data shares'!$C:$FB,124)</f>
        <v>0.66</v>
      </c>
      <c r="P67" s="50">
        <f>VLOOKUP($A67,'Data shares'!$C:$FB,125)</f>
        <v>0.54</v>
      </c>
      <c r="Q67" s="50">
        <f>VLOOKUP($A67,'Data shares'!$C:$FB,127)*100</f>
        <v>22.220000000000002</v>
      </c>
    </row>
    <row r="68" spans="1:17" x14ac:dyDescent="0.25">
      <c r="A68" s="97" t="str">
        <f>'Data Vlaue (Cr)'!C63</f>
        <v>ETERNAL</v>
      </c>
      <c r="B68" s="140">
        <f>VLOOKUP($A68,'Data shares'!$C:$FB,7)</f>
        <v>259.92</v>
      </c>
      <c r="C68" s="140">
        <f>VLOOKUP($A68,'Data shares'!$C:$FB,3)</f>
        <v>259.55</v>
      </c>
      <c r="D68" s="140">
        <f>VLOOKUP($A68,'Data shares'!$C:$FB,4)</f>
        <v>262.62</v>
      </c>
      <c r="E68" s="50">
        <f t="shared" si="0"/>
        <v>-1.1689894143629551</v>
      </c>
      <c r="F68" s="49">
        <f>VLOOKUP($A68,'Data shares'!$C:$FB,98)</f>
        <v>296349550</v>
      </c>
      <c r="G68" s="49">
        <f>VLOOKUP($A68,'Data shares'!$C:$FB,99)</f>
        <v>297676025</v>
      </c>
      <c r="H68" s="50">
        <f t="shared" si="1"/>
        <v>-0.44561029058352958</v>
      </c>
      <c r="I68" s="49">
        <f>VLOOKUP($A68,'Data shares'!$C:$FB,66)</f>
        <v>239767025</v>
      </c>
      <c r="J68" s="49">
        <f>VLOOKUP($A68,'Data shares'!$C:$FB,67)</f>
        <v>213092025</v>
      </c>
      <c r="K68" s="50">
        <f t="shared" si="2"/>
        <v>11.125383067166972</v>
      </c>
      <c r="L68" s="50">
        <f>VLOOKUP($A68,'Data shares'!$C:$FB,118)</f>
        <v>0.83</v>
      </c>
      <c r="M68" s="50">
        <f>VLOOKUP($A68,'Data shares'!$C:$FB,119)</f>
        <v>0.83</v>
      </c>
      <c r="N68" s="50">
        <f>VLOOKUP($A68,'Data shares'!$C:$FB,121)*100</f>
        <v>0</v>
      </c>
      <c r="O68" s="50">
        <f>VLOOKUP($A68,'Data shares'!$C:$FB,124)</f>
        <v>0.71</v>
      </c>
      <c r="P68" s="50">
        <f>VLOOKUP($A68,'Data shares'!$C:$FB,125)</f>
        <v>0.64</v>
      </c>
      <c r="Q68" s="50">
        <f>VLOOKUP($A68,'Data shares'!$C:$FB,127)*100</f>
        <v>10.94</v>
      </c>
    </row>
    <row r="69" spans="1:17" x14ac:dyDescent="0.25">
      <c r="A69" s="97" t="str">
        <f>'Data Vlaue (Cr)'!C64</f>
        <v>EXIDEIND</v>
      </c>
      <c r="B69" s="140">
        <f>VLOOKUP($A69,'Data shares'!$C:$FB,7)</f>
        <v>347.25</v>
      </c>
      <c r="C69" s="140">
        <f>VLOOKUP($A69,'Data shares'!$C:$FB,3)</f>
        <v>346.85</v>
      </c>
      <c r="D69" s="140">
        <f>VLOOKUP($A69,'Data shares'!$C:$FB,4)</f>
        <v>354.4</v>
      </c>
      <c r="E69" s="50">
        <f t="shared" si="0"/>
        <v>-2.1303611738148858</v>
      </c>
      <c r="F69" s="49">
        <f>VLOOKUP($A69,'Data shares'!$C:$FB,98)</f>
        <v>66132000</v>
      </c>
      <c r="G69" s="49">
        <f>VLOOKUP($A69,'Data shares'!$C:$FB,99)</f>
        <v>61837200</v>
      </c>
      <c r="H69" s="50">
        <f t="shared" si="1"/>
        <v>6.9453338766955808</v>
      </c>
      <c r="I69" s="49">
        <f>VLOOKUP($A69,'Data shares'!$C:$FB,66)</f>
        <v>74313000</v>
      </c>
      <c r="J69" s="49">
        <f>VLOOKUP($A69,'Data shares'!$C:$FB,67)</f>
        <v>176770800</v>
      </c>
      <c r="K69" s="50">
        <f t="shared" si="2"/>
        <v>-137.87331960760568</v>
      </c>
      <c r="L69" s="50">
        <f>VLOOKUP($A69,'Data shares'!$C:$FB,118)</f>
        <v>0.87</v>
      </c>
      <c r="M69" s="50">
        <f>VLOOKUP($A69,'Data shares'!$C:$FB,119)</f>
        <v>0.95</v>
      </c>
      <c r="N69" s="50">
        <f>VLOOKUP($A69,'Data shares'!$C:$FB,121)*100</f>
        <v>-8.42</v>
      </c>
      <c r="O69" s="50">
        <f>VLOOKUP($A69,'Data shares'!$C:$FB,124)</f>
        <v>0.38</v>
      </c>
      <c r="P69" s="50">
        <f>VLOOKUP($A69,'Data shares'!$C:$FB,125)</f>
        <v>0.32</v>
      </c>
      <c r="Q69" s="50">
        <f>VLOOKUP($A69,'Data shares'!$C:$FB,127)*100</f>
        <v>18.75</v>
      </c>
    </row>
    <row r="70" spans="1:17" x14ac:dyDescent="0.25">
      <c r="A70" s="97" t="str">
        <f>'Data Vlaue (Cr)'!C65</f>
        <v>FEDERALBNK</v>
      </c>
      <c r="B70" s="140">
        <f>VLOOKUP($A70,'Data shares'!$C:$FB,7)</f>
        <v>295.39999999999998</v>
      </c>
      <c r="C70" s="140">
        <f>VLOOKUP($A70,'Data shares'!$C:$FB,3)</f>
        <v>295.60000000000002</v>
      </c>
      <c r="D70" s="140">
        <f>VLOOKUP($A70,'Data shares'!$C:$FB,4)</f>
        <v>296.95</v>
      </c>
      <c r="E70" s="50">
        <f t="shared" si="0"/>
        <v>-0.45462199023403466</v>
      </c>
      <c r="F70" s="49">
        <f>VLOOKUP($A70,'Data shares'!$C:$FB,98)</f>
        <v>151935000</v>
      </c>
      <c r="G70" s="49">
        <f>VLOOKUP($A70,'Data shares'!$C:$FB,99)</f>
        <v>150845000</v>
      </c>
      <c r="H70" s="50">
        <f t="shared" si="1"/>
        <v>0.72259604229507113</v>
      </c>
      <c r="I70" s="49">
        <f>VLOOKUP($A70,'Data shares'!$C:$FB,66)</f>
        <v>96630000</v>
      </c>
      <c r="J70" s="49">
        <f>VLOOKUP($A70,'Data shares'!$C:$FB,67)</f>
        <v>81155000</v>
      </c>
      <c r="K70" s="50">
        <f t="shared" si="2"/>
        <v>16.014695229224881</v>
      </c>
      <c r="L70" s="50">
        <f>VLOOKUP($A70,'Data shares'!$C:$FB,118)</f>
        <v>0.91</v>
      </c>
      <c r="M70" s="50">
        <f>VLOOKUP($A70,'Data shares'!$C:$FB,119)</f>
        <v>0.91</v>
      </c>
      <c r="N70" s="50">
        <f>VLOOKUP($A70,'Data shares'!$C:$FB,121)*100</f>
        <v>0</v>
      </c>
      <c r="O70" s="50">
        <f>VLOOKUP($A70,'Data shares'!$C:$FB,124)</f>
        <v>0.6</v>
      </c>
      <c r="P70" s="50">
        <f>VLOOKUP($A70,'Data shares'!$C:$FB,125)</f>
        <v>0.68</v>
      </c>
      <c r="Q70" s="50">
        <f>VLOOKUP($A70,'Data shares'!$C:$FB,127)*100</f>
        <v>-11.76</v>
      </c>
    </row>
    <row r="71" spans="1:17" x14ac:dyDescent="0.25">
      <c r="A71" s="97" t="str">
        <f>'Data Vlaue (Cr)'!C66</f>
        <v>FINNIFTY</v>
      </c>
      <c r="B71" s="140">
        <f>VLOOKUP($A71,'Data shares'!$C:$FB,7)</f>
        <v>26247.200000000001</v>
      </c>
      <c r="C71" s="140">
        <f>VLOOKUP($A71,'Data shares'!$C:$FB,3)</f>
        <v>26273.9</v>
      </c>
      <c r="D71" s="140">
        <f>VLOOKUP($A71,'Data shares'!$C:$FB,4)</f>
        <v>26644.9</v>
      </c>
      <c r="E71" s="50">
        <f t="shared" si="0"/>
        <v>-1.3923865355096097</v>
      </c>
      <c r="F71" s="49">
        <f>VLOOKUP($A71,'Data shares'!$C:$FB,98)</f>
        <v>1164120</v>
      </c>
      <c r="G71" s="49">
        <f>VLOOKUP($A71,'Data shares'!$C:$FB,99)</f>
        <v>1038840</v>
      </c>
      <c r="H71" s="50">
        <f t="shared" si="1"/>
        <v>12.059604943975973</v>
      </c>
      <c r="I71" s="49">
        <f>VLOOKUP($A71,'Data shares'!$C:$FB,66)</f>
        <v>3310680</v>
      </c>
      <c r="J71" s="49">
        <f>VLOOKUP($A71,'Data shares'!$C:$FB,67)</f>
        <v>2499120</v>
      </c>
      <c r="K71" s="50">
        <f t="shared" si="2"/>
        <v>24.51339301895683</v>
      </c>
      <c r="L71" s="50">
        <f>VLOOKUP($A71,'Data shares'!$C:$FB,118)</f>
        <v>0.89</v>
      </c>
      <c r="M71" s="50">
        <f>VLOOKUP($A71,'Data shares'!$C:$FB,119)</f>
        <v>0.95</v>
      </c>
      <c r="N71" s="50">
        <f>VLOOKUP($A71,'Data shares'!$C:$FB,121)*100</f>
        <v>-6.32</v>
      </c>
      <c r="O71" s="50">
        <f>VLOOKUP($A71,'Data shares'!$C:$FB,124)</f>
        <v>0.78</v>
      </c>
      <c r="P71" s="50">
        <f>VLOOKUP($A71,'Data shares'!$C:$FB,125)</f>
        <v>0.82</v>
      </c>
      <c r="Q71" s="50">
        <f>VLOOKUP($A71,'Data shares'!$C:$FB,127)*100</f>
        <v>-4.88</v>
      </c>
    </row>
    <row r="72" spans="1:17" x14ac:dyDescent="0.25">
      <c r="A72" s="97" t="str">
        <f>'Data Vlaue (Cr)'!C67</f>
        <v>FORCEMOT</v>
      </c>
      <c r="B72" s="140">
        <f>VLOOKUP($A72,'Data shares'!$C:$FB,7)</f>
        <v>20750</v>
      </c>
      <c r="C72" s="140">
        <f>VLOOKUP($A72,'Data shares'!$C:$FB,3)</f>
        <v>20663</v>
      </c>
      <c r="D72" s="140">
        <f>VLOOKUP($A72,'Data shares'!$C:$FB,4)</f>
        <v>21720</v>
      </c>
      <c r="E72" s="50">
        <f t="shared" ref="E72:E135" si="3">(C72-D72)/D72*100</f>
        <v>-4.8664825046040514</v>
      </c>
      <c r="F72" s="49">
        <f>VLOOKUP($A72,'Data shares'!$C:$FB,98)</f>
        <v>313225</v>
      </c>
      <c r="G72" s="49">
        <f>VLOOKUP($A72,'Data shares'!$C:$FB,99)</f>
        <v>274875</v>
      </c>
      <c r="H72" s="50">
        <f t="shared" ref="H72:H135" si="4">(F72-G72)/G72*100</f>
        <v>13.951796271032288</v>
      </c>
      <c r="I72" s="49">
        <f>VLOOKUP($A72,'Data shares'!$C:$FB,66)</f>
        <v>442675</v>
      </c>
      <c r="J72" s="49">
        <f>VLOOKUP($A72,'Data shares'!$C:$FB,67)</f>
        <v>174550</v>
      </c>
      <c r="K72" s="50">
        <f t="shared" ref="K72:K135" si="5">(I72-J72)/I72*100</f>
        <v>60.569266391822438</v>
      </c>
      <c r="L72" s="50">
        <f>VLOOKUP($A72,'Data shares'!$C:$FB,118)</f>
        <v>0.31</v>
      </c>
      <c r="M72" s="50">
        <f>VLOOKUP($A72,'Data shares'!$C:$FB,119)</f>
        <v>0.36</v>
      </c>
      <c r="N72" s="50">
        <f>VLOOKUP($A72,'Data shares'!$C:$FB,121)*100</f>
        <v>-13.889999999999999</v>
      </c>
      <c r="O72" s="50">
        <f>VLOOKUP($A72,'Data shares'!$C:$FB,124)</f>
        <v>0.49</v>
      </c>
      <c r="P72" s="50">
        <f>VLOOKUP($A72,'Data shares'!$C:$FB,125)</f>
        <v>0.79</v>
      </c>
      <c r="Q72" s="50">
        <f>VLOOKUP($A72,'Data shares'!$C:$FB,127)*100</f>
        <v>-37.97</v>
      </c>
    </row>
    <row r="73" spans="1:17" x14ac:dyDescent="0.25">
      <c r="A73" s="97" t="str">
        <f>'Data Vlaue (Cr)'!C68</f>
        <v>FORTIS</v>
      </c>
      <c r="B73" s="140">
        <f>VLOOKUP($A73,'Data shares'!$C:$FB,7)</f>
        <v>926.75</v>
      </c>
      <c r="C73" s="140">
        <f>VLOOKUP($A73,'Data shares'!$C:$FB,3)</f>
        <v>925.45</v>
      </c>
      <c r="D73" s="140">
        <f>VLOOKUP($A73,'Data shares'!$C:$FB,4)</f>
        <v>923.7</v>
      </c>
      <c r="E73" s="50">
        <f t="shared" si="3"/>
        <v>0.18945545090397314</v>
      </c>
      <c r="F73" s="49">
        <f>VLOOKUP($A73,'Data shares'!$C:$FB,98)</f>
        <v>15148150</v>
      </c>
      <c r="G73" s="49">
        <f>VLOOKUP($A73,'Data shares'!$C:$FB,99)</f>
        <v>15648800</v>
      </c>
      <c r="H73" s="50">
        <f t="shared" si="4"/>
        <v>-3.1992868462757529</v>
      </c>
      <c r="I73" s="49">
        <f>VLOOKUP($A73,'Data shares'!$C:$FB,66)</f>
        <v>12168275</v>
      </c>
      <c r="J73" s="49">
        <f>VLOOKUP($A73,'Data shares'!$C:$FB,67)</f>
        <v>19088250</v>
      </c>
      <c r="K73" s="50">
        <f t="shared" si="5"/>
        <v>-56.868989236354373</v>
      </c>
      <c r="L73" s="50">
        <f>VLOOKUP($A73,'Data shares'!$C:$FB,118)</f>
        <v>0.78</v>
      </c>
      <c r="M73" s="50">
        <f>VLOOKUP($A73,'Data shares'!$C:$FB,119)</f>
        <v>0.8</v>
      </c>
      <c r="N73" s="50">
        <f>VLOOKUP($A73,'Data shares'!$C:$FB,121)*100</f>
        <v>-2.5</v>
      </c>
      <c r="O73" s="50">
        <f>VLOOKUP($A73,'Data shares'!$C:$FB,124)</f>
        <v>0.39</v>
      </c>
      <c r="P73" s="50">
        <f>VLOOKUP($A73,'Data shares'!$C:$FB,125)</f>
        <v>0.84</v>
      </c>
      <c r="Q73" s="50">
        <f>VLOOKUP($A73,'Data shares'!$C:$FB,127)*100</f>
        <v>-53.569999999999993</v>
      </c>
    </row>
    <row r="74" spans="1:17" x14ac:dyDescent="0.25">
      <c r="A74" s="97" t="str">
        <f>'Data Vlaue (Cr)'!C69</f>
        <v>GAIL</v>
      </c>
      <c r="B74" s="140">
        <f>VLOOKUP($A74,'Data shares'!$C:$FB,7)</f>
        <v>164.96</v>
      </c>
      <c r="C74" s="140">
        <f>VLOOKUP($A74,'Data shares'!$C:$FB,3)</f>
        <v>164.63</v>
      </c>
      <c r="D74" s="140">
        <f>VLOOKUP($A74,'Data shares'!$C:$FB,4)</f>
        <v>165.94</v>
      </c>
      <c r="E74" s="50">
        <f t="shared" si="3"/>
        <v>-0.78944196697601687</v>
      </c>
      <c r="F74" s="49">
        <f>VLOOKUP($A74,'Data shares'!$C:$FB,98)</f>
        <v>143677800</v>
      </c>
      <c r="G74" s="49">
        <f>VLOOKUP($A74,'Data shares'!$C:$FB,99)</f>
        <v>144937800</v>
      </c>
      <c r="H74" s="50">
        <f t="shared" si="4"/>
        <v>-0.86933843345214301</v>
      </c>
      <c r="I74" s="49">
        <f>VLOOKUP($A74,'Data shares'!$C:$FB,66)</f>
        <v>99155700</v>
      </c>
      <c r="J74" s="49">
        <f>VLOOKUP($A74,'Data shares'!$C:$FB,67)</f>
        <v>99543150</v>
      </c>
      <c r="K74" s="50">
        <f t="shared" si="5"/>
        <v>-0.39074909460575641</v>
      </c>
      <c r="L74" s="50">
        <f>VLOOKUP($A74,'Data shares'!$C:$FB,118)</f>
        <v>1.35</v>
      </c>
      <c r="M74" s="50">
        <f>VLOOKUP($A74,'Data shares'!$C:$FB,119)</f>
        <v>1.42</v>
      </c>
      <c r="N74" s="50">
        <f>VLOOKUP($A74,'Data shares'!$C:$FB,121)*100</f>
        <v>-4.93</v>
      </c>
      <c r="O74" s="50">
        <f>VLOOKUP($A74,'Data shares'!$C:$FB,124)</f>
        <v>0.81</v>
      </c>
      <c r="P74" s="50">
        <f>VLOOKUP($A74,'Data shares'!$C:$FB,125)</f>
        <v>0.8</v>
      </c>
      <c r="Q74" s="50">
        <f>VLOOKUP($A74,'Data shares'!$C:$FB,127)*100</f>
        <v>1.25</v>
      </c>
    </row>
    <row r="75" spans="1:17" x14ac:dyDescent="0.25">
      <c r="A75" s="97" t="str">
        <f>'Data Vlaue (Cr)'!C70</f>
        <v>GLENMARK</v>
      </c>
      <c r="B75" s="140">
        <f>VLOOKUP($A75,'Data shares'!$C:$FB,7)</f>
        <v>2335</v>
      </c>
      <c r="C75" s="140">
        <f>VLOOKUP($A75,'Data shares'!$C:$FB,3)</f>
        <v>2336.6</v>
      </c>
      <c r="D75" s="140">
        <f>VLOOKUP($A75,'Data shares'!$C:$FB,4)</f>
        <v>2239</v>
      </c>
      <c r="E75" s="50">
        <f t="shared" si="3"/>
        <v>4.3590888789638189</v>
      </c>
      <c r="F75" s="49">
        <f>VLOOKUP($A75,'Data shares'!$C:$FB,98)</f>
        <v>14722875</v>
      </c>
      <c r="G75" s="49">
        <f>VLOOKUP($A75,'Data shares'!$C:$FB,99)</f>
        <v>13588125</v>
      </c>
      <c r="H75" s="50">
        <f t="shared" si="4"/>
        <v>8.3510418104043058</v>
      </c>
      <c r="I75" s="49">
        <f>VLOOKUP($A75,'Data shares'!$C:$FB,66)</f>
        <v>42397125</v>
      </c>
      <c r="J75" s="49">
        <f>VLOOKUP($A75,'Data shares'!$C:$FB,67)</f>
        <v>5069625</v>
      </c>
      <c r="K75" s="50">
        <f t="shared" si="5"/>
        <v>88.042526468481057</v>
      </c>
      <c r="L75" s="50">
        <f>VLOOKUP($A75,'Data shares'!$C:$FB,118)</f>
        <v>0.73</v>
      </c>
      <c r="M75" s="50">
        <f>VLOOKUP($A75,'Data shares'!$C:$FB,119)</f>
        <v>0.56000000000000005</v>
      </c>
      <c r="N75" s="50">
        <f>VLOOKUP($A75,'Data shares'!$C:$FB,121)*100</f>
        <v>30.36</v>
      </c>
      <c r="O75" s="50">
        <f>VLOOKUP($A75,'Data shares'!$C:$FB,124)</f>
        <v>0.28999999999999998</v>
      </c>
      <c r="P75" s="50">
        <f>VLOOKUP($A75,'Data shares'!$C:$FB,125)</f>
        <v>0.73</v>
      </c>
      <c r="Q75" s="50">
        <f>VLOOKUP($A75,'Data shares'!$C:$FB,127)*100</f>
        <v>-60.27</v>
      </c>
    </row>
    <row r="76" spans="1:17" x14ac:dyDescent="0.25">
      <c r="A76" s="97" t="str">
        <f>'Data Vlaue (Cr)'!C71</f>
        <v>GMRAIRPORT</v>
      </c>
      <c r="B76" s="140">
        <f>VLOOKUP($A76,'Data shares'!$C:$FB,7)</f>
        <v>96.44</v>
      </c>
      <c r="C76" s="140">
        <f>VLOOKUP($A76,'Data shares'!$C:$FB,3)</f>
        <v>96.51</v>
      </c>
      <c r="D76" s="140">
        <f>VLOOKUP($A76,'Data shares'!$C:$FB,4)</f>
        <v>97.5</v>
      </c>
      <c r="E76" s="50">
        <f t="shared" si="3"/>
        <v>-1.0153846153846102</v>
      </c>
      <c r="F76" s="49">
        <f>VLOOKUP($A76,'Data shares'!$C:$FB,98)</f>
        <v>228905550</v>
      </c>
      <c r="G76" s="49">
        <f>VLOOKUP($A76,'Data shares'!$C:$FB,99)</f>
        <v>226331775</v>
      </c>
      <c r="H76" s="50">
        <f t="shared" si="4"/>
        <v>1.1371690961200653</v>
      </c>
      <c r="I76" s="49">
        <f>VLOOKUP($A76,'Data shares'!$C:$FB,66)</f>
        <v>131346225</v>
      </c>
      <c r="J76" s="49">
        <f>VLOOKUP($A76,'Data shares'!$C:$FB,67)</f>
        <v>69324525</v>
      </c>
      <c r="K76" s="50">
        <f t="shared" si="5"/>
        <v>47.220009558706387</v>
      </c>
      <c r="L76" s="50">
        <f>VLOOKUP($A76,'Data shares'!$C:$FB,118)</f>
        <v>0.69</v>
      </c>
      <c r="M76" s="50">
        <f>VLOOKUP($A76,'Data shares'!$C:$FB,119)</f>
        <v>0.65</v>
      </c>
      <c r="N76" s="50">
        <f>VLOOKUP($A76,'Data shares'!$C:$FB,121)*100</f>
        <v>6.15</v>
      </c>
      <c r="O76" s="50">
        <f>VLOOKUP($A76,'Data shares'!$C:$FB,124)</f>
        <v>0.48</v>
      </c>
      <c r="P76" s="50">
        <f>VLOOKUP($A76,'Data shares'!$C:$FB,125)</f>
        <v>0.3</v>
      </c>
      <c r="Q76" s="50">
        <f>VLOOKUP($A76,'Data shares'!$C:$FB,127)*100</f>
        <v>60</v>
      </c>
    </row>
    <row r="77" spans="1:17" x14ac:dyDescent="0.25">
      <c r="A77" s="97" t="str">
        <f>'Data Vlaue (Cr)'!C72</f>
        <v>GODFRYPHLP</v>
      </c>
      <c r="B77" s="140">
        <f>VLOOKUP($A77,'Data shares'!$C:$FB,7)</f>
        <v>2153.3000000000002</v>
      </c>
      <c r="C77" s="140">
        <f>VLOOKUP($A77,'Data shares'!$C:$FB,3)</f>
        <v>2160.5</v>
      </c>
      <c r="D77" s="140">
        <f>VLOOKUP($A77,'Data shares'!$C:$FB,4)</f>
        <v>2171.1999999999998</v>
      </c>
      <c r="E77" s="50">
        <f t="shared" si="3"/>
        <v>-0.49281503316137704</v>
      </c>
      <c r="F77" s="49">
        <f>VLOOKUP($A77,'Data shares'!$C:$FB,98)</f>
        <v>2909775</v>
      </c>
      <c r="G77" s="49">
        <f>VLOOKUP($A77,'Data shares'!$C:$FB,99)</f>
        <v>2776400</v>
      </c>
      <c r="H77" s="50">
        <f t="shared" si="4"/>
        <v>4.8038827258320129</v>
      </c>
      <c r="I77" s="49">
        <f>VLOOKUP($A77,'Data shares'!$C:$FB,66)</f>
        <v>3250775</v>
      </c>
      <c r="J77" s="49">
        <f>VLOOKUP($A77,'Data shares'!$C:$FB,67)</f>
        <v>3927275</v>
      </c>
      <c r="K77" s="50">
        <f t="shared" si="5"/>
        <v>-20.810422130107437</v>
      </c>
      <c r="L77" s="50">
        <f>VLOOKUP($A77,'Data shares'!$C:$FB,118)</f>
        <v>0.43</v>
      </c>
      <c r="M77" s="50">
        <f>VLOOKUP($A77,'Data shares'!$C:$FB,119)</f>
        <v>0.42</v>
      </c>
      <c r="N77" s="50">
        <f>VLOOKUP($A77,'Data shares'!$C:$FB,121)*100</f>
        <v>2.3800000000000003</v>
      </c>
      <c r="O77" s="50">
        <f>VLOOKUP($A77,'Data shares'!$C:$FB,124)</f>
        <v>0.54</v>
      </c>
      <c r="P77" s="50">
        <f>VLOOKUP($A77,'Data shares'!$C:$FB,125)</f>
        <v>0.26</v>
      </c>
      <c r="Q77" s="50">
        <f>VLOOKUP($A77,'Data shares'!$C:$FB,127)*100</f>
        <v>107.69</v>
      </c>
    </row>
    <row r="78" spans="1:17" x14ac:dyDescent="0.25">
      <c r="A78" s="97" t="str">
        <f>'Data Vlaue (Cr)'!C73</f>
        <v>GODREJCP</v>
      </c>
      <c r="B78" s="140">
        <f>VLOOKUP($A78,'Data shares'!$C:$FB,7)</f>
        <v>1142.95</v>
      </c>
      <c r="C78" s="140">
        <f>VLOOKUP($A78,'Data shares'!$C:$FB,3)</f>
        <v>1140.8</v>
      </c>
      <c r="D78" s="140">
        <f>VLOOKUP($A78,'Data shares'!$C:$FB,4)</f>
        <v>1137.9000000000001</v>
      </c>
      <c r="E78" s="50">
        <f t="shared" si="3"/>
        <v>0.25485543545125788</v>
      </c>
      <c r="F78" s="49">
        <f>VLOOKUP($A78,'Data shares'!$C:$FB,98)</f>
        <v>16431000</v>
      </c>
      <c r="G78" s="49">
        <f>VLOOKUP($A78,'Data shares'!$C:$FB,99)</f>
        <v>16444000</v>
      </c>
      <c r="H78" s="50">
        <f t="shared" si="4"/>
        <v>-7.9056190707856966E-2</v>
      </c>
      <c r="I78" s="49">
        <f>VLOOKUP($A78,'Data shares'!$C:$FB,66)</f>
        <v>9398500</v>
      </c>
      <c r="J78" s="49">
        <f>VLOOKUP($A78,'Data shares'!$C:$FB,67)</f>
        <v>7614500</v>
      </c>
      <c r="K78" s="50">
        <f t="shared" si="5"/>
        <v>18.981752407299037</v>
      </c>
      <c r="L78" s="50">
        <f>VLOOKUP($A78,'Data shares'!$C:$FB,118)</f>
        <v>0.88</v>
      </c>
      <c r="M78" s="50">
        <f>VLOOKUP($A78,'Data shares'!$C:$FB,119)</f>
        <v>0.85</v>
      </c>
      <c r="N78" s="50">
        <f>VLOOKUP($A78,'Data shares'!$C:$FB,121)*100</f>
        <v>3.53</v>
      </c>
      <c r="O78" s="50">
        <f>VLOOKUP($A78,'Data shares'!$C:$FB,124)</f>
        <v>0.56000000000000005</v>
      </c>
      <c r="P78" s="50">
        <f>VLOOKUP($A78,'Data shares'!$C:$FB,125)</f>
        <v>0.37</v>
      </c>
      <c r="Q78" s="50">
        <f>VLOOKUP($A78,'Data shares'!$C:$FB,127)*100</f>
        <v>51.349999999999994</v>
      </c>
    </row>
    <row r="79" spans="1:17" x14ac:dyDescent="0.25">
      <c r="A79" s="97" t="str">
        <f>'Data Vlaue (Cr)'!C74</f>
        <v>GODREJPROP</v>
      </c>
      <c r="B79" s="140">
        <f>VLOOKUP($A79,'Data shares'!$C:$FB,7)</f>
        <v>1791</v>
      </c>
      <c r="C79" s="140">
        <f>VLOOKUP($A79,'Data shares'!$C:$FB,3)</f>
        <v>1789.3</v>
      </c>
      <c r="D79" s="140">
        <f>VLOOKUP($A79,'Data shares'!$C:$FB,4)</f>
        <v>1828.4</v>
      </c>
      <c r="E79" s="50">
        <f t="shared" si="3"/>
        <v>-2.1384817326624441</v>
      </c>
      <c r="F79" s="49">
        <f>VLOOKUP($A79,'Data shares'!$C:$FB,98)</f>
        <v>14320625</v>
      </c>
      <c r="G79" s="49">
        <f>VLOOKUP($A79,'Data shares'!$C:$FB,99)</f>
        <v>14408625</v>
      </c>
      <c r="H79" s="50">
        <f t="shared" si="4"/>
        <v>-0.6107453001240577</v>
      </c>
      <c r="I79" s="49">
        <f>VLOOKUP($A79,'Data shares'!$C:$FB,66)</f>
        <v>13449975</v>
      </c>
      <c r="J79" s="49">
        <f>VLOOKUP($A79,'Data shares'!$C:$FB,67)</f>
        <v>11779625</v>
      </c>
      <c r="K79" s="50">
        <f t="shared" si="5"/>
        <v>12.418982191416712</v>
      </c>
      <c r="L79" s="50">
        <f>VLOOKUP($A79,'Data shares'!$C:$FB,118)</f>
        <v>0.82</v>
      </c>
      <c r="M79" s="50">
        <f>VLOOKUP($A79,'Data shares'!$C:$FB,119)</f>
        <v>0.83</v>
      </c>
      <c r="N79" s="50">
        <f>VLOOKUP($A79,'Data shares'!$C:$FB,121)*100</f>
        <v>-1.2</v>
      </c>
      <c r="O79" s="50">
        <f>VLOOKUP($A79,'Data shares'!$C:$FB,124)</f>
        <v>0.68</v>
      </c>
      <c r="P79" s="50">
        <f>VLOOKUP($A79,'Data shares'!$C:$FB,125)</f>
        <v>0.82</v>
      </c>
      <c r="Q79" s="50">
        <f>VLOOKUP($A79,'Data shares'!$C:$FB,127)*100</f>
        <v>-17.07</v>
      </c>
    </row>
    <row r="80" spans="1:17" x14ac:dyDescent="0.25">
      <c r="A80" s="97" t="str">
        <f>'Data Vlaue (Cr)'!C75</f>
        <v>GRASIM</v>
      </c>
      <c r="B80" s="140">
        <f>VLOOKUP($A80,'Data shares'!$C:$FB,7)</f>
        <v>2735</v>
      </c>
      <c r="C80" s="140">
        <f>VLOOKUP($A80,'Data shares'!$C:$FB,3)</f>
        <v>2738.9</v>
      </c>
      <c r="D80" s="140">
        <f>VLOOKUP($A80,'Data shares'!$C:$FB,4)</f>
        <v>2784.1</v>
      </c>
      <c r="E80" s="50">
        <f t="shared" si="3"/>
        <v>-1.623504902841127</v>
      </c>
      <c r="F80" s="49">
        <f>VLOOKUP($A80,'Data shares'!$C:$FB,98)</f>
        <v>17094000</v>
      </c>
      <c r="G80" s="49">
        <f>VLOOKUP($A80,'Data shares'!$C:$FB,99)</f>
        <v>16983250</v>
      </c>
      <c r="H80" s="50">
        <f t="shared" si="4"/>
        <v>0.6521131114480444</v>
      </c>
      <c r="I80" s="49">
        <f>VLOOKUP($A80,'Data shares'!$C:$FB,66)</f>
        <v>9124250</v>
      </c>
      <c r="J80" s="49">
        <f>VLOOKUP($A80,'Data shares'!$C:$FB,67)</f>
        <v>8038000</v>
      </c>
      <c r="K80" s="50">
        <f t="shared" si="5"/>
        <v>11.905088089432009</v>
      </c>
      <c r="L80" s="50">
        <f>VLOOKUP($A80,'Data shares'!$C:$FB,118)</f>
        <v>0.88</v>
      </c>
      <c r="M80" s="50">
        <f>VLOOKUP($A80,'Data shares'!$C:$FB,119)</f>
        <v>0.84</v>
      </c>
      <c r="N80" s="50">
        <f>VLOOKUP($A80,'Data shares'!$C:$FB,121)*100</f>
        <v>4.7600000000000007</v>
      </c>
      <c r="O80" s="50">
        <f>VLOOKUP($A80,'Data shares'!$C:$FB,124)</f>
        <v>0.74</v>
      </c>
      <c r="P80" s="50">
        <f>VLOOKUP($A80,'Data shares'!$C:$FB,125)</f>
        <v>0.46</v>
      </c>
      <c r="Q80" s="50">
        <f>VLOOKUP($A80,'Data shares'!$C:$FB,127)*100</f>
        <v>60.870000000000005</v>
      </c>
    </row>
    <row r="81" spans="1:17" x14ac:dyDescent="0.25">
      <c r="A81" s="97" t="str">
        <f>'Data Vlaue (Cr)'!C76</f>
        <v>HAL</v>
      </c>
      <c r="B81" s="140">
        <f>VLOOKUP($A81,'Data shares'!$C:$FB,7)</f>
        <v>4352.5</v>
      </c>
      <c r="C81" s="140">
        <f>VLOOKUP($A81,'Data shares'!$C:$FB,3)</f>
        <v>4357.7</v>
      </c>
      <c r="D81" s="140">
        <f>VLOOKUP($A81,'Data shares'!$C:$FB,4)</f>
        <v>4399.8</v>
      </c>
      <c r="E81" s="50">
        <f t="shared" si="3"/>
        <v>-0.95686167553071422</v>
      </c>
      <c r="F81" s="49">
        <f>VLOOKUP($A81,'Data shares'!$C:$FB,98)</f>
        <v>14127450</v>
      </c>
      <c r="G81" s="49">
        <f>VLOOKUP($A81,'Data shares'!$C:$FB,99)</f>
        <v>14117400</v>
      </c>
      <c r="H81" s="50">
        <f t="shared" si="4"/>
        <v>7.1188745803051554E-2</v>
      </c>
      <c r="I81" s="49">
        <f>VLOOKUP($A81,'Data shares'!$C:$FB,66)</f>
        <v>9721500</v>
      </c>
      <c r="J81" s="49">
        <f>VLOOKUP($A81,'Data shares'!$C:$FB,67)</f>
        <v>9547200</v>
      </c>
      <c r="K81" s="50">
        <f t="shared" si="5"/>
        <v>1.7929331893226355</v>
      </c>
      <c r="L81" s="50">
        <f>VLOOKUP($A81,'Data shares'!$C:$FB,118)</f>
        <v>0.95</v>
      </c>
      <c r="M81" s="50">
        <f>VLOOKUP($A81,'Data shares'!$C:$FB,119)</f>
        <v>0.93</v>
      </c>
      <c r="N81" s="50">
        <f>VLOOKUP($A81,'Data shares'!$C:$FB,121)*100</f>
        <v>2.15</v>
      </c>
      <c r="O81" s="50">
        <f>VLOOKUP($A81,'Data shares'!$C:$FB,124)</f>
        <v>0.53</v>
      </c>
      <c r="P81" s="50">
        <f>VLOOKUP($A81,'Data shares'!$C:$FB,125)</f>
        <v>0.5</v>
      </c>
      <c r="Q81" s="50">
        <f>VLOOKUP($A81,'Data shares'!$C:$FB,127)*100</f>
        <v>6</v>
      </c>
    </row>
    <row r="82" spans="1:17" x14ac:dyDescent="0.25">
      <c r="A82" s="97" t="str">
        <f>'Data Vlaue (Cr)'!C77</f>
        <v>HAVELLS</v>
      </c>
      <c r="B82" s="140">
        <f>VLOOKUP($A82,'Data shares'!$C:$FB,7)</f>
        <v>1260.3</v>
      </c>
      <c r="C82" s="140">
        <f>VLOOKUP($A82,'Data shares'!$C:$FB,3)</f>
        <v>1243</v>
      </c>
      <c r="D82" s="140">
        <f>VLOOKUP($A82,'Data shares'!$C:$FB,4)</f>
        <v>1343.7</v>
      </c>
      <c r="E82" s="50">
        <f t="shared" si="3"/>
        <v>-7.4942323435290641</v>
      </c>
      <c r="F82" s="49">
        <f>VLOOKUP($A82,'Data shares'!$C:$FB,98)</f>
        <v>31212000</v>
      </c>
      <c r="G82" s="49">
        <f>VLOOKUP($A82,'Data shares'!$C:$FB,99)</f>
        <v>27261500</v>
      </c>
      <c r="H82" s="50">
        <f t="shared" si="4"/>
        <v>14.491132182748565</v>
      </c>
      <c r="I82" s="49">
        <f>VLOOKUP($A82,'Data shares'!$C:$FB,66)</f>
        <v>95474000</v>
      </c>
      <c r="J82" s="49">
        <f>VLOOKUP($A82,'Data shares'!$C:$FB,67)</f>
        <v>131097500</v>
      </c>
      <c r="K82" s="50">
        <f t="shared" si="5"/>
        <v>-37.312252550432575</v>
      </c>
      <c r="L82" s="50">
        <f>VLOOKUP($A82,'Data shares'!$C:$FB,118)</f>
        <v>0.42</v>
      </c>
      <c r="M82" s="50">
        <f>VLOOKUP($A82,'Data shares'!$C:$FB,119)</f>
        <v>0.48</v>
      </c>
      <c r="N82" s="50">
        <f>VLOOKUP($A82,'Data shares'!$C:$FB,121)*100</f>
        <v>-12.5</v>
      </c>
      <c r="O82" s="50">
        <f>VLOOKUP($A82,'Data shares'!$C:$FB,124)</f>
        <v>0.61</v>
      </c>
      <c r="P82" s="50">
        <f>VLOOKUP($A82,'Data shares'!$C:$FB,125)</f>
        <v>0.41</v>
      </c>
      <c r="Q82" s="50">
        <f>VLOOKUP($A82,'Data shares'!$C:$FB,127)*100</f>
        <v>48.78</v>
      </c>
    </row>
    <row r="83" spans="1:17" x14ac:dyDescent="0.25">
      <c r="A83" s="97" t="str">
        <f>'Data Vlaue (Cr)'!C78</f>
        <v>HCLTECH</v>
      </c>
      <c r="B83" s="140">
        <f>VLOOKUP($A83,'Data shares'!$C:$FB,7)</f>
        <v>1277.5999999999999</v>
      </c>
      <c r="C83" s="140">
        <f>VLOOKUP($A83,'Data shares'!$C:$FB,3)</f>
        <v>1247.9000000000001</v>
      </c>
      <c r="D83" s="140">
        <f>VLOOKUP($A83,'Data shares'!$C:$FB,4)</f>
        <v>1264.5</v>
      </c>
      <c r="E83" s="50">
        <f t="shared" si="3"/>
        <v>-1.3127718465796685</v>
      </c>
      <c r="F83" s="49">
        <f>VLOOKUP($A83,'Data shares'!$C:$FB,98)</f>
        <v>105836850</v>
      </c>
      <c r="G83" s="49">
        <f>VLOOKUP($A83,'Data shares'!$C:$FB,99)</f>
        <v>106268050</v>
      </c>
      <c r="H83" s="50">
        <f t="shared" si="4"/>
        <v>-0.40576636157339857</v>
      </c>
      <c r="I83" s="49">
        <f>VLOOKUP($A83,'Data shares'!$C:$FB,66)</f>
        <v>137689300</v>
      </c>
      <c r="J83" s="49">
        <f>VLOOKUP($A83,'Data shares'!$C:$FB,67)</f>
        <v>296228100</v>
      </c>
      <c r="K83" s="50">
        <f t="shared" si="5"/>
        <v>-115.14242573678564</v>
      </c>
      <c r="L83" s="50">
        <f>VLOOKUP($A83,'Data shares'!$C:$FB,118)</f>
        <v>0.44</v>
      </c>
      <c r="M83" s="50">
        <f>VLOOKUP($A83,'Data shares'!$C:$FB,119)</f>
        <v>0.44</v>
      </c>
      <c r="N83" s="50">
        <f>VLOOKUP($A83,'Data shares'!$C:$FB,121)*100</f>
        <v>0</v>
      </c>
      <c r="O83" s="50">
        <f>VLOOKUP($A83,'Data shares'!$C:$FB,124)</f>
        <v>0.37</v>
      </c>
      <c r="P83" s="50">
        <f>VLOOKUP($A83,'Data shares'!$C:$FB,125)</f>
        <v>0.64</v>
      </c>
      <c r="Q83" s="50">
        <f>VLOOKUP($A83,'Data shares'!$C:$FB,127)*100</f>
        <v>-42.19</v>
      </c>
    </row>
    <row r="84" spans="1:17" x14ac:dyDescent="0.25">
      <c r="A84" s="97" t="str">
        <f>'Data Vlaue (Cr)'!C79</f>
        <v>HDFCAMC</v>
      </c>
      <c r="B84" s="140">
        <f>VLOOKUP($A84,'Data shares'!$C:$FB,7)</f>
        <v>2708.2</v>
      </c>
      <c r="C84" s="140">
        <f>VLOOKUP($A84,'Data shares'!$C:$FB,3)</f>
        <v>2713.8</v>
      </c>
      <c r="D84" s="140">
        <f>VLOOKUP($A84,'Data shares'!$C:$FB,4)</f>
        <v>2770.5</v>
      </c>
      <c r="E84" s="50">
        <f t="shared" si="3"/>
        <v>-2.0465619924201341</v>
      </c>
      <c r="F84" s="49">
        <f>VLOOKUP($A84,'Data shares'!$C:$FB,98)</f>
        <v>9061500</v>
      </c>
      <c r="G84" s="49">
        <f>VLOOKUP($A84,'Data shares'!$C:$FB,99)</f>
        <v>9626700</v>
      </c>
      <c r="H84" s="50">
        <f t="shared" si="4"/>
        <v>-5.8711708061952699</v>
      </c>
      <c r="I84" s="49">
        <f>VLOOKUP($A84,'Data shares'!$C:$FB,66)</f>
        <v>8637300</v>
      </c>
      <c r="J84" s="49">
        <f>VLOOKUP($A84,'Data shares'!$C:$FB,67)</f>
        <v>5437200</v>
      </c>
      <c r="K84" s="50">
        <f t="shared" si="5"/>
        <v>37.04977249835018</v>
      </c>
      <c r="L84" s="50">
        <f>VLOOKUP($A84,'Data shares'!$C:$FB,118)</f>
        <v>0.82</v>
      </c>
      <c r="M84" s="50">
        <f>VLOOKUP($A84,'Data shares'!$C:$FB,119)</f>
        <v>0.85</v>
      </c>
      <c r="N84" s="50">
        <f>VLOOKUP($A84,'Data shares'!$C:$FB,121)*100</f>
        <v>-3.53</v>
      </c>
      <c r="O84" s="50">
        <f>VLOOKUP($A84,'Data shares'!$C:$FB,124)</f>
        <v>0.91</v>
      </c>
      <c r="P84" s="50">
        <f>VLOOKUP($A84,'Data shares'!$C:$FB,125)</f>
        <v>0.87</v>
      </c>
      <c r="Q84" s="50">
        <f>VLOOKUP($A84,'Data shares'!$C:$FB,127)*100</f>
        <v>4.5999999999999996</v>
      </c>
    </row>
    <row r="85" spans="1:17" x14ac:dyDescent="0.25">
      <c r="A85" s="97" t="str">
        <f>'Data Vlaue (Cr)'!C80</f>
        <v>HDFCBANK</v>
      </c>
      <c r="B85" s="140">
        <f>VLOOKUP($A85,'Data shares'!$C:$FB,7)</f>
        <v>784.35</v>
      </c>
      <c r="C85" s="140">
        <f>VLOOKUP($A85,'Data shares'!$C:$FB,3)</f>
        <v>784.45</v>
      </c>
      <c r="D85" s="140">
        <f>VLOOKUP($A85,'Data shares'!$C:$FB,4)</f>
        <v>800</v>
      </c>
      <c r="E85" s="50">
        <f t="shared" si="3"/>
        <v>-1.9437499999999945</v>
      </c>
      <c r="F85" s="49">
        <f>VLOOKUP($A85,'Data shares'!$C:$FB,98)</f>
        <v>489404850</v>
      </c>
      <c r="G85" s="49">
        <f>VLOOKUP($A85,'Data shares'!$C:$FB,99)</f>
        <v>473413050</v>
      </c>
      <c r="H85" s="50">
        <f t="shared" si="4"/>
        <v>3.3779803915418052</v>
      </c>
      <c r="I85" s="49">
        <f>VLOOKUP($A85,'Data shares'!$C:$FB,66)</f>
        <v>358367350</v>
      </c>
      <c r="J85" s="49">
        <f>VLOOKUP($A85,'Data shares'!$C:$FB,67)</f>
        <v>239695500</v>
      </c>
      <c r="K85" s="50">
        <f t="shared" si="5"/>
        <v>33.114582006424413</v>
      </c>
      <c r="L85" s="50">
        <f>VLOOKUP($A85,'Data shares'!$C:$FB,118)</f>
        <v>0.51</v>
      </c>
      <c r="M85" s="50">
        <f>VLOOKUP($A85,'Data shares'!$C:$FB,119)</f>
        <v>0.56000000000000005</v>
      </c>
      <c r="N85" s="50">
        <f>VLOOKUP($A85,'Data shares'!$C:$FB,121)*100</f>
        <v>-8.93</v>
      </c>
      <c r="O85" s="50">
        <f>VLOOKUP($A85,'Data shares'!$C:$FB,124)</f>
        <v>0.59</v>
      </c>
      <c r="P85" s="50">
        <f>VLOOKUP($A85,'Data shares'!$C:$FB,125)</f>
        <v>0.65</v>
      </c>
      <c r="Q85" s="50">
        <f>VLOOKUP($A85,'Data shares'!$C:$FB,127)*100</f>
        <v>-9.2299999999999986</v>
      </c>
    </row>
    <row r="86" spans="1:17" x14ac:dyDescent="0.25">
      <c r="A86" s="97" t="str">
        <f>'Data Vlaue (Cr)'!C81</f>
        <v>HDFCLIFE</v>
      </c>
      <c r="B86" s="140">
        <f>VLOOKUP($A86,'Data shares'!$C:$FB,7)</f>
        <v>598.65</v>
      </c>
      <c r="C86" s="140">
        <f>VLOOKUP($A86,'Data shares'!$C:$FB,3)</f>
        <v>598.95000000000005</v>
      </c>
      <c r="D86" s="140">
        <f>VLOOKUP($A86,'Data shares'!$C:$FB,4)</f>
        <v>604.70000000000005</v>
      </c>
      <c r="E86" s="50">
        <f t="shared" si="3"/>
        <v>-0.95088473623284264</v>
      </c>
      <c r="F86" s="49">
        <f>VLOOKUP($A86,'Data shares'!$C:$FB,98)</f>
        <v>77051700</v>
      </c>
      <c r="G86" s="49">
        <f>VLOOKUP($A86,'Data shares'!$C:$FB,99)</f>
        <v>78584000</v>
      </c>
      <c r="H86" s="50">
        <f t="shared" si="4"/>
        <v>-1.9498880179171334</v>
      </c>
      <c r="I86" s="49">
        <f>VLOOKUP($A86,'Data shares'!$C:$FB,66)</f>
        <v>61603300</v>
      </c>
      <c r="J86" s="49">
        <f>VLOOKUP($A86,'Data shares'!$C:$FB,67)</f>
        <v>49115000</v>
      </c>
      <c r="K86" s="50">
        <f t="shared" si="5"/>
        <v>20.272128278842207</v>
      </c>
      <c r="L86" s="50">
        <f>VLOOKUP($A86,'Data shares'!$C:$FB,118)</f>
        <v>0.55000000000000004</v>
      </c>
      <c r="M86" s="50">
        <f>VLOOKUP($A86,'Data shares'!$C:$FB,119)</f>
        <v>0.56999999999999995</v>
      </c>
      <c r="N86" s="50">
        <f>VLOOKUP($A86,'Data shares'!$C:$FB,121)*100</f>
        <v>-3.51</v>
      </c>
      <c r="O86" s="50">
        <f>VLOOKUP($A86,'Data shares'!$C:$FB,124)</f>
        <v>0.44</v>
      </c>
      <c r="P86" s="50">
        <f>VLOOKUP($A86,'Data shares'!$C:$FB,125)</f>
        <v>0.42</v>
      </c>
      <c r="Q86" s="50">
        <f>VLOOKUP($A86,'Data shares'!$C:$FB,127)*100</f>
        <v>4.7600000000000007</v>
      </c>
    </row>
    <row r="87" spans="1:17" x14ac:dyDescent="0.25">
      <c r="A87" s="97" t="str">
        <f>'Data Vlaue (Cr)'!C82</f>
        <v>HEROMOTOCO</v>
      </c>
      <c r="B87" s="140">
        <f>VLOOKUP($A87,'Data shares'!$C:$FB,7)</f>
        <v>5032</v>
      </c>
      <c r="C87" s="140">
        <f>VLOOKUP($A87,'Data shares'!$C:$FB,3)</f>
        <v>5034.5</v>
      </c>
      <c r="D87" s="140">
        <f>VLOOKUP($A87,'Data shares'!$C:$FB,4)</f>
        <v>5193</v>
      </c>
      <c r="E87" s="50">
        <f t="shared" si="3"/>
        <v>-3.0521856345079916</v>
      </c>
      <c r="F87" s="49">
        <f>VLOOKUP($A87,'Data shares'!$C:$FB,98)</f>
        <v>8880300</v>
      </c>
      <c r="G87" s="49">
        <f>VLOOKUP($A87,'Data shares'!$C:$FB,99)</f>
        <v>8342400</v>
      </c>
      <c r="H87" s="50">
        <f t="shared" si="4"/>
        <v>6.4477848101265822</v>
      </c>
      <c r="I87" s="49">
        <f>VLOOKUP($A87,'Data shares'!$C:$FB,66)</f>
        <v>10688400</v>
      </c>
      <c r="J87" s="49">
        <f>VLOOKUP($A87,'Data shares'!$C:$FB,67)</f>
        <v>4634250</v>
      </c>
      <c r="K87" s="50">
        <f t="shared" si="5"/>
        <v>56.642247670371617</v>
      </c>
      <c r="L87" s="50">
        <f>VLOOKUP($A87,'Data shares'!$C:$FB,118)</f>
        <v>0.44</v>
      </c>
      <c r="M87" s="50">
        <f>VLOOKUP($A87,'Data shares'!$C:$FB,119)</f>
        <v>0.55000000000000004</v>
      </c>
      <c r="N87" s="50">
        <f>VLOOKUP($A87,'Data shares'!$C:$FB,121)*100</f>
        <v>-20</v>
      </c>
      <c r="O87" s="50">
        <f>VLOOKUP($A87,'Data shares'!$C:$FB,124)</f>
        <v>0.43</v>
      </c>
      <c r="P87" s="50">
        <f>VLOOKUP($A87,'Data shares'!$C:$FB,125)</f>
        <v>0.37</v>
      </c>
      <c r="Q87" s="50">
        <f>VLOOKUP($A87,'Data shares'!$C:$FB,127)*100</f>
        <v>16.220000000000002</v>
      </c>
    </row>
    <row r="88" spans="1:17" x14ac:dyDescent="0.25">
      <c r="A88" s="97" t="str">
        <f>'Data Vlaue (Cr)'!C83</f>
        <v>HINDALCO</v>
      </c>
      <c r="B88" s="140">
        <f>VLOOKUP($A88,'Data shares'!$C:$FB,7)</f>
        <v>1041.3499999999999</v>
      </c>
      <c r="C88" s="140">
        <f>VLOOKUP($A88,'Data shares'!$C:$FB,3)</f>
        <v>1039.05</v>
      </c>
      <c r="D88" s="140">
        <f>VLOOKUP($A88,'Data shares'!$C:$FB,4)</f>
        <v>1039.25</v>
      </c>
      <c r="E88" s="50">
        <f t="shared" si="3"/>
        <v>-1.9244647582395521E-2</v>
      </c>
      <c r="F88" s="140">
        <f>VLOOKUP($A88,'Data shares'!$C:$FB,98)</f>
        <v>63560000</v>
      </c>
      <c r="G88" s="140">
        <f>VLOOKUP($A88,'Data shares'!$C:$FB,99)</f>
        <v>63322000</v>
      </c>
      <c r="H88" s="50">
        <f t="shared" si="4"/>
        <v>0.37585673225735128</v>
      </c>
      <c r="I88" s="49">
        <f>VLOOKUP($A88,'Data shares'!$C:$FB,66)</f>
        <v>61098800</v>
      </c>
      <c r="J88" s="49">
        <f>VLOOKUP($A88,'Data shares'!$C:$FB,67)</f>
        <v>54118400</v>
      </c>
      <c r="K88" s="50">
        <f t="shared" si="5"/>
        <v>11.42477429998625</v>
      </c>
      <c r="L88" s="50">
        <f>VLOOKUP($A88,'Data shares'!$C:$FB,118)</f>
        <v>0.76</v>
      </c>
      <c r="M88" s="50">
        <f>VLOOKUP($A88,'Data shares'!$C:$FB,119)</f>
        <v>0.79</v>
      </c>
      <c r="N88" s="50">
        <f>VLOOKUP($A88,'Data shares'!$C:$FB,121)*100</f>
        <v>-3.8</v>
      </c>
      <c r="O88" s="50">
        <f>VLOOKUP($A88,'Data shares'!$C:$FB,124)</f>
        <v>0.55000000000000004</v>
      </c>
      <c r="P88" s="50">
        <f>VLOOKUP($A88,'Data shares'!$C:$FB,125)</f>
        <v>0.46</v>
      </c>
      <c r="Q88" s="50">
        <f>VLOOKUP($A88,'Data shares'!$C:$FB,127)*100</f>
        <v>19.57</v>
      </c>
    </row>
    <row r="89" spans="1:17" x14ac:dyDescent="0.25">
      <c r="A89" s="97" t="str">
        <f>'Data Vlaue (Cr)'!C84</f>
        <v>HINDPETRO</v>
      </c>
      <c r="B89" s="140">
        <f>VLOOKUP($A89,'Data shares'!$C:$FB,7)</f>
        <v>376.9</v>
      </c>
      <c r="C89" s="140">
        <f>VLOOKUP($A89,'Data shares'!$C:$FB,3)</f>
        <v>376.65</v>
      </c>
      <c r="D89" s="140">
        <f>VLOOKUP($A89,'Data shares'!$C:$FB,4)</f>
        <v>383.2</v>
      </c>
      <c r="E89" s="50">
        <f t="shared" si="3"/>
        <v>-1.7092901878914435</v>
      </c>
      <c r="F89" s="49">
        <f>VLOOKUP($A89,'Data shares'!$C:$FB,98)</f>
        <v>74289150</v>
      </c>
      <c r="G89" s="49">
        <f>VLOOKUP($A89,'Data shares'!$C:$FB,99)</f>
        <v>74386350</v>
      </c>
      <c r="H89" s="50">
        <f t="shared" si="4"/>
        <v>-0.13066913486143628</v>
      </c>
      <c r="I89" s="49">
        <f>VLOOKUP($A89,'Data shares'!$C:$FB,66)</f>
        <v>72209475</v>
      </c>
      <c r="J89" s="49">
        <f>VLOOKUP($A89,'Data shares'!$C:$FB,67)</f>
        <v>47376900</v>
      </c>
      <c r="K89" s="50">
        <f t="shared" si="5"/>
        <v>34.389635155220283</v>
      </c>
      <c r="L89" s="50">
        <f>VLOOKUP($A89,'Data shares'!$C:$FB,118)</f>
        <v>0.96</v>
      </c>
      <c r="M89" s="50">
        <f>VLOOKUP($A89,'Data shares'!$C:$FB,119)</f>
        <v>1.02</v>
      </c>
      <c r="N89" s="50">
        <f>VLOOKUP($A89,'Data shares'!$C:$FB,121)*100</f>
        <v>-5.88</v>
      </c>
      <c r="O89" s="50">
        <f>VLOOKUP($A89,'Data shares'!$C:$FB,124)</f>
        <v>1.08</v>
      </c>
      <c r="P89" s="50">
        <f>VLOOKUP($A89,'Data shares'!$C:$FB,125)</f>
        <v>0.8</v>
      </c>
      <c r="Q89" s="50">
        <f>VLOOKUP($A89,'Data shares'!$C:$FB,127)*100</f>
        <v>35</v>
      </c>
    </row>
    <row r="90" spans="1:17" x14ac:dyDescent="0.25">
      <c r="A90" s="97" t="str">
        <f>'Data Vlaue (Cr)'!C85</f>
        <v>HINDUNILVR</v>
      </c>
      <c r="B90" s="140">
        <f>VLOOKUP($A90,'Data shares'!$C:$FB,7)</f>
        <v>2366.4</v>
      </c>
      <c r="C90" s="140">
        <f>VLOOKUP($A90,'Data shares'!$C:$FB,3)</f>
        <v>2364.4</v>
      </c>
      <c r="D90" s="140">
        <f>VLOOKUP($A90,'Data shares'!$C:$FB,4)</f>
        <v>2366.8000000000002</v>
      </c>
      <c r="E90" s="50">
        <f t="shared" si="3"/>
        <v>-0.10140273787392644</v>
      </c>
      <c r="F90" s="49">
        <f>VLOOKUP($A90,'Data shares'!$C:$FB,98)</f>
        <v>34132200</v>
      </c>
      <c r="G90" s="49">
        <f>VLOOKUP($A90,'Data shares'!$C:$FB,99)</f>
        <v>34314600</v>
      </c>
      <c r="H90" s="50">
        <f t="shared" si="4"/>
        <v>-0.53155216729905053</v>
      </c>
      <c r="I90" s="49">
        <f>VLOOKUP($A90,'Data shares'!$C:$FB,66)</f>
        <v>41791800</v>
      </c>
      <c r="J90" s="49">
        <f>VLOOKUP($A90,'Data shares'!$C:$FB,67)</f>
        <v>80347500</v>
      </c>
      <c r="K90" s="50">
        <f t="shared" si="5"/>
        <v>-92.256614934030125</v>
      </c>
      <c r="L90" s="50">
        <f>VLOOKUP($A90,'Data shares'!$C:$FB,118)</f>
        <v>0.76</v>
      </c>
      <c r="M90" s="50">
        <f>VLOOKUP($A90,'Data shares'!$C:$FB,119)</f>
        <v>0.79</v>
      </c>
      <c r="N90" s="50">
        <f>VLOOKUP($A90,'Data shares'!$C:$FB,121)*100</f>
        <v>-3.8</v>
      </c>
      <c r="O90" s="50">
        <f>VLOOKUP($A90,'Data shares'!$C:$FB,124)</f>
        <v>0.61</v>
      </c>
      <c r="P90" s="50">
        <f>VLOOKUP($A90,'Data shares'!$C:$FB,125)</f>
        <v>0.46</v>
      </c>
      <c r="Q90" s="50">
        <f>VLOOKUP($A90,'Data shares'!$C:$FB,127)*100</f>
        <v>32.61</v>
      </c>
    </row>
    <row r="91" spans="1:17" x14ac:dyDescent="0.25">
      <c r="A91" s="97" t="str">
        <f>'Data Vlaue (Cr)'!C86</f>
        <v>HINDZINC</v>
      </c>
      <c r="B91" s="140">
        <f>VLOOKUP($A91,'Data shares'!$C:$FB,7)</f>
        <v>592.1</v>
      </c>
      <c r="C91" s="140">
        <f>VLOOKUP($A91,'Data shares'!$C:$FB,3)</f>
        <v>594.04999999999995</v>
      </c>
      <c r="D91" s="140">
        <f>VLOOKUP($A91,'Data shares'!$C:$FB,4)</f>
        <v>606.20000000000005</v>
      </c>
      <c r="E91" s="50">
        <f t="shared" si="3"/>
        <v>-2.0042890135269036</v>
      </c>
      <c r="F91" s="49">
        <f>VLOOKUP($A91,'Data shares'!$C:$FB,98)</f>
        <v>83021925</v>
      </c>
      <c r="G91" s="49">
        <f>VLOOKUP($A91,'Data shares'!$C:$FB,99)</f>
        <v>77330575</v>
      </c>
      <c r="H91" s="50">
        <f t="shared" si="4"/>
        <v>7.3597668192690922</v>
      </c>
      <c r="I91" s="49">
        <f>VLOOKUP($A91,'Data shares'!$C:$FB,66)</f>
        <v>66274950</v>
      </c>
      <c r="J91" s="49">
        <f>VLOOKUP($A91,'Data shares'!$C:$FB,67)</f>
        <v>85266125</v>
      </c>
      <c r="K91" s="50">
        <f t="shared" si="5"/>
        <v>-28.655132897120257</v>
      </c>
      <c r="L91" s="50">
        <f>VLOOKUP($A91,'Data shares'!$C:$FB,118)</f>
        <v>0.73</v>
      </c>
      <c r="M91" s="50">
        <f>VLOOKUP($A91,'Data shares'!$C:$FB,119)</f>
        <v>0.8</v>
      </c>
      <c r="N91" s="50">
        <f>VLOOKUP($A91,'Data shares'!$C:$FB,121)*100</f>
        <v>-8.75</v>
      </c>
      <c r="O91" s="50">
        <f>VLOOKUP($A91,'Data shares'!$C:$FB,124)</f>
        <v>0.47</v>
      </c>
      <c r="P91" s="50">
        <f>VLOOKUP($A91,'Data shares'!$C:$FB,125)</f>
        <v>0.39</v>
      </c>
      <c r="Q91" s="50">
        <f>VLOOKUP($A91,'Data shares'!$C:$FB,127)*100</f>
        <v>20.51</v>
      </c>
    </row>
    <row r="92" spans="1:17" x14ac:dyDescent="0.25">
      <c r="A92" s="97" t="str">
        <f>'Data Vlaue (Cr)'!C87</f>
        <v>HUDCO</v>
      </c>
      <c r="B92" s="140">
        <f>VLOOKUP($A92,'Data shares'!$C:$FB,7)</f>
        <v>204.46</v>
      </c>
      <c r="C92" s="140">
        <f>VLOOKUP($A92,'Data shares'!$C:$FB,3)</f>
        <v>205</v>
      </c>
      <c r="D92" s="140">
        <f>VLOOKUP($A92,'Data shares'!$C:$FB,4)</f>
        <v>200.12</v>
      </c>
      <c r="E92" s="50">
        <f t="shared" si="3"/>
        <v>2.4385368778732737</v>
      </c>
      <c r="F92" s="49">
        <f>VLOOKUP($A92,'Data shares'!$C:$FB,98)</f>
        <v>48071325</v>
      </c>
      <c r="G92" s="49">
        <f>VLOOKUP($A92,'Data shares'!$C:$FB,99)</f>
        <v>48462600</v>
      </c>
      <c r="H92" s="50">
        <f t="shared" si="4"/>
        <v>-0.8073751717819514</v>
      </c>
      <c r="I92" s="49">
        <f>VLOOKUP($A92,'Data shares'!$C:$FB,66)</f>
        <v>52292100</v>
      </c>
      <c r="J92" s="49">
        <f>VLOOKUP($A92,'Data shares'!$C:$FB,67)</f>
        <v>22027950</v>
      </c>
      <c r="K92" s="50">
        <f t="shared" si="5"/>
        <v>57.875185735512638</v>
      </c>
      <c r="L92" s="50">
        <f>VLOOKUP($A92,'Data shares'!$C:$FB,118)</f>
        <v>0.96</v>
      </c>
      <c r="M92" s="50">
        <f>VLOOKUP($A92,'Data shares'!$C:$FB,119)</f>
        <v>0.81</v>
      </c>
      <c r="N92" s="50">
        <f>VLOOKUP($A92,'Data shares'!$C:$FB,121)*100</f>
        <v>18.52</v>
      </c>
      <c r="O92" s="50">
        <f>VLOOKUP($A92,'Data shares'!$C:$FB,124)</f>
        <v>0.45</v>
      </c>
      <c r="P92" s="50">
        <f>VLOOKUP($A92,'Data shares'!$C:$FB,125)</f>
        <v>0.34</v>
      </c>
      <c r="Q92" s="50">
        <f>VLOOKUP($A92,'Data shares'!$C:$FB,127)*100</f>
        <v>32.35</v>
      </c>
    </row>
    <row r="93" spans="1:17" x14ac:dyDescent="0.25">
      <c r="A93" s="97" t="str">
        <f>'Data Vlaue (Cr)'!C88</f>
        <v>HYUNDAI</v>
      </c>
      <c r="B93" s="140">
        <f>VLOOKUP($A93,'Data shares'!$C:$FB,7)</f>
        <v>1844.2</v>
      </c>
      <c r="C93" s="140">
        <f>VLOOKUP($A93,'Data shares'!$C:$FB,3)</f>
        <v>1847.1</v>
      </c>
      <c r="D93" s="140">
        <f>VLOOKUP($A93,'Data shares'!$C:$FB,4)</f>
        <v>1841.8</v>
      </c>
      <c r="E93" s="50">
        <f t="shared" si="3"/>
        <v>0.28776197198392628</v>
      </c>
      <c r="F93" s="49">
        <f>VLOOKUP($A93,'Data shares'!$C:$FB,98)</f>
        <v>9521325</v>
      </c>
      <c r="G93" s="49">
        <f>VLOOKUP($A93,'Data shares'!$C:$FB,99)</f>
        <v>10600150</v>
      </c>
      <c r="H93" s="50">
        <f t="shared" si="4"/>
        <v>-10.177450319099259</v>
      </c>
      <c r="I93" s="49">
        <f>VLOOKUP($A93,'Data shares'!$C:$FB,66)</f>
        <v>10185175</v>
      </c>
      <c r="J93" s="49">
        <f>VLOOKUP($A93,'Data shares'!$C:$FB,67)</f>
        <v>2973300</v>
      </c>
      <c r="K93" s="50">
        <f t="shared" si="5"/>
        <v>70.807570807570812</v>
      </c>
      <c r="L93" s="50">
        <f>VLOOKUP($A93,'Data shares'!$C:$FB,118)</f>
        <v>0.55000000000000004</v>
      </c>
      <c r="M93" s="50">
        <f>VLOOKUP($A93,'Data shares'!$C:$FB,119)</f>
        <v>0.68</v>
      </c>
      <c r="N93" s="50">
        <f>VLOOKUP($A93,'Data shares'!$C:$FB,121)*100</f>
        <v>-19.12</v>
      </c>
      <c r="O93" s="50">
        <f>VLOOKUP($A93,'Data shares'!$C:$FB,124)</f>
        <v>0.34</v>
      </c>
      <c r="P93" s="50">
        <f>VLOOKUP($A93,'Data shares'!$C:$FB,125)</f>
        <v>0.27</v>
      </c>
      <c r="Q93" s="50">
        <f>VLOOKUP($A93,'Data shares'!$C:$FB,127)*100</f>
        <v>25.929999999999996</v>
      </c>
    </row>
    <row r="94" spans="1:17" x14ac:dyDescent="0.25">
      <c r="A94" s="97" t="str">
        <f>'Data Vlaue (Cr)'!C89</f>
        <v>ICICIBANK</v>
      </c>
      <c r="B94" s="140">
        <f>VLOOKUP($A94,'Data shares'!$C:$FB,7)</f>
        <v>1348</v>
      </c>
      <c r="C94" s="140">
        <f>VLOOKUP($A94,'Data shares'!$C:$FB,3)</f>
        <v>1347.1</v>
      </c>
      <c r="D94" s="140">
        <f>VLOOKUP($A94,'Data shares'!$C:$FB,4)</f>
        <v>1368.2</v>
      </c>
      <c r="E94" s="50">
        <f t="shared" si="3"/>
        <v>-1.5421721970472253</v>
      </c>
      <c r="F94" s="49">
        <f>VLOOKUP($A94,'Data shares'!$C:$FB,98)</f>
        <v>166280800</v>
      </c>
      <c r="G94" s="49">
        <f>VLOOKUP($A94,'Data shares'!$C:$FB,99)</f>
        <v>166833100</v>
      </c>
      <c r="H94" s="50">
        <f t="shared" si="4"/>
        <v>-0.33104941405512456</v>
      </c>
      <c r="I94" s="49">
        <f>VLOOKUP($A94,'Data shares'!$C:$FB,66)</f>
        <v>155610000</v>
      </c>
      <c r="J94" s="49">
        <f>VLOOKUP($A94,'Data shares'!$C:$FB,67)</f>
        <v>116934300</v>
      </c>
      <c r="K94" s="50">
        <f t="shared" si="5"/>
        <v>24.854251012145749</v>
      </c>
      <c r="L94" s="50">
        <f>VLOOKUP($A94,'Data shares'!$C:$FB,118)</f>
        <v>0.77</v>
      </c>
      <c r="M94" s="50">
        <f>VLOOKUP($A94,'Data shares'!$C:$FB,119)</f>
        <v>0.79</v>
      </c>
      <c r="N94" s="50">
        <f>VLOOKUP($A94,'Data shares'!$C:$FB,121)*100</f>
        <v>-2.5299999999999998</v>
      </c>
      <c r="O94" s="50">
        <f>VLOOKUP($A94,'Data shares'!$C:$FB,124)</f>
        <v>0.67</v>
      </c>
      <c r="P94" s="50">
        <f>VLOOKUP($A94,'Data shares'!$C:$FB,125)</f>
        <v>0.71</v>
      </c>
      <c r="Q94" s="50">
        <f>VLOOKUP($A94,'Data shares'!$C:$FB,127)*100</f>
        <v>-5.63</v>
      </c>
    </row>
    <row r="95" spans="1:17" x14ac:dyDescent="0.25">
      <c r="A95" s="97" t="str">
        <f>'Data Vlaue (Cr)'!C90</f>
        <v>ICICIGI</v>
      </c>
      <c r="B95" s="140">
        <f>VLOOKUP($A95,'Data shares'!$C:$FB,7)</f>
        <v>1809.9</v>
      </c>
      <c r="C95" s="140">
        <f>VLOOKUP($A95,'Data shares'!$C:$FB,3)</f>
        <v>1808.8</v>
      </c>
      <c r="D95" s="140">
        <f>VLOOKUP($A95,'Data shares'!$C:$FB,4)</f>
        <v>1832.4</v>
      </c>
      <c r="E95" s="50">
        <f t="shared" si="3"/>
        <v>-1.2879283999126903</v>
      </c>
      <c r="F95" s="49">
        <f>VLOOKUP($A95,'Data shares'!$C:$FB,98)</f>
        <v>7673575</v>
      </c>
      <c r="G95" s="49">
        <f>VLOOKUP($A95,'Data shares'!$C:$FB,99)</f>
        <v>7771400</v>
      </c>
      <c r="H95" s="50">
        <f t="shared" si="4"/>
        <v>-1.2587822014051522</v>
      </c>
      <c r="I95" s="49">
        <f>VLOOKUP($A95,'Data shares'!$C:$FB,66)</f>
        <v>5012150</v>
      </c>
      <c r="J95" s="49">
        <f>VLOOKUP($A95,'Data shares'!$C:$FB,67)</f>
        <v>3105700</v>
      </c>
      <c r="K95" s="50">
        <f t="shared" si="5"/>
        <v>38.036571132148879</v>
      </c>
      <c r="L95" s="50">
        <f>VLOOKUP($A95,'Data shares'!$C:$FB,118)</f>
        <v>0.78</v>
      </c>
      <c r="M95" s="50">
        <f>VLOOKUP($A95,'Data shares'!$C:$FB,119)</f>
        <v>0.81</v>
      </c>
      <c r="N95" s="50">
        <f>VLOOKUP($A95,'Data shares'!$C:$FB,121)*100</f>
        <v>-3.6999999999999997</v>
      </c>
      <c r="O95" s="50">
        <f>VLOOKUP($A95,'Data shares'!$C:$FB,124)</f>
        <v>0.54</v>
      </c>
      <c r="P95" s="50">
        <f>VLOOKUP($A95,'Data shares'!$C:$FB,125)</f>
        <v>0.63</v>
      </c>
      <c r="Q95" s="50">
        <f>VLOOKUP($A95,'Data shares'!$C:$FB,127)*100</f>
        <v>-14.29</v>
      </c>
    </row>
    <row r="96" spans="1:17" x14ac:dyDescent="0.25">
      <c r="A96" s="97" t="str">
        <f>'Data Vlaue (Cr)'!C91</f>
        <v>ICICIPRULI</v>
      </c>
      <c r="B96" s="140">
        <f>VLOOKUP($A96,'Data shares'!$C:$FB,7)</f>
        <v>535.29999999999995</v>
      </c>
      <c r="C96" s="140">
        <f>VLOOKUP($A96,'Data shares'!$C:$FB,3)</f>
        <v>534.6</v>
      </c>
      <c r="D96" s="140">
        <f>VLOOKUP($A96,'Data shares'!$C:$FB,4)</f>
        <v>539.54999999999995</v>
      </c>
      <c r="E96" s="50">
        <f t="shared" si="3"/>
        <v>-0.91743119266053785</v>
      </c>
      <c r="F96" s="49">
        <f>VLOOKUP($A96,'Data shares'!$C:$FB,98)</f>
        <v>34311950</v>
      </c>
      <c r="G96" s="49">
        <f>VLOOKUP($A96,'Data shares'!$C:$FB,99)</f>
        <v>34211125</v>
      </c>
      <c r="H96" s="50">
        <f t="shared" si="4"/>
        <v>0.29471407327294846</v>
      </c>
      <c r="I96" s="49">
        <f>VLOOKUP($A96,'Data shares'!$C:$FB,66)</f>
        <v>25433800</v>
      </c>
      <c r="J96" s="49">
        <f>VLOOKUP($A96,'Data shares'!$C:$FB,67)</f>
        <v>17302125</v>
      </c>
      <c r="K96" s="50">
        <f t="shared" si="5"/>
        <v>31.971923188827468</v>
      </c>
      <c r="L96" s="50">
        <f>VLOOKUP($A96,'Data shares'!$C:$FB,118)</f>
        <v>0.67</v>
      </c>
      <c r="M96" s="50">
        <f>VLOOKUP($A96,'Data shares'!$C:$FB,119)</f>
        <v>0.63</v>
      </c>
      <c r="N96" s="50">
        <f>VLOOKUP($A96,'Data shares'!$C:$FB,121)*100</f>
        <v>6.35</v>
      </c>
      <c r="O96" s="50">
        <f>VLOOKUP($A96,'Data shares'!$C:$FB,124)</f>
        <v>0.51</v>
      </c>
      <c r="P96" s="50">
        <f>VLOOKUP($A96,'Data shares'!$C:$FB,125)</f>
        <v>0.6</v>
      </c>
      <c r="Q96" s="50">
        <f>VLOOKUP($A96,'Data shares'!$C:$FB,127)*100</f>
        <v>-15</v>
      </c>
    </row>
    <row r="97" spans="1:17" x14ac:dyDescent="0.25">
      <c r="A97" s="97" t="str">
        <f>'Data Vlaue (Cr)'!C92</f>
        <v>IDEA</v>
      </c>
      <c r="B97" s="140">
        <f>VLOOKUP($A97,'Data shares'!$C:$FB,7)</f>
        <v>9.58</v>
      </c>
      <c r="C97" s="140">
        <f>VLOOKUP($A97,'Data shares'!$C:$FB,3)</f>
        <v>9.57</v>
      </c>
      <c r="D97" s="140">
        <f>VLOOKUP($A97,'Data shares'!$C:$FB,4)</f>
        <v>9.5299999999999994</v>
      </c>
      <c r="E97" s="50">
        <f t="shared" si="3"/>
        <v>0.41972717733474213</v>
      </c>
      <c r="F97" s="49">
        <f>VLOOKUP($A97,'Data shares'!$C:$FB,98)</f>
        <v>8868903900</v>
      </c>
      <c r="G97" s="49">
        <f>VLOOKUP($A97,'Data shares'!$C:$FB,99)</f>
        <v>8890560825</v>
      </c>
      <c r="H97" s="50">
        <f t="shared" si="4"/>
        <v>-0.24359458785885987</v>
      </c>
      <c r="I97" s="49">
        <f>VLOOKUP($A97,'Data shares'!$C:$FB,66)</f>
        <v>3001092300</v>
      </c>
      <c r="J97" s="49">
        <f>VLOOKUP($A97,'Data shares'!$C:$FB,67)</f>
        <v>2860072125</v>
      </c>
      <c r="K97" s="50">
        <f t="shared" si="5"/>
        <v>4.6989616080784984</v>
      </c>
      <c r="L97" s="50">
        <f>VLOOKUP($A97,'Data shares'!$C:$FB,118)</f>
        <v>0.49</v>
      </c>
      <c r="M97" s="50">
        <f>VLOOKUP($A97,'Data shares'!$C:$FB,119)</f>
        <v>0.5</v>
      </c>
      <c r="N97" s="50">
        <f>VLOOKUP($A97,'Data shares'!$C:$FB,121)*100</f>
        <v>-2</v>
      </c>
      <c r="O97" s="50">
        <f>VLOOKUP($A97,'Data shares'!$C:$FB,124)</f>
        <v>0.36</v>
      </c>
      <c r="P97" s="50">
        <f>VLOOKUP($A97,'Data shares'!$C:$FB,125)</f>
        <v>0.3</v>
      </c>
      <c r="Q97" s="50">
        <f>VLOOKUP($A97,'Data shares'!$C:$FB,127)*100</f>
        <v>20</v>
      </c>
    </row>
    <row r="98" spans="1:17" x14ac:dyDescent="0.25">
      <c r="A98" s="97" t="str">
        <f>'Data Vlaue (Cr)'!C93</f>
        <v>IDFCFIRSTB</v>
      </c>
      <c r="B98" s="140">
        <f>VLOOKUP($A98,'Data shares'!$C:$FB,7)</f>
        <v>67.83</v>
      </c>
      <c r="C98" s="140">
        <f>VLOOKUP($A98,'Data shares'!$C:$FB,3)</f>
        <v>67.72</v>
      </c>
      <c r="D98" s="140">
        <f>VLOOKUP($A98,'Data shares'!$C:$FB,4)</f>
        <v>68.42</v>
      </c>
      <c r="E98" s="50">
        <f t="shared" si="3"/>
        <v>-1.0230926629640498</v>
      </c>
      <c r="F98" s="49">
        <f>VLOOKUP($A98,'Data shares'!$C:$FB,98)</f>
        <v>648897550</v>
      </c>
      <c r="G98" s="49">
        <f>VLOOKUP($A98,'Data shares'!$C:$FB,99)</f>
        <v>654824275</v>
      </c>
      <c r="H98" s="50">
        <f t="shared" si="4"/>
        <v>-0.90508633022195162</v>
      </c>
      <c r="I98" s="49">
        <f>VLOOKUP($A98,'Data shares'!$C:$FB,66)</f>
        <v>333324950</v>
      </c>
      <c r="J98" s="49">
        <f>VLOOKUP($A98,'Data shares'!$C:$FB,67)</f>
        <v>191510200</v>
      </c>
      <c r="K98" s="50">
        <f t="shared" si="5"/>
        <v>42.545495019199734</v>
      </c>
      <c r="L98" s="50">
        <f>VLOOKUP($A98,'Data shares'!$C:$FB,118)</f>
        <v>0.92</v>
      </c>
      <c r="M98" s="50">
        <f>VLOOKUP($A98,'Data shares'!$C:$FB,119)</f>
        <v>0.96</v>
      </c>
      <c r="N98" s="50">
        <f>VLOOKUP($A98,'Data shares'!$C:$FB,121)*100</f>
        <v>-4.17</v>
      </c>
      <c r="O98" s="50">
        <f>VLOOKUP($A98,'Data shares'!$C:$FB,124)</f>
        <v>0.89</v>
      </c>
      <c r="P98" s="50">
        <f>VLOOKUP($A98,'Data shares'!$C:$FB,125)</f>
        <v>1.1000000000000001</v>
      </c>
      <c r="Q98" s="50">
        <f>VLOOKUP($A98,'Data shares'!$C:$FB,127)*100</f>
        <v>-19.09</v>
      </c>
    </row>
    <row r="99" spans="1:17" x14ac:dyDescent="0.25">
      <c r="A99" s="97" t="str">
        <f>'Data Vlaue (Cr)'!C94</f>
        <v>IEX</v>
      </c>
      <c r="B99" s="140">
        <f>VLOOKUP($A99,'Data shares'!$C:$FB,7)</f>
        <v>126.92</v>
      </c>
      <c r="C99" s="140">
        <f>VLOOKUP($A99,'Data shares'!$C:$FB,3)</f>
        <v>127.48</v>
      </c>
      <c r="D99" s="140">
        <f>VLOOKUP($A99,'Data shares'!$C:$FB,4)</f>
        <v>125.97</v>
      </c>
      <c r="E99" s="50">
        <f t="shared" si="3"/>
        <v>1.1986981027228747</v>
      </c>
      <c r="F99" s="49">
        <f>VLOOKUP($A99,'Data shares'!$C:$FB,98)</f>
        <v>181751250</v>
      </c>
      <c r="G99" s="49">
        <f>VLOOKUP($A99,'Data shares'!$C:$FB,99)</f>
        <v>178953750</v>
      </c>
      <c r="H99" s="50">
        <f t="shared" si="4"/>
        <v>1.5632530751660694</v>
      </c>
      <c r="I99" s="49">
        <f>VLOOKUP($A99,'Data shares'!$C:$FB,66)</f>
        <v>224602500</v>
      </c>
      <c r="J99" s="49">
        <f>VLOOKUP($A99,'Data shares'!$C:$FB,67)</f>
        <v>73661250</v>
      </c>
      <c r="K99" s="50">
        <f t="shared" si="5"/>
        <v>67.203726583631081</v>
      </c>
      <c r="L99" s="50">
        <f>VLOOKUP($A99,'Data shares'!$C:$FB,118)</f>
        <v>0.76</v>
      </c>
      <c r="M99" s="50">
        <f>VLOOKUP($A99,'Data shares'!$C:$FB,119)</f>
        <v>0.74</v>
      </c>
      <c r="N99" s="50">
        <f>VLOOKUP($A99,'Data shares'!$C:$FB,121)*100</f>
        <v>2.7</v>
      </c>
      <c r="O99" s="50">
        <f>VLOOKUP($A99,'Data shares'!$C:$FB,124)</f>
        <v>0.46</v>
      </c>
      <c r="P99" s="50">
        <f>VLOOKUP($A99,'Data shares'!$C:$FB,125)</f>
        <v>0.65</v>
      </c>
      <c r="Q99" s="50">
        <f>VLOOKUP($A99,'Data shares'!$C:$FB,127)*100</f>
        <v>-29.23</v>
      </c>
    </row>
    <row r="100" spans="1:17" x14ac:dyDescent="0.25">
      <c r="A100" s="97" t="str">
        <f>'Data Vlaue (Cr)'!C95</f>
        <v>INDHOTEL</v>
      </c>
      <c r="B100" s="140">
        <f>VLOOKUP($A100,'Data shares'!$C:$FB,7)</f>
        <v>639.45000000000005</v>
      </c>
      <c r="C100" s="140">
        <f>VLOOKUP($A100,'Data shares'!$C:$FB,3)</f>
        <v>639.15</v>
      </c>
      <c r="D100" s="140">
        <f>VLOOKUP($A100,'Data shares'!$C:$FB,4)</f>
        <v>659.7</v>
      </c>
      <c r="E100" s="50">
        <f t="shared" si="3"/>
        <v>-3.1150522964984186</v>
      </c>
      <c r="F100" s="49">
        <f>VLOOKUP($A100,'Data shares'!$C:$FB,98)</f>
        <v>35301000</v>
      </c>
      <c r="G100" s="49">
        <f>VLOOKUP($A100,'Data shares'!$C:$FB,99)</f>
        <v>34199000</v>
      </c>
      <c r="H100" s="50">
        <f t="shared" si="4"/>
        <v>3.2223164420012282</v>
      </c>
      <c r="I100" s="49">
        <f>VLOOKUP($A100,'Data shares'!$C:$FB,66)</f>
        <v>27119000</v>
      </c>
      <c r="J100" s="49">
        <f>VLOOKUP($A100,'Data shares'!$C:$FB,67)</f>
        <v>8694000</v>
      </c>
      <c r="K100" s="50">
        <f t="shared" si="5"/>
        <v>67.941295770493014</v>
      </c>
      <c r="L100" s="50">
        <f>VLOOKUP($A100,'Data shares'!$C:$FB,118)</f>
        <v>0.97</v>
      </c>
      <c r="M100" s="50">
        <f>VLOOKUP($A100,'Data shares'!$C:$FB,119)</f>
        <v>0.94</v>
      </c>
      <c r="N100" s="50">
        <f>VLOOKUP($A100,'Data shares'!$C:$FB,121)*100</f>
        <v>3.19</v>
      </c>
      <c r="O100" s="50">
        <f>VLOOKUP($A100,'Data shares'!$C:$FB,124)</f>
        <v>0.76</v>
      </c>
      <c r="P100" s="50">
        <f>VLOOKUP($A100,'Data shares'!$C:$FB,125)</f>
        <v>0.95</v>
      </c>
      <c r="Q100" s="50">
        <f>VLOOKUP($A100,'Data shares'!$C:$FB,127)*100</f>
        <v>-20</v>
      </c>
    </row>
    <row r="101" spans="1:17" x14ac:dyDescent="0.25">
      <c r="A101" s="97" t="str">
        <f>'Data Vlaue (Cr)'!C96</f>
        <v>INDIANB</v>
      </c>
      <c r="B101" s="140">
        <f>VLOOKUP($A101,'Data shares'!$C:$FB,7)</f>
        <v>914.95</v>
      </c>
      <c r="C101" s="140">
        <f>VLOOKUP($A101,'Data shares'!$C:$FB,3)</f>
        <v>916.45</v>
      </c>
      <c r="D101" s="140">
        <f>VLOOKUP($A101,'Data shares'!$C:$FB,4)</f>
        <v>927.15</v>
      </c>
      <c r="E101" s="50">
        <f t="shared" si="3"/>
        <v>-1.1540743137572056</v>
      </c>
      <c r="F101" s="49">
        <f>VLOOKUP($A101,'Data shares'!$C:$FB,98)</f>
        <v>21114000</v>
      </c>
      <c r="G101" s="49">
        <f>VLOOKUP($A101,'Data shares'!$C:$FB,99)</f>
        <v>21877000</v>
      </c>
      <c r="H101" s="50">
        <f t="shared" si="4"/>
        <v>-3.4876811262970242</v>
      </c>
      <c r="I101" s="49">
        <f>VLOOKUP($A101,'Data shares'!$C:$FB,66)</f>
        <v>18189000</v>
      </c>
      <c r="J101" s="49">
        <f>VLOOKUP($A101,'Data shares'!$C:$FB,67)</f>
        <v>11040000</v>
      </c>
      <c r="K101" s="50">
        <f t="shared" si="5"/>
        <v>39.303974929902694</v>
      </c>
      <c r="L101" s="50">
        <f>VLOOKUP($A101,'Data shares'!$C:$FB,118)</f>
        <v>0.56000000000000005</v>
      </c>
      <c r="M101" s="50">
        <f>VLOOKUP($A101,'Data shares'!$C:$FB,119)</f>
        <v>0.53</v>
      </c>
      <c r="N101" s="50">
        <f>VLOOKUP($A101,'Data shares'!$C:$FB,121)*100</f>
        <v>5.66</v>
      </c>
      <c r="O101" s="50">
        <f>VLOOKUP($A101,'Data shares'!$C:$FB,124)</f>
        <v>0.46</v>
      </c>
      <c r="P101" s="50">
        <f>VLOOKUP($A101,'Data shares'!$C:$FB,125)</f>
        <v>0.3</v>
      </c>
      <c r="Q101" s="50">
        <f>VLOOKUP($A101,'Data shares'!$C:$FB,127)*100</f>
        <v>53.33</v>
      </c>
    </row>
    <row r="102" spans="1:17" x14ac:dyDescent="0.25">
      <c r="A102" s="97" t="str">
        <f>'Data Vlaue (Cr)'!C97</f>
        <v>INDIAVIX</v>
      </c>
      <c r="B102" s="140">
        <f>VLOOKUP($A102,'Data shares'!$C:$FB,7)</f>
        <v>18.59</v>
      </c>
      <c r="C102" s="140">
        <f>VLOOKUP($A102,'Data shares'!$C:$FB,3)</f>
        <v>18.59</v>
      </c>
      <c r="D102" s="140">
        <f>VLOOKUP($A102,'Data shares'!$C:$FB,4)</f>
        <v>18.3</v>
      </c>
      <c r="E102" s="50">
        <f t="shared" si="3"/>
        <v>1.5846994535519081</v>
      </c>
      <c r="F102" s="49">
        <f>VLOOKUP($A102,'Data shares'!$C:$FB,98)</f>
        <v>0</v>
      </c>
      <c r="G102" s="49">
        <f>VLOOKUP($A102,'Data shares'!$C:$FB,99)</f>
        <v>0</v>
      </c>
      <c r="H102" s="50" t="e">
        <f t="shared" si="4"/>
        <v>#DIV/0!</v>
      </c>
      <c r="I102" s="49">
        <f>VLOOKUP($A102,'Data shares'!$C:$FB,66)</f>
        <v>0</v>
      </c>
      <c r="J102" s="49">
        <f>VLOOKUP($A102,'Data shares'!$C:$FB,67)</f>
        <v>0</v>
      </c>
      <c r="K102" s="50" t="e">
        <f t="shared" si="5"/>
        <v>#DIV/0!</v>
      </c>
      <c r="L102" s="50">
        <f>VLOOKUP($A102,'Data shares'!$C:$FB,118)</f>
        <v>0</v>
      </c>
      <c r="M102" s="50">
        <f>VLOOKUP($A102,'Data shares'!$C:$FB,119)</f>
        <v>0</v>
      </c>
      <c r="N102" s="50">
        <f>VLOOKUP($A102,'Data shares'!$C:$FB,121)*100</f>
        <v>0</v>
      </c>
      <c r="O102" s="50">
        <f>VLOOKUP($A102,'Data shares'!$C:$FB,124)</f>
        <v>0</v>
      </c>
      <c r="P102" s="50">
        <f>VLOOKUP($A102,'Data shares'!$C:$FB,125)</f>
        <v>0</v>
      </c>
      <c r="Q102" s="50">
        <f>VLOOKUP($A102,'Data shares'!$C:$FB,127)*100</f>
        <v>0</v>
      </c>
    </row>
    <row r="103" spans="1:17" x14ac:dyDescent="0.25">
      <c r="A103" s="97" t="str">
        <f>'Data Vlaue (Cr)'!C98</f>
        <v>INDIGO</v>
      </c>
      <c r="B103" s="140">
        <f>VLOOKUP($A103,'Data shares'!$C:$FB,7)</f>
        <v>4556</v>
      </c>
      <c r="C103" s="140">
        <f>VLOOKUP($A103,'Data shares'!$C:$FB,3)</f>
        <v>4565.6000000000004</v>
      </c>
      <c r="D103" s="140">
        <f>VLOOKUP($A103,'Data shares'!$C:$FB,4)</f>
        <v>4632.3999999999996</v>
      </c>
      <c r="E103" s="50">
        <f t="shared" si="3"/>
        <v>-1.4420170969691579</v>
      </c>
      <c r="F103" s="49">
        <f>VLOOKUP($A103,'Data shares'!$C:$FB,98)</f>
        <v>18121800</v>
      </c>
      <c r="G103" s="49">
        <f>VLOOKUP($A103,'Data shares'!$C:$FB,99)</f>
        <v>18078000</v>
      </c>
      <c r="H103" s="50">
        <f t="shared" si="4"/>
        <v>0.24228343843345504</v>
      </c>
      <c r="I103" s="49">
        <f>VLOOKUP($A103,'Data shares'!$C:$FB,66)</f>
        <v>16257450</v>
      </c>
      <c r="J103" s="49">
        <f>VLOOKUP($A103,'Data shares'!$C:$FB,67)</f>
        <v>14828700</v>
      </c>
      <c r="K103" s="50">
        <f t="shared" si="5"/>
        <v>8.7882786045782098</v>
      </c>
      <c r="L103" s="50">
        <f>VLOOKUP($A103,'Data shares'!$C:$FB,118)</f>
        <v>0.66</v>
      </c>
      <c r="M103" s="50">
        <f>VLOOKUP($A103,'Data shares'!$C:$FB,119)</f>
        <v>0.69</v>
      </c>
      <c r="N103" s="50">
        <f>VLOOKUP($A103,'Data shares'!$C:$FB,121)*100</f>
        <v>-4.3499999999999996</v>
      </c>
      <c r="O103" s="50">
        <f>VLOOKUP($A103,'Data shares'!$C:$FB,124)</f>
        <v>0.97</v>
      </c>
      <c r="P103" s="50">
        <f>VLOOKUP($A103,'Data shares'!$C:$FB,125)</f>
        <v>0.76</v>
      </c>
      <c r="Q103" s="50">
        <f>VLOOKUP($A103,'Data shares'!$C:$FB,127)*100</f>
        <v>27.63</v>
      </c>
    </row>
    <row r="104" spans="1:17" x14ac:dyDescent="0.25">
      <c r="A104" s="97" t="str">
        <f>'Data Vlaue (Cr)'!C99</f>
        <v>INDUSINDBK</v>
      </c>
      <c r="B104" s="140">
        <f>VLOOKUP($A104,'Data shares'!$C:$FB,7)</f>
        <v>860.35</v>
      </c>
      <c r="C104" s="140">
        <f>VLOOKUP($A104,'Data shares'!$C:$FB,3)</f>
        <v>860.1</v>
      </c>
      <c r="D104" s="140">
        <f>VLOOKUP($A104,'Data shares'!$C:$FB,4)</f>
        <v>868.75</v>
      </c>
      <c r="E104" s="50">
        <f t="shared" si="3"/>
        <v>-0.99568345323740748</v>
      </c>
      <c r="F104" s="49">
        <f>VLOOKUP($A104,'Data shares'!$C:$FB,98)</f>
        <v>54272400</v>
      </c>
      <c r="G104" s="49">
        <f>VLOOKUP($A104,'Data shares'!$C:$FB,99)</f>
        <v>52649800</v>
      </c>
      <c r="H104" s="50">
        <f t="shared" si="4"/>
        <v>3.081873055548169</v>
      </c>
      <c r="I104" s="49">
        <f>VLOOKUP($A104,'Data shares'!$C:$FB,66)</f>
        <v>38558100</v>
      </c>
      <c r="J104" s="49">
        <f>VLOOKUP($A104,'Data shares'!$C:$FB,67)</f>
        <v>23840600</v>
      </c>
      <c r="K104" s="50">
        <f t="shared" si="5"/>
        <v>38.169671223426462</v>
      </c>
      <c r="L104" s="50">
        <f>VLOOKUP($A104,'Data shares'!$C:$FB,118)</f>
        <v>0.77</v>
      </c>
      <c r="M104" s="50">
        <f>VLOOKUP($A104,'Data shares'!$C:$FB,119)</f>
        <v>0.84</v>
      </c>
      <c r="N104" s="50">
        <f>VLOOKUP($A104,'Data shares'!$C:$FB,121)*100</f>
        <v>-8.33</v>
      </c>
      <c r="O104" s="50">
        <f>VLOOKUP($A104,'Data shares'!$C:$FB,124)</f>
        <v>0.67</v>
      </c>
      <c r="P104" s="50">
        <f>VLOOKUP($A104,'Data shares'!$C:$FB,125)</f>
        <v>0.66</v>
      </c>
      <c r="Q104" s="50">
        <f>VLOOKUP($A104,'Data shares'!$C:$FB,127)*100</f>
        <v>1.52</v>
      </c>
    </row>
    <row r="105" spans="1:17" x14ac:dyDescent="0.25">
      <c r="A105" s="97" t="str">
        <f>'Data Vlaue (Cr)'!C100</f>
        <v>INDUSTOWER</v>
      </c>
      <c r="B105" s="140">
        <f>VLOOKUP($A105,'Data shares'!$C:$FB,7)</f>
        <v>404.7</v>
      </c>
      <c r="C105" s="140">
        <f>VLOOKUP($A105,'Data shares'!$C:$FB,3)</f>
        <v>405.1</v>
      </c>
      <c r="D105" s="140">
        <f>VLOOKUP($A105,'Data shares'!$C:$FB,4)</f>
        <v>409.1</v>
      </c>
      <c r="E105" s="50">
        <f t="shared" si="3"/>
        <v>-0.97775604986555853</v>
      </c>
      <c r="F105" s="49">
        <f>VLOOKUP($A105,'Data shares'!$C:$FB,98)</f>
        <v>119873800</v>
      </c>
      <c r="G105" s="49">
        <f>VLOOKUP($A105,'Data shares'!$C:$FB,99)</f>
        <v>117991900</v>
      </c>
      <c r="H105" s="50">
        <f t="shared" si="4"/>
        <v>1.5949399916434941</v>
      </c>
      <c r="I105" s="49">
        <f>VLOOKUP($A105,'Data shares'!$C:$FB,66)</f>
        <v>80416800</v>
      </c>
      <c r="J105" s="49">
        <f>VLOOKUP($A105,'Data shares'!$C:$FB,67)</f>
        <v>61842600</v>
      </c>
      <c r="K105" s="50">
        <f t="shared" si="5"/>
        <v>23.097412480974125</v>
      </c>
      <c r="L105" s="50">
        <f>VLOOKUP($A105,'Data shares'!$C:$FB,118)</f>
        <v>0.53</v>
      </c>
      <c r="M105" s="50">
        <f>VLOOKUP($A105,'Data shares'!$C:$FB,119)</f>
        <v>0.55000000000000004</v>
      </c>
      <c r="N105" s="50">
        <f>VLOOKUP($A105,'Data shares'!$C:$FB,121)*100</f>
        <v>-3.64</v>
      </c>
      <c r="O105" s="50">
        <f>VLOOKUP($A105,'Data shares'!$C:$FB,124)</f>
        <v>0.6</v>
      </c>
      <c r="P105" s="50">
        <f>VLOOKUP($A105,'Data shares'!$C:$FB,125)</f>
        <v>0.3</v>
      </c>
      <c r="Q105" s="50">
        <f>VLOOKUP($A105,'Data shares'!$C:$FB,127)*100</f>
        <v>100</v>
      </c>
    </row>
    <row r="106" spans="1:17" x14ac:dyDescent="0.25">
      <c r="A106" s="97" t="str">
        <f>'Data Vlaue (Cr)'!C101</f>
        <v>INFY</v>
      </c>
      <c r="B106" s="140">
        <f>VLOOKUP($A106,'Data shares'!$C:$FB,7)</f>
        <v>1240.5999999999999</v>
      </c>
      <c r="C106" s="140">
        <f>VLOOKUP($A106,'Data shares'!$C:$FB,3)</f>
        <v>1237.5999999999999</v>
      </c>
      <c r="D106" s="140">
        <f>VLOOKUP($A106,'Data shares'!$C:$FB,4)</f>
        <v>1272.2</v>
      </c>
      <c r="E106" s="50">
        <f t="shared" si="3"/>
        <v>-2.7196981606665722</v>
      </c>
      <c r="F106" s="49">
        <f>VLOOKUP($A106,'Data shares'!$C:$FB,98)</f>
        <v>159018400</v>
      </c>
      <c r="G106" s="49">
        <f>VLOOKUP($A106,'Data shares'!$C:$FB,99)</f>
        <v>139337200</v>
      </c>
      <c r="H106" s="50">
        <f t="shared" si="4"/>
        <v>14.124871175823827</v>
      </c>
      <c r="I106" s="49">
        <f>VLOOKUP($A106,'Data shares'!$C:$FB,66)</f>
        <v>187849200</v>
      </c>
      <c r="J106" s="49">
        <f>VLOOKUP($A106,'Data shares'!$C:$FB,67)</f>
        <v>150463200</v>
      </c>
      <c r="K106" s="50">
        <f t="shared" si="5"/>
        <v>19.902134265144593</v>
      </c>
      <c r="L106" s="50">
        <f>VLOOKUP($A106,'Data shares'!$C:$FB,118)</f>
        <v>0.78</v>
      </c>
      <c r="M106" s="50">
        <f>VLOOKUP($A106,'Data shares'!$C:$FB,119)</f>
        <v>0.78</v>
      </c>
      <c r="N106" s="50">
        <f>VLOOKUP($A106,'Data shares'!$C:$FB,121)*100</f>
        <v>0</v>
      </c>
      <c r="O106" s="50">
        <f>VLOOKUP($A106,'Data shares'!$C:$FB,124)</f>
        <v>0.97</v>
      </c>
      <c r="P106" s="50">
        <f>VLOOKUP($A106,'Data shares'!$C:$FB,125)</f>
        <v>0.67</v>
      </c>
      <c r="Q106" s="50">
        <f>VLOOKUP($A106,'Data shares'!$C:$FB,127)*100</f>
        <v>44.78</v>
      </c>
    </row>
    <row r="107" spans="1:17" x14ac:dyDescent="0.25">
      <c r="A107" s="97" t="str">
        <f>'Data Vlaue (Cr)'!C102</f>
        <v>INOXWIND</v>
      </c>
      <c r="B107" s="140">
        <f>VLOOKUP($A107,'Data shares'!$C:$FB,7)</f>
        <v>101.79</v>
      </c>
      <c r="C107" s="140">
        <f>VLOOKUP($A107,'Data shares'!$C:$FB,3)</f>
        <v>101.87</v>
      </c>
      <c r="D107" s="140">
        <f>VLOOKUP($A107,'Data shares'!$C:$FB,4)</f>
        <v>104.45</v>
      </c>
      <c r="E107" s="50">
        <f t="shared" si="3"/>
        <v>-2.4700813786500699</v>
      </c>
      <c r="F107" s="49">
        <f>VLOOKUP($A107,'Data shares'!$C:$FB,98)</f>
        <v>146199625</v>
      </c>
      <c r="G107" s="49">
        <f>VLOOKUP($A107,'Data shares'!$C:$FB,99)</f>
        <v>146060200</v>
      </c>
      <c r="H107" s="50">
        <f t="shared" si="4"/>
        <v>9.545721558644997E-2</v>
      </c>
      <c r="I107" s="49">
        <f>VLOOKUP($A107,'Data shares'!$C:$FB,66)</f>
        <v>70738525</v>
      </c>
      <c r="J107" s="49">
        <f>VLOOKUP($A107,'Data shares'!$C:$FB,67)</f>
        <v>95620525</v>
      </c>
      <c r="K107" s="50">
        <f t="shared" si="5"/>
        <v>-35.174609592156465</v>
      </c>
      <c r="L107" s="50">
        <f>VLOOKUP($A107,'Data shares'!$C:$FB,118)</f>
        <v>0.9</v>
      </c>
      <c r="M107" s="50">
        <f>VLOOKUP($A107,'Data shares'!$C:$FB,119)</f>
        <v>0.9</v>
      </c>
      <c r="N107" s="50">
        <f>VLOOKUP($A107,'Data shares'!$C:$FB,121)*100</f>
        <v>0</v>
      </c>
      <c r="O107" s="50">
        <f>VLOOKUP($A107,'Data shares'!$C:$FB,124)</f>
        <v>0.65</v>
      </c>
      <c r="P107" s="50">
        <f>VLOOKUP($A107,'Data shares'!$C:$FB,125)</f>
        <v>0.35</v>
      </c>
      <c r="Q107" s="50">
        <f>VLOOKUP($A107,'Data shares'!$C:$FB,127)*100</f>
        <v>85.71</v>
      </c>
    </row>
    <row r="108" spans="1:17" x14ac:dyDescent="0.25">
      <c r="A108" s="97" t="str">
        <f>'Data Vlaue (Cr)'!C103</f>
        <v>IOC</v>
      </c>
      <c r="B108" s="140">
        <f>VLOOKUP($A108,'Data shares'!$C:$FB,7)</f>
        <v>145.47999999999999</v>
      </c>
      <c r="C108" s="140">
        <f>VLOOKUP($A108,'Data shares'!$C:$FB,3)</f>
        <v>145.46</v>
      </c>
      <c r="D108" s="140">
        <f>VLOOKUP($A108,'Data shares'!$C:$FB,4)</f>
        <v>147.49</v>
      </c>
      <c r="E108" s="50">
        <f t="shared" si="3"/>
        <v>-1.3763644992880879</v>
      </c>
      <c r="F108" s="49">
        <f>VLOOKUP($A108,'Data shares'!$C:$FB,98)</f>
        <v>219794250</v>
      </c>
      <c r="G108" s="49">
        <f>VLOOKUP($A108,'Data shares'!$C:$FB,99)</f>
        <v>221739375</v>
      </c>
      <c r="H108" s="50">
        <f t="shared" si="4"/>
        <v>-0.87721226778058703</v>
      </c>
      <c r="I108" s="49">
        <f>VLOOKUP($A108,'Data shares'!$C:$FB,66)</f>
        <v>150028125</v>
      </c>
      <c r="J108" s="49">
        <f>VLOOKUP($A108,'Data shares'!$C:$FB,67)</f>
        <v>71974500</v>
      </c>
      <c r="K108" s="50">
        <f t="shared" si="5"/>
        <v>52.025995125913894</v>
      </c>
      <c r="L108" s="50">
        <f>VLOOKUP($A108,'Data shares'!$C:$FB,118)</f>
        <v>0.74</v>
      </c>
      <c r="M108" s="50">
        <f>VLOOKUP($A108,'Data shares'!$C:$FB,119)</f>
        <v>0.73</v>
      </c>
      <c r="N108" s="50">
        <f>VLOOKUP($A108,'Data shares'!$C:$FB,121)*100</f>
        <v>1.37</v>
      </c>
      <c r="O108" s="50">
        <f>VLOOKUP($A108,'Data shares'!$C:$FB,124)</f>
        <v>0.75</v>
      </c>
      <c r="P108" s="50">
        <f>VLOOKUP($A108,'Data shares'!$C:$FB,125)</f>
        <v>0.62</v>
      </c>
      <c r="Q108" s="50">
        <f>VLOOKUP($A108,'Data shares'!$C:$FB,127)*100</f>
        <v>20.97</v>
      </c>
    </row>
    <row r="109" spans="1:17" x14ac:dyDescent="0.25">
      <c r="A109" s="97" t="str">
        <f>'Data Vlaue (Cr)'!C104</f>
        <v>IREDA</v>
      </c>
      <c r="B109" s="140">
        <f>VLOOKUP($A109,'Data shares'!$C:$FB,7)</f>
        <v>137.52000000000001</v>
      </c>
      <c r="C109" s="140">
        <f>VLOOKUP($A109,'Data shares'!$C:$FB,3)</f>
        <v>137.56</v>
      </c>
      <c r="D109" s="140">
        <f>VLOOKUP($A109,'Data shares'!$C:$FB,4)</f>
        <v>140.88999999999999</v>
      </c>
      <c r="E109" s="50">
        <f t="shared" si="3"/>
        <v>-2.3635460288167964</v>
      </c>
      <c r="F109" s="49">
        <f>VLOOKUP($A109,'Data shares'!$C:$FB,98)</f>
        <v>121195050</v>
      </c>
      <c r="G109" s="49">
        <f>VLOOKUP($A109,'Data shares'!$C:$FB,99)</f>
        <v>130610100</v>
      </c>
      <c r="H109" s="50">
        <f t="shared" si="4"/>
        <v>-7.2085160335992393</v>
      </c>
      <c r="I109" s="49">
        <f>VLOOKUP($A109,'Data shares'!$C:$FB,66)</f>
        <v>129399150</v>
      </c>
      <c r="J109" s="49">
        <f>VLOOKUP($A109,'Data shares'!$C:$FB,67)</f>
        <v>373524600</v>
      </c>
      <c r="K109" s="50">
        <f t="shared" si="5"/>
        <v>-188.66078332044685</v>
      </c>
      <c r="L109" s="50">
        <f>VLOOKUP($A109,'Data shares'!$C:$FB,118)</f>
        <v>0.89</v>
      </c>
      <c r="M109" s="50">
        <f>VLOOKUP($A109,'Data shares'!$C:$FB,119)</f>
        <v>1.01</v>
      </c>
      <c r="N109" s="50">
        <f>VLOOKUP($A109,'Data shares'!$C:$FB,121)*100</f>
        <v>-11.88</v>
      </c>
      <c r="O109" s="50">
        <f>VLOOKUP($A109,'Data shares'!$C:$FB,124)</f>
        <v>0.66</v>
      </c>
      <c r="P109" s="50">
        <f>VLOOKUP($A109,'Data shares'!$C:$FB,125)</f>
        <v>0.36</v>
      </c>
      <c r="Q109" s="50">
        <f>VLOOKUP($A109,'Data shares'!$C:$FB,127)*100</f>
        <v>83.33</v>
      </c>
    </row>
    <row r="110" spans="1:17" x14ac:dyDescent="0.25">
      <c r="A110" s="97" t="str">
        <f>'Data Vlaue (Cr)'!C105</f>
        <v>IRFC</v>
      </c>
      <c r="B110" s="140">
        <f>VLOOKUP($A110,'Data shares'!$C:$FB,7)</f>
        <v>105.06</v>
      </c>
      <c r="C110" s="140">
        <f>VLOOKUP($A110,'Data shares'!$C:$FB,3)</f>
        <v>104.51</v>
      </c>
      <c r="D110" s="140">
        <f>VLOOKUP($A110,'Data shares'!$C:$FB,4)</f>
        <v>106.19</v>
      </c>
      <c r="E110" s="50">
        <f t="shared" si="3"/>
        <v>-1.5820698747527946</v>
      </c>
      <c r="F110" s="49">
        <f>VLOOKUP($A110,'Data shares'!$C:$FB,98)</f>
        <v>152711000</v>
      </c>
      <c r="G110" s="49">
        <f>VLOOKUP($A110,'Data shares'!$C:$FB,99)</f>
        <v>137266500</v>
      </c>
      <c r="H110" s="50">
        <f t="shared" si="4"/>
        <v>11.251470679299027</v>
      </c>
      <c r="I110" s="49">
        <f>VLOOKUP($A110,'Data shares'!$C:$FB,66)</f>
        <v>231340250</v>
      </c>
      <c r="J110" s="49">
        <f>VLOOKUP($A110,'Data shares'!$C:$FB,67)</f>
        <v>141491000</v>
      </c>
      <c r="K110" s="50">
        <f t="shared" si="5"/>
        <v>38.838572189664355</v>
      </c>
      <c r="L110" s="50">
        <f>VLOOKUP($A110,'Data shares'!$C:$FB,118)</f>
        <v>0.59</v>
      </c>
      <c r="M110" s="50">
        <f>VLOOKUP($A110,'Data shares'!$C:$FB,119)</f>
        <v>0.71</v>
      </c>
      <c r="N110" s="50">
        <f>VLOOKUP($A110,'Data shares'!$C:$FB,121)*100</f>
        <v>-16.900000000000002</v>
      </c>
      <c r="O110" s="50">
        <f>VLOOKUP($A110,'Data shares'!$C:$FB,124)</f>
        <v>0.26</v>
      </c>
      <c r="P110" s="50">
        <f>VLOOKUP($A110,'Data shares'!$C:$FB,125)</f>
        <v>0.26</v>
      </c>
      <c r="Q110" s="50">
        <f>VLOOKUP($A110,'Data shares'!$C:$FB,127)*100</f>
        <v>0</v>
      </c>
    </row>
    <row r="111" spans="1:17" x14ac:dyDescent="0.25">
      <c r="A111" s="97" t="str">
        <f>'Data Vlaue (Cr)'!C106</f>
        <v>ITC</v>
      </c>
      <c r="B111" s="140">
        <f>VLOOKUP($A111,'Data shares'!$C:$FB,7)</f>
        <v>305.3</v>
      </c>
      <c r="C111" s="140">
        <f>VLOOKUP($A111,'Data shares'!$C:$FB,3)</f>
        <v>305.05</v>
      </c>
      <c r="D111" s="140">
        <f>VLOOKUP($A111,'Data shares'!$C:$FB,4)</f>
        <v>305.8</v>
      </c>
      <c r="E111" s="50">
        <f t="shared" si="3"/>
        <v>-0.24525833878351863</v>
      </c>
      <c r="F111" s="49">
        <f>VLOOKUP($A111,'Data shares'!$C:$FB,98)</f>
        <v>365785600</v>
      </c>
      <c r="G111" s="49">
        <f>VLOOKUP($A111,'Data shares'!$C:$FB,99)</f>
        <v>364392000</v>
      </c>
      <c r="H111" s="50">
        <f t="shared" si="4"/>
        <v>0.38244527871083889</v>
      </c>
      <c r="I111" s="49">
        <f>VLOOKUP($A111,'Data shares'!$C:$FB,66)</f>
        <v>190270400</v>
      </c>
      <c r="J111" s="49">
        <f>VLOOKUP($A111,'Data shares'!$C:$FB,67)</f>
        <v>229926400</v>
      </c>
      <c r="K111" s="50">
        <f t="shared" si="5"/>
        <v>-20.841917607783451</v>
      </c>
      <c r="L111" s="50">
        <f>VLOOKUP($A111,'Data shares'!$C:$FB,118)</f>
        <v>0.5</v>
      </c>
      <c r="M111" s="50">
        <f>VLOOKUP($A111,'Data shares'!$C:$FB,119)</f>
        <v>0.5</v>
      </c>
      <c r="N111" s="50">
        <f>VLOOKUP($A111,'Data shares'!$C:$FB,121)*100</f>
        <v>0</v>
      </c>
      <c r="O111" s="50">
        <f>VLOOKUP($A111,'Data shares'!$C:$FB,124)</f>
        <v>0.4</v>
      </c>
      <c r="P111" s="50">
        <f>VLOOKUP($A111,'Data shares'!$C:$FB,125)</f>
        <v>0.36</v>
      </c>
      <c r="Q111" s="50">
        <f>VLOOKUP($A111,'Data shares'!$C:$FB,127)*100</f>
        <v>11.110000000000001</v>
      </c>
    </row>
    <row r="112" spans="1:17" x14ac:dyDescent="0.25">
      <c r="A112" s="97" t="str">
        <f>'Data Vlaue (Cr)'!C107</f>
        <v>JINDALSTEL</v>
      </c>
      <c r="B112" s="140">
        <f>VLOOKUP($A112,'Data shares'!$C:$FB,7)</f>
        <v>1254.5</v>
      </c>
      <c r="C112" s="140">
        <f>VLOOKUP($A112,'Data shares'!$C:$FB,3)</f>
        <v>1257.5999999999999</v>
      </c>
      <c r="D112" s="140">
        <f>VLOOKUP($A112,'Data shares'!$C:$FB,4)</f>
        <v>1282.4000000000001</v>
      </c>
      <c r="E112" s="50">
        <f t="shared" si="3"/>
        <v>-1.933873986275747</v>
      </c>
      <c r="F112" s="49">
        <f>VLOOKUP($A112,'Data shares'!$C:$FB,98)</f>
        <v>22072500</v>
      </c>
      <c r="G112" s="49">
        <f>VLOOKUP($A112,'Data shares'!$C:$FB,99)</f>
        <v>22479375</v>
      </c>
      <c r="H112" s="50">
        <f t="shared" si="4"/>
        <v>-1.8099924931186924</v>
      </c>
      <c r="I112" s="49">
        <f>VLOOKUP($A112,'Data shares'!$C:$FB,66)</f>
        <v>16430000</v>
      </c>
      <c r="J112" s="49">
        <f>VLOOKUP($A112,'Data shares'!$C:$FB,67)</f>
        <v>10348750</v>
      </c>
      <c r="K112" s="50">
        <f t="shared" si="5"/>
        <v>37.013085818624468</v>
      </c>
      <c r="L112" s="50">
        <f>VLOOKUP($A112,'Data shares'!$C:$FB,118)</f>
        <v>1.05</v>
      </c>
      <c r="M112" s="50">
        <f>VLOOKUP($A112,'Data shares'!$C:$FB,119)</f>
        <v>1.1200000000000001</v>
      </c>
      <c r="N112" s="50">
        <f>VLOOKUP($A112,'Data shares'!$C:$FB,121)*100</f>
        <v>-6.25</v>
      </c>
      <c r="O112" s="50">
        <f>VLOOKUP($A112,'Data shares'!$C:$FB,124)</f>
        <v>0.9</v>
      </c>
      <c r="P112" s="50">
        <f>VLOOKUP($A112,'Data shares'!$C:$FB,125)</f>
        <v>1.1299999999999999</v>
      </c>
      <c r="Q112" s="50">
        <f>VLOOKUP($A112,'Data shares'!$C:$FB,127)*100</f>
        <v>-20.349999999999998</v>
      </c>
    </row>
    <row r="113" spans="1:17" x14ac:dyDescent="0.25">
      <c r="A113" s="97" t="str">
        <f>'Data Vlaue (Cr)'!C108</f>
        <v>JIOFIN</v>
      </c>
      <c r="B113" s="140">
        <f>VLOOKUP($A113,'Data shares'!$C:$FB,7)</f>
        <v>248.66</v>
      </c>
      <c r="C113" s="140">
        <f>VLOOKUP($A113,'Data shares'!$C:$FB,3)</f>
        <v>248.92</v>
      </c>
      <c r="D113" s="140">
        <f>VLOOKUP($A113,'Data shares'!$C:$FB,4)</f>
        <v>238.96</v>
      </c>
      <c r="E113" s="50">
        <f t="shared" si="3"/>
        <v>4.1680616002678184</v>
      </c>
      <c r="F113" s="49">
        <f>VLOOKUP($A113,'Data shares'!$C:$FB,98)</f>
        <v>316918650</v>
      </c>
      <c r="G113" s="49">
        <f>VLOOKUP($A113,'Data shares'!$C:$FB,99)</f>
        <v>314965800</v>
      </c>
      <c r="H113" s="50">
        <f t="shared" si="4"/>
        <v>0.62001969737666751</v>
      </c>
      <c r="I113" s="49">
        <f>VLOOKUP($A113,'Data shares'!$C:$FB,66)</f>
        <v>584257000</v>
      </c>
      <c r="J113" s="49">
        <f>VLOOKUP($A113,'Data shares'!$C:$FB,67)</f>
        <v>281593450</v>
      </c>
      <c r="K113" s="50">
        <f t="shared" si="5"/>
        <v>51.803153406805571</v>
      </c>
      <c r="L113" s="50">
        <f>VLOOKUP($A113,'Data shares'!$C:$FB,118)</f>
        <v>0.71</v>
      </c>
      <c r="M113" s="50">
        <f>VLOOKUP($A113,'Data shares'!$C:$FB,119)</f>
        <v>0.67</v>
      </c>
      <c r="N113" s="50">
        <f>VLOOKUP($A113,'Data shares'!$C:$FB,121)*100</f>
        <v>5.9700000000000006</v>
      </c>
      <c r="O113" s="50">
        <f>VLOOKUP($A113,'Data shares'!$C:$FB,124)</f>
        <v>0.43</v>
      </c>
      <c r="P113" s="50">
        <f>VLOOKUP($A113,'Data shares'!$C:$FB,125)</f>
        <v>0.51</v>
      </c>
      <c r="Q113" s="50">
        <f>VLOOKUP($A113,'Data shares'!$C:$FB,127)*100</f>
        <v>-15.690000000000001</v>
      </c>
    </row>
    <row r="114" spans="1:17" x14ac:dyDescent="0.25">
      <c r="A114" s="97" t="str">
        <f>'Data Vlaue (Cr)'!C109</f>
        <v>JSWENERGY</v>
      </c>
      <c r="B114" s="140">
        <f>VLOOKUP($A114,'Data shares'!$C:$FB,7)</f>
        <v>561.4</v>
      </c>
      <c r="C114" s="140">
        <f>VLOOKUP($A114,'Data shares'!$C:$FB,3)</f>
        <v>560.4</v>
      </c>
      <c r="D114" s="140">
        <f>VLOOKUP($A114,'Data shares'!$C:$FB,4)</f>
        <v>560.35</v>
      </c>
      <c r="E114" s="50">
        <f t="shared" si="3"/>
        <v>8.9229945569652049E-3</v>
      </c>
      <c r="F114" s="49">
        <f>VLOOKUP($A114,'Data shares'!$C:$FB,98)</f>
        <v>40222000</v>
      </c>
      <c r="G114" s="49">
        <f>VLOOKUP($A114,'Data shares'!$C:$FB,99)</f>
        <v>40987000</v>
      </c>
      <c r="H114" s="50">
        <f t="shared" si="4"/>
        <v>-1.8664454583160512</v>
      </c>
      <c r="I114" s="49">
        <f>VLOOKUP($A114,'Data shares'!$C:$FB,66)</f>
        <v>37879000</v>
      </c>
      <c r="J114" s="49">
        <f>VLOOKUP($A114,'Data shares'!$C:$FB,67)</f>
        <v>43315000</v>
      </c>
      <c r="K114" s="50">
        <f t="shared" si="5"/>
        <v>-14.350959634626046</v>
      </c>
      <c r="L114" s="50">
        <f>VLOOKUP($A114,'Data shares'!$C:$FB,118)</f>
        <v>0.75</v>
      </c>
      <c r="M114" s="50">
        <f>VLOOKUP($A114,'Data shares'!$C:$FB,119)</f>
        <v>0.7</v>
      </c>
      <c r="N114" s="50">
        <f>VLOOKUP($A114,'Data shares'!$C:$FB,121)*100</f>
        <v>7.1400000000000006</v>
      </c>
      <c r="O114" s="50">
        <f>VLOOKUP($A114,'Data shares'!$C:$FB,124)</f>
        <v>0.33</v>
      </c>
      <c r="P114" s="50">
        <f>VLOOKUP($A114,'Data shares'!$C:$FB,125)</f>
        <v>0.31</v>
      </c>
      <c r="Q114" s="50">
        <f>VLOOKUP($A114,'Data shares'!$C:$FB,127)*100</f>
        <v>6.45</v>
      </c>
    </row>
    <row r="115" spans="1:17" x14ac:dyDescent="0.25">
      <c r="A115" s="97" t="str">
        <f>'Data Vlaue (Cr)'!C110</f>
        <v>JSWSTEEL</v>
      </c>
      <c r="B115" s="140">
        <f>VLOOKUP($A115,'Data shares'!$C:$FB,7)</f>
        <v>1257</v>
      </c>
      <c r="C115" s="140">
        <f>VLOOKUP($A115,'Data shares'!$C:$FB,3)</f>
        <v>1254.9000000000001</v>
      </c>
      <c r="D115" s="140">
        <f>VLOOKUP($A115,'Data shares'!$C:$FB,4)</f>
        <v>1265.4000000000001</v>
      </c>
      <c r="E115" s="50">
        <f t="shared" si="3"/>
        <v>-0.82977714556661908</v>
      </c>
      <c r="F115" s="49">
        <f>VLOOKUP($A115,'Data shares'!$C:$FB,98)</f>
        <v>62635275</v>
      </c>
      <c r="G115" s="49">
        <f>VLOOKUP($A115,'Data shares'!$C:$FB,99)</f>
        <v>62841825</v>
      </c>
      <c r="H115" s="50">
        <f t="shared" si="4"/>
        <v>-0.32868237037991815</v>
      </c>
      <c r="I115" s="49">
        <f>VLOOKUP($A115,'Data shares'!$C:$FB,66)</f>
        <v>38207025</v>
      </c>
      <c r="J115" s="49">
        <f>VLOOKUP($A115,'Data shares'!$C:$FB,67)</f>
        <v>25283475</v>
      </c>
      <c r="K115" s="50">
        <f t="shared" si="5"/>
        <v>33.825062275851103</v>
      </c>
      <c r="L115" s="50">
        <f>VLOOKUP($A115,'Data shares'!$C:$FB,118)</f>
        <v>0.89</v>
      </c>
      <c r="M115" s="50">
        <f>VLOOKUP($A115,'Data shares'!$C:$FB,119)</f>
        <v>0.9</v>
      </c>
      <c r="N115" s="50">
        <f>VLOOKUP($A115,'Data shares'!$C:$FB,121)*100</f>
        <v>-1.1100000000000001</v>
      </c>
      <c r="O115" s="50">
        <f>VLOOKUP($A115,'Data shares'!$C:$FB,124)</f>
        <v>0.48</v>
      </c>
      <c r="P115" s="50">
        <f>VLOOKUP($A115,'Data shares'!$C:$FB,125)</f>
        <v>0.67</v>
      </c>
      <c r="Q115" s="50">
        <f>VLOOKUP($A115,'Data shares'!$C:$FB,127)*100</f>
        <v>-28.360000000000003</v>
      </c>
    </row>
    <row r="116" spans="1:17" x14ac:dyDescent="0.25">
      <c r="A116" s="97" t="str">
        <f>'Data Vlaue (Cr)'!C111</f>
        <v>JUBLFOOD</v>
      </c>
      <c r="B116" s="140">
        <f>VLOOKUP($A116,'Data shares'!$C:$FB,7)</f>
        <v>492.85</v>
      </c>
      <c r="C116" s="140">
        <f>VLOOKUP($A116,'Data shares'!$C:$FB,3)</f>
        <v>491</v>
      </c>
      <c r="D116" s="140">
        <f>VLOOKUP($A116,'Data shares'!$C:$FB,4)</f>
        <v>489.6</v>
      </c>
      <c r="E116" s="50">
        <f t="shared" si="3"/>
        <v>0.28594771241829597</v>
      </c>
      <c r="F116" s="49">
        <f>VLOOKUP($A116,'Data shares'!$C:$FB,98)</f>
        <v>74906250</v>
      </c>
      <c r="G116" s="49">
        <f>VLOOKUP($A116,'Data shares'!$C:$FB,99)</f>
        <v>80405000</v>
      </c>
      <c r="H116" s="50">
        <f t="shared" si="4"/>
        <v>-6.8388159940302211</v>
      </c>
      <c r="I116" s="49">
        <f>VLOOKUP($A116,'Data shares'!$C:$FB,66)</f>
        <v>67210000</v>
      </c>
      <c r="J116" s="49">
        <f>VLOOKUP($A116,'Data shares'!$C:$FB,67)</f>
        <v>77036250</v>
      </c>
      <c r="K116" s="50">
        <f t="shared" si="5"/>
        <v>-14.620220205326589</v>
      </c>
      <c r="L116" s="50">
        <f>VLOOKUP($A116,'Data shares'!$C:$FB,118)</f>
        <v>0.86</v>
      </c>
      <c r="M116" s="50">
        <f>VLOOKUP($A116,'Data shares'!$C:$FB,119)</f>
        <v>0.87</v>
      </c>
      <c r="N116" s="50">
        <f>VLOOKUP($A116,'Data shares'!$C:$FB,121)*100</f>
        <v>-1.1499999999999999</v>
      </c>
      <c r="O116" s="50">
        <f>VLOOKUP($A116,'Data shares'!$C:$FB,124)</f>
        <v>0.46</v>
      </c>
      <c r="P116" s="50">
        <f>VLOOKUP($A116,'Data shares'!$C:$FB,125)</f>
        <v>0.45</v>
      </c>
      <c r="Q116" s="50">
        <f>VLOOKUP($A116,'Data shares'!$C:$FB,127)*100</f>
        <v>2.2200000000000002</v>
      </c>
    </row>
    <row r="117" spans="1:17" x14ac:dyDescent="0.25">
      <c r="A117" s="97" t="str">
        <f>'Data Vlaue (Cr)'!C112</f>
        <v>KALYANKJIL</v>
      </c>
      <c r="B117" s="140">
        <f>VLOOKUP($A117,'Data shares'!$C:$FB,7)</f>
        <v>412.85</v>
      </c>
      <c r="C117" s="140">
        <f>VLOOKUP($A117,'Data shares'!$C:$FB,3)</f>
        <v>413.3</v>
      </c>
      <c r="D117" s="140">
        <f>VLOOKUP($A117,'Data shares'!$C:$FB,4)</f>
        <v>415.35</v>
      </c>
      <c r="E117" s="50">
        <f t="shared" si="3"/>
        <v>-0.49355964848922862</v>
      </c>
      <c r="F117" s="49">
        <f>VLOOKUP($A117,'Data shares'!$C:$FB,98)</f>
        <v>48363000</v>
      </c>
      <c r="G117" s="49">
        <f>VLOOKUP($A117,'Data shares'!$C:$FB,99)</f>
        <v>50418075</v>
      </c>
      <c r="H117" s="50">
        <f t="shared" si="4"/>
        <v>-4.0760679577710972</v>
      </c>
      <c r="I117" s="49">
        <f>VLOOKUP($A117,'Data shares'!$C:$FB,66)</f>
        <v>37830300</v>
      </c>
      <c r="J117" s="49">
        <f>VLOOKUP($A117,'Data shares'!$C:$FB,67)</f>
        <v>19098450</v>
      </c>
      <c r="K117" s="50">
        <f t="shared" si="5"/>
        <v>49.515467759970186</v>
      </c>
      <c r="L117" s="50">
        <f>VLOOKUP($A117,'Data shares'!$C:$FB,118)</f>
        <v>0.46</v>
      </c>
      <c r="M117" s="50">
        <f>VLOOKUP($A117,'Data shares'!$C:$FB,119)</f>
        <v>0.42</v>
      </c>
      <c r="N117" s="50">
        <f>VLOOKUP($A117,'Data shares'!$C:$FB,121)*100</f>
        <v>9.5200000000000014</v>
      </c>
      <c r="O117" s="50">
        <f>VLOOKUP($A117,'Data shares'!$C:$FB,124)</f>
        <v>0.36</v>
      </c>
      <c r="P117" s="50">
        <f>VLOOKUP($A117,'Data shares'!$C:$FB,125)</f>
        <v>0.43</v>
      </c>
      <c r="Q117" s="50">
        <f>VLOOKUP($A117,'Data shares'!$C:$FB,127)*100</f>
        <v>-16.28</v>
      </c>
    </row>
    <row r="118" spans="1:17" x14ac:dyDescent="0.25">
      <c r="A118" s="97" t="str">
        <f>'Data Vlaue (Cr)'!C113</f>
        <v>KAYNES</v>
      </c>
      <c r="B118" s="140">
        <f>VLOOKUP($A118,'Data shares'!$C:$FB,7)</f>
        <v>4387.7</v>
      </c>
      <c r="C118" s="140">
        <f>VLOOKUP($A118,'Data shares'!$C:$FB,3)</f>
        <v>4381.3</v>
      </c>
      <c r="D118" s="140">
        <f>VLOOKUP($A118,'Data shares'!$C:$FB,4)</f>
        <v>4454.3999999999996</v>
      </c>
      <c r="E118" s="50">
        <f t="shared" si="3"/>
        <v>-1.6410739942528614</v>
      </c>
      <c r="F118" s="49">
        <f>VLOOKUP($A118,'Data shares'!$C:$FB,98)</f>
        <v>6329100</v>
      </c>
      <c r="G118" s="49">
        <f>VLOOKUP($A118,'Data shares'!$C:$FB,99)</f>
        <v>6810600</v>
      </c>
      <c r="H118" s="50">
        <f t="shared" si="4"/>
        <v>-7.0698616861950487</v>
      </c>
      <c r="I118" s="49">
        <f>VLOOKUP($A118,'Data shares'!$C:$FB,66)</f>
        <v>7788900</v>
      </c>
      <c r="J118" s="49">
        <f>VLOOKUP($A118,'Data shares'!$C:$FB,67)</f>
        <v>14175400</v>
      </c>
      <c r="K118" s="50">
        <f t="shared" si="5"/>
        <v>-81.99489016420803</v>
      </c>
      <c r="L118" s="50">
        <f>VLOOKUP($A118,'Data shares'!$C:$FB,118)</f>
        <v>0.84</v>
      </c>
      <c r="M118" s="50">
        <f>VLOOKUP($A118,'Data shares'!$C:$FB,119)</f>
        <v>0.96</v>
      </c>
      <c r="N118" s="50">
        <f>VLOOKUP($A118,'Data shares'!$C:$FB,121)*100</f>
        <v>-12.5</v>
      </c>
      <c r="O118" s="50">
        <f>VLOOKUP($A118,'Data shares'!$C:$FB,124)</f>
        <v>0.71</v>
      </c>
      <c r="P118" s="50">
        <f>VLOOKUP($A118,'Data shares'!$C:$FB,125)</f>
        <v>0.57999999999999996</v>
      </c>
      <c r="Q118" s="50">
        <f>VLOOKUP($A118,'Data shares'!$C:$FB,127)*100</f>
        <v>22.41</v>
      </c>
    </row>
    <row r="119" spans="1:17" x14ac:dyDescent="0.25">
      <c r="A119" s="97" t="str">
        <f>'Data Vlaue (Cr)'!C114</f>
        <v>KEI</v>
      </c>
      <c r="B119" s="140">
        <f>VLOOKUP($A119,'Data shares'!$C:$FB,7)</f>
        <v>4839.5</v>
      </c>
      <c r="C119" s="140">
        <f>VLOOKUP($A119,'Data shares'!$C:$FB,3)</f>
        <v>4855</v>
      </c>
      <c r="D119" s="140">
        <f>VLOOKUP($A119,'Data shares'!$C:$FB,4)</f>
        <v>4905.8</v>
      </c>
      <c r="E119" s="50">
        <f t="shared" si="3"/>
        <v>-1.0355089893595373</v>
      </c>
      <c r="F119" s="49">
        <f>VLOOKUP($A119,'Data shares'!$C:$FB,98)</f>
        <v>3659950</v>
      </c>
      <c r="G119" s="49">
        <f>VLOOKUP($A119,'Data shares'!$C:$FB,99)</f>
        <v>3974250</v>
      </c>
      <c r="H119" s="50">
        <f t="shared" si="4"/>
        <v>-7.9084103918978421</v>
      </c>
      <c r="I119" s="49">
        <f>VLOOKUP($A119,'Data shares'!$C:$FB,66)</f>
        <v>4111450</v>
      </c>
      <c r="J119" s="49">
        <f>VLOOKUP($A119,'Data shares'!$C:$FB,67)</f>
        <v>4414025</v>
      </c>
      <c r="K119" s="50">
        <f t="shared" si="5"/>
        <v>-7.3593257853068872</v>
      </c>
      <c r="L119" s="50">
        <f>VLOOKUP($A119,'Data shares'!$C:$FB,118)</f>
        <v>0.71</v>
      </c>
      <c r="M119" s="50">
        <f>VLOOKUP($A119,'Data shares'!$C:$FB,119)</f>
        <v>0.75</v>
      </c>
      <c r="N119" s="50">
        <f>VLOOKUP($A119,'Data shares'!$C:$FB,121)*100</f>
        <v>-5.33</v>
      </c>
      <c r="O119" s="50">
        <f>VLOOKUP($A119,'Data shares'!$C:$FB,124)</f>
        <v>1</v>
      </c>
      <c r="P119" s="50">
        <f>VLOOKUP($A119,'Data shares'!$C:$FB,125)</f>
        <v>1.7</v>
      </c>
      <c r="Q119" s="50">
        <f>VLOOKUP($A119,'Data shares'!$C:$FB,127)*100</f>
        <v>-41.18</v>
      </c>
    </row>
    <row r="120" spans="1:17" x14ac:dyDescent="0.25">
      <c r="A120" s="97" t="str">
        <f>'Data Vlaue (Cr)'!C115</f>
        <v>KFINTECH</v>
      </c>
      <c r="B120" s="140">
        <f>VLOOKUP($A120,'Data shares'!$C:$FB,7)</f>
        <v>981.9</v>
      </c>
      <c r="C120" s="140">
        <f>VLOOKUP($A120,'Data shares'!$C:$FB,3)</f>
        <v>985.4</v>
      </c>
      <c r="D120" s="140">
        <f>VLOOKUP($A120,'Data shares'!$C:$FB,4)</f>
        <v>989.05</v>
      </c>
      <c r="E120" s="50">
        <f t="shared" si="3"/>
        <v>-0.36904099893837294</v>
      </c>
      <c r="F120" s="49">
        <f>VLOOKUP($A120,'Data shares'!$C:$FB,98)</f>
        <v>7681000</v>
      </c>
      <c r="G120" s="49">
        <f>VLOOKUP($A120,'Data shares'!$C:$FB,99)</f>
        <v>8382500</v>
      </c>
      <c r="H120" s="50">
        <f t="shared" si="4"/>
        <v>-8.3686251118401422</v>
      </c>
      <c r="I120" s="49">
        <f>VLOOKUP($A120,'Data shares'!$C:$FB,66)</f>
        <v>4889500</v>
      </c>
      <c r="J120" s="49">
        <f>VLOOKUP($A120,'Data shares'!$C:$FB,67)</f>
        <v>4267000</v>
      </c>
      <c r="K120" s="50">
        <f t="shared" si="5"/>
        <v>12.731363125063913</v>
      </c>
      <c r="L120" s="50">
        <f>VLOOKUP($A120,'Data shares'!$C:$FB,118)</f>
        <v>0.67</v>
      </c>
      <c r="M120" s="50">
        <f>VLOOKUP($A120,'Data shares'!$C:$FB,119)</f>
        <v>0.61</v>
      </c>
      <c r="N120" s="50">
        <f>VLOOKUP($A120,'Data shares'!$C:$FB,121)*100</f>
        <v>9.84</v>
      </c>
      <c r="O120" s="50">
        <f>VLOOKUP($A120,'Data shares'!$C:$FB,124)</f>
        <v>0.37</v>
      </c>
      <c r="P120" s="50">
        <f>VLOOKUP($A120,'Data shares'!$C:$FB,125)</f>
        <v>0.21</v>
      </c>
      <c r="Q120" s="50">
        <f>VLOOKUP($A120,'Data shares'!$C:$FB,127)*100</f>
        <v>76.19</v>
      </c>
    </row>
    <row r="121" spans="1:17" x14ac:dyDescent="0.25">
      <c r="A121" s="97" t="str">
        <f>'Data Vlaue (Cr)'!C116</f>
        <v>KOTAKBANK</v>
      </c>
      <c r="B121" s="140">
        <f>VLOOKUP($A121,'Data shares'!$C:$FB,7)</f>
        <v>370.4</v>
      </c>
      <c r="C121" s="140">
        <f>VLOOKUP($A121,'Data shares'!$C:$FB,3)</f>
        <v>370.75</v>
      </c>
      <c r="D121" s="140">
        <f>VLOOKUP($A121,'Data shares'!$C:$FB,4)</f>
        <v>377.35</v>
      </c>
      <c r="E121" s="50">
        <f t="shared" si="3"/>
        <v>-1.7490393533854571</v>
      </c>
      <c r="F121" s="49">
        <f>VLOOKUP($A121,'Data shares'!$C:$FB,98)</f>
        <v>301968000</v>
      </c>
      <c r="G121" s="49">
        <f>VLOOKUP($A121,'Data shares'!$C:$FB,99)</f>
        <v>289612000</v>
      </c>
      <c r="H121" s="50">
        <f t="shared" si="4"/>
        <v>4.2663978011960833</v>
      </c>
      <c r="I121" s="49">
        <f>VLOOKUP($A121,'Data shares'!$C:$FB,66)</f>
        <v>164926000</v>
      </c>
      <c r="J121" s="49">
        <f>VLOOKUP($A121,'Data shares'!$C:$FB,67)</f>
        <v>90386000</v>
      </c>
      <c r="K121" s="50">
        <f t="shared" si="5"/>
        <v>45.19602730921747</v>
      </c>
      <c r="L121" s="50">
        <f>VLOOKUP($A121,'Data shares'!$C:$FB,118)</f>
        <v>0.8</v>
      </c>
      <c r="M121" s="50">
        <f>VLOOKUP($A121,'Data shares'!$C:$FB,119)</f>
        <v>0.81</v>
      </c>
      <c r="N121" s="50">
        <f>VLOOKUP($A121,'Data shares'!$C:$FB,121)*100</f>
        <v>-1.23</v>
      </c>
      <c r="O121" s="50">
        <f>VLOOKUP($A121,'Data shares'!$C:$FB,124)</f>
        <v>0.56999999999999995</v>
      </c>
      <c r="P121" s="50">
        <f>VLOOKUP($A121,'Data shares'!$C:$FB,125)</f>
        <v>0.42</v>
      </c>
      <c r="Q121" s="50">
        <f>VLOOKUP($A121,'Data shares'!$C:$FB,127)*100</f>
        <v>35.709999999999994</v>
      </c>
    </row>
    <row r="122" spans="1:17" x14ac:dyDescent="0.25">
      <c r="A122" s="97" t="str">
        <f>'Data Vlaue (Cr)'!C117</f>
        <v>KPITTECH</v>
      </c>
      <c r="B122" s="140">
        <f>VLOOKUP($A122,'Data shares'!$C:$FB,7)</f>
        <v>733.65</v>
      </c>
      <c r="C122" s="140">
        <f>VLOOKUP($A122,'Data shares'!$C:$FB,3)</f>
        <v>733.4</v>
      </c>
      <c r="D122" s="140">
        <f>VLOOKUP($A122,'Data shares'!$C:$FB,4)</f>
        <v>735.55</v>
      </c>
      <c r="E122" s="50">
        <f t="shared" si="3"/>
        <v>-0.29229828019848786</v>
      </c>
      <c r="F122" s="49">
        <f>VLOOKUP($A122,'Data shares'!$C:$FB,98)</f>
        <v>12646725</v>
      </c>
      <c r="G122" s="49">
        <f>VLOOKUP($A122,'Data shares'!$C:$FB,99)</f>
        <v>12802700</v>
      </c>
      <c r="H122" s="50">
        <f t="shared" si="4"/>
        <v>-1.2182977028283095</v>
      </c>
      <c r="I122" s="49">
        <f>VLOOKUP($A122,'Data shares'!$C:$FB,66)</f>
        <v>9438400</v>
      </c>
      <c r="J122" s="49">
        <f>VLOOKUP($A122,'Data shares'!$C:$FB,67)</f>
        <v>8126850</v>
      </c>
      <c r="K122" s="50">
        <f t="shared" si="5"/>
        <v>13.895893371757925</v>
      </c>
      <c r="L122" s="50">
        <f>VLOOKUP($A122,'Data shares'!$C:$FB,118)</f>
        <v>0.57999999999999996</v>
      </c>
      <c r="M122" s="50">
        <f>VLOOKUP($A122,'Data shares'!$C:$FB,119)</f>
        <v>0.6</v>
      </c>
      <c r="N122" s="50">
        <f>VLOOKUP($A122,'Data shares'!$C:$FB,121)*100</f>
        <v>-3.3300000000000005</v>
      </c>
      <c r="O122" s="50">
        <f>VLOOKUP($A122,'Data shares'!$C:$FB,124)</f>
        <v>0.44</v>
      </c>
      <c r="P122" s="50">
        <f>VLOOKUP($A122,'Data shares'!$C:$FB,125)</f>
        <v>0.86</v>
      </c>
      <c r="Q122" s="50">
        <f>VLOOKUP($A122,'Data shares'!$C:$FB,127)*100</f>
        <v>-48.84</v>
      </c>
    </row>
    <row r="123" spans="1:17" x14ac:dyDescent="0.25">
      <c r="A123" s="97" t="str">
        <f>'Data Vlaue (Cr)'!C118</f>
        <v>LAURUSLABS</v>
      </c>
      <c r="B123" s="140">
        <f>VLOOKUP($A123,'Data shares'!$C:$FB,7)</f>
        <v>1129</v>
      </c>
      <c r="C123" s="140">
        <f>VLOOKUP($A123,'Data shares'!$C:$FB,3)</f>
        <v>1129.3</v>
      </c>
      <c r="D123" s="140">
        <f>VLOOKUP($A123,'Data shares'!$C:$FB,4)</f>
        <v>1098.75</v>
      </c>
      <c r="E123" s="50">
        <f t="shared" si="3"/>
        <v>2.7804323094425443</v>
      </c>
      <c r="F123" s="49">
        <f>VLOOKUP($A123,'Data shares'!$C:$FB,98)</f>
        <v>28939100</v>
      </c>
      <c r="G123" s="49">
        <f>VLOOKUP($A123,'Data shares'!$C:$FB,99)</f>
        <v>28853250</v>
      </c>
      <c r="H123" s="50">
        <f t="shared" si="4"/>
        <v>0.29754013845927235</v>
      </c>
      <c r="I123" s="49">
        <f>VLOOKUP($A123,'Data shares'!$C:$FB,66)</f>
        <v>29685400</v>
      </c>
      <c r="J123" s="49">
        <f>VLOOKUP($A123,'Data shares'!$C:$FB,67)</f>
        <v>15282150</v>
      </c>
      <c r="K123" s="50">
        <f t="shared" si="5"/>
        <v>48.519642652617115</v>
      </c>
      <c r="L123" s="50">
        <f>VLOOKUP($A123,'Data shares'!$C:$FB,118)</f>
        <v>0.79</v>
      </c>
      <c r="M123" s="50">
        <f>VLOOKUP($A123,'Data shares'!$C:$FB,119)</f>
        <v>0.8</v>
      </c>
      <c r="N123" s="50">
        <f>VLOOKUP($A123,'Data shares'!$C:$FB,121)*100</f>
        <v>-1.25</v>
      </c>
      <c r="O123" s="50">
        <f>VLOOKUP($A123,'Data shares'!$C:$FB,124)</f>
        <v>0.26</v>
      </c>
      <c r="P123" s="50">
        <f>VLOOKUP($A123,'Data shares'!$C:$FB,125)</f>
        <v>0.5</v>
      </c>
      <c r="Q123" s="50">
        <f>VLOOKUP($A123,'Data shares'!$C:$FB,127)*100</f>
        <v>-48</v>
      </c>
    </row>
    <row r="124" spans="1:17" x14ac:dyDescent="0.25">
      <c r="A124" s="97" t="str">
        <f>'Data Vlaue (Cr)'!C119</f>
        <v>LICHSGFIN</v>
      </c>
      <c r="B124" s="140">
        <f>VLOOKUP($A124,'Data shares'!$C:$FB,7)</f>
        <v>545.54999999999995</v>
      </c>
      <c r="C124" s="140">
        <f>VLOOKUP($A124,'Data shares'!$C:$FB,3)</f>
        <v>546.20000000000005</v>
      </c>
      <c r="D124" s="140">
        <f>VLOOKUP($A124,'Data shares'!$C:$FB,4)</f>
        <v>558.35</v>
      </c>
      <c r="E124" s="50">
        <f t="shared" si="3"/>
        <v>-2.1760544461359324</v>
      </c>
      <c r="F124" s="49">
        <f>VLOOKUP($A124,'Data shares'!$C:$FB,98)</f>
        <v>46116000</v>
      </c>
      <c r="G124" s="49">
        <f>VLOOKUP($A124,'Data shares'!$C:$FB,99)</f>
        <v>46711000</v>
      </c>
      <c r="H124" s="50">
        <f t="shared" si="4"/>
        <v>-1.2737898995953845</v>
      </c>
      <c r="I124" s="49">
        <f>VLOOKUP($A124,'Data shares'!$C:$FB,66)</f>
        <v>23377000</v>
      </c>
      <c r="J124" s="49">
        <f>VLOOKUP($A124,'Data shares'!$C:$FB,67)</f>
        <v>19608000</v>
      </c>
      <c r="K124" s="50">
        <f t="shared" si="5"/>
        <v>16.122684690079993</v>
      </c>
      <c r="L124" s="50">
        <f>VLOOKUP($A124,'Data shares'!$C:$FB,118)</f>
        <v>0.83</v>
      </c>
      <c r="M124" s="50">
        <f>VLOOKUP($A124,'Data shares'!$C:$FB,119)</f>
        <v>0.88</v>
      </c>
      <c r="N124" s="50">
        <f>VLOOKUP($A124,'Data shares'!$C:$FB,121)*100</f>
        <v>-5.6800000000000006</v>
      </c>
      <c r="O124" s="50">
        <f>VLOOKUP($A124,'Data shares'!$C:$FB,124)</f>
        <v>0.56000000000000005</v>
      </c>
      <c r="P124" s="50">
        <f>VLOOKUP($A124,'Data shares'!$C:$FB,125)</f>
        <v>0.42</v>
      </c>
      <c r="Q124" s="50">
        <f>VLOOKUP($A124,'Data shares'!$C:$FB,127)*100</f>
        <v>33.33</v>
      </c>
    </row>
    <row r="125" spans="1:17" x14ac:dyDescent="0.25">
      <c r="A125" s="97" t="str">
        <f>'Data Vlaue (Cr)'!C120</f>
        <v>LICI</v>
      </c>
      <c r="B125" s="140">
        <f>VLOOKUP($A125,'Data shares'!$C:$FB,7)</f>
        <v>811.65</v>
      </c>
      <c r="C125" s="140">
        <f>VLOOKUP($A125,'Data shares'!$C:$FB,3)</f>
        <v>810.8</v>
      </c>
      <c r="D125" s="140">
        <f>VLOOKUP($A125,'Data shares'!$C:$FB,4)</f>
        <v>822.85</v>
      </c>
      <c r="E125" s="50">
        <f t="shared" si="3"/>
        <v>-1.4644224342225276</v>
      </c>
      <c r="F125" s="49">
        <f>VLOOKUP($A125,'Data shares'!$C:$FB,98)</f>
        <v>21747600</v>
      </c>
      <c r="G125" s="49">
        <f>VLOOKUP($A125,'Data shares'!$C:$FB,99)</f>
        <v>23594900</v>
      </c>
      <c r="H125" s="50">
        <f t="shared" si="4"/>
        <v>-7.8292342836799476</v>
      </c>
      <c r="I125" s="49">
        <f>VLOOKUP($A125,'Data shares'!$C:$FB,66)</f>
        <v>14098000</v>
      </c>
      <c r="J125" s="49">
        <f>VLOOKUP($A125,'Data shares'!$C:$FB,67)</f>
        <v>6133400</v>
      </c>
      <c r="K125" s="50">
        <f t="shared" si="5"/>
        <v>56.49453823237338</v>
      </c>
      <c r="L125" s="50">
        <f>VLOOKUP($A125,'Data shares'!$C:$FB,118)</f>
        <v>0.7</v>
      </c>
      <c r="M125" s="50">
        <f>VLOOKUP($A125,'Data shares'!$C:$FB,119)</f>
        <v>0.65</v>
      </c>
      <c r="N125" s="50">
        <f>VLOOKUP($A125,'Data shares'!$C:$FB,121)*100</f>
        <v>7.6899999999999995</v>
      </c>
      <c r="O125" s="50">
        <f>VLOOKUP($A125,'Data shares'!$C:$FB,124)</f>
        <v>0.54</v>
      </c>
      <c r="P125" s="50">
        <f>VLOOKUP($A125,'Data shares'!$C:$FB,125)</f>
        <v>0.31</v>
      </c>
      <c r="Q125" s="50">
        <f>VLOOKUP($A125,'Data shares'!$C:$FB,127)*100</f>
        <v>74.19</v>
      </c>
    </row>
    <row r="126" spans="1:17" x14ac:dyDescent="0.25">
      <c r="A126" s="97" t="str">
        <f>'Data Vlaue (Cr)'!C121</f>
        <v>LODHA</v>
      </c>
      <c r="B126" s="140">
        <f>VLOOKUP($A126,'Data shares'!$C:$FB,7)</f>
        <v>856.5</v>
      </c>
      <c r="C126" s="140">
        <f>VLOOKUP($A126,'Data shares'!$C:$FB,3)</f>
        <v>857.7</v>
      </c>
      <c r="D126" s="140">
        <f>VLOOKUP($A126,'Data shares'!$C:$FB,4)</f>
        <v>883.6</v>
      </c>
      <c r="E126" s="50">
        <f t="shared" si="3"/>
        <v>-2.9311905839746464</v>
      </c>
      <c r="F126" s="49">
        <f>VLOOKUP($A126,'Data shares'!$C:$FB,98)</f>
        <v>29462400</v>
      </c>
      <c r="G126" s="49">
        <f>VLOOKUP($A126,'Data shares'!$C:$FB,99)</f>
        <v>29159100</v>
      </c>
      <c r="H126" s="50">
        <f t="shared" si="4"/>
        <v>1.0401555603568011</v>
      </c>
      <c r="I126" s="49">
        <f>VLOOKUP($A126,'Data shares'!$C:$FB,66)</f>
        <v>18707850</v>
      </c>
      <c r="J126" s="49">
        <f>VLOOKUP($A126,'Data shares'!$C:$FB,67)</f>
        <v>14138550</v>
      </c>
      <c r="K126" s="50">
        <f t="shared" si="5"/>
        <v>24.424506290140236</v>
      </c>
      <c r="L126" s="50">
        <f>VLOOKUP($A126,'Data shares'!$C:$FB,118)</f>
        <v>0.86</v>
      </c>
      <c r="M126" s="50">
        <f>VLOOKUP($A126,'Data shares'!$C:$FB,119)</f>
        <v>0.84</v>
      </c>
      <c r="N126" s="50">
        <f>VLOOKUP($A126,'Data shares'!$C:$FB,121)*100</f>
        <v>2.3800000000000003</v>
      </c>
      <c r="O126" s="50">
        <f>VLOOKUP($A126,'Data shares'!$C:$FB,124)</f>
        <v>0.83</v>
      </c>
      <c r="P126" s="50">
        <f>VLOOKUP($A126,'Data shares'!$C:$FB,125)</f>
        <v>0.57999999999999996</v>
      </c>
      <c r="Q126" s="50">
        <f>VLOOKUP($A126,'Data shares'!$C:$FB,127)*100</f>
        <v>43.1</v>
      </c>
    </row>
    <row r="127" spans="1:17" x14ac:dyDescent="0.25">
      <c r="A127" s="97" t="str">
        <f>'Data Vlaue (Cr)'!C122</f>
        <v>LT</v>
      </c>
      <c r="B127" s="140">
        <f>VLOOKUP($A127,'Data shares'!$C:$FB,7)</f>
        <v>4054.1</v>
      </c>
      <c r="C127" s="140">
        <f>VLOOKUP($A127,'Data shares'!$C:$FB,3)</f>
        <v>4057.6</v>
      </c>
      <c r="D127" s="140">
        <f>VLOOKUP($A127,'Data shares'!$C:$FB,4)</f>
        <v>4025.4</v>
      </c>
      <c r="E127" s="50">
        <f t="shared" si="3"/>
        <v>0.79992050479455001</v>
      </c>
      <c r="F127" s="49">
        <f>VLOOKUP($A127,'Data shares'!$C:$FB,98)</f>
        <v>33584425</v>
      </c>
      <c r="G127" s="49">
        <f>VLOOKUP($A127,'Data shares'!$C:$FB,99)</f>
        <v>33511975</v>
      </c>
      <c r="H127" s="50">
        <f t="shared" si="4"/>
        <v>0.21619137636620939</v>
      </c>
      <c r="I127" s="49">
        <f>VLOOKUP($A127,'Data shares'!$C:$FB,66)</f>
        <v>18414725</v>
      </c>
      <c r="J127" s="49">
        <f>VLOOKUP($A127,'Data shares'!$C:$FB,67)</f>
        <v>17609900</v>
      </c>
      <c r="K127" s="50">
        <f t="shared" si="5"/>
        <v>4.3705512843661793</v>
      </c>
      <c r="L127" s="50">
        <f>VLOOKUP($A127,'Data shares'!$C:$FB,118)</f>
        <v>0.81</v>
      </c>
      <c r="M127" s="50">
        <f>VLOOKUP($A127,'Data shares'!$C:$FB,119)</f>
        <v>0.77</v>
      </c>
      <c r="N127" s="50">
        <f>VLOOKUP($A127,'Data shares'!$C:$FB,121)*100</f>
        <v>5.19</v>
      </c>
      <c r="O127" s="50">
        <f>VLOOKUP($A127,'Data shares'!$C:$FB,124)</f>
        <v>0.63</v>
      </c>
      <c r="P127" s="50">
        <f>VLOOKUP($A127,'Data shares'!$C:$FB,125)</f>
        <v>0.54</v>
      </c>
      <c r="Q127" s="50">
        <f>VLOOKUP($A127,'Data shares'!$C:$FB,127)*100</f>
        <v>16.669999999999998</v>
      </c>
    </row>
    <row r="128" spans="1:17" x14ac:dyDescent="0.25">
      <c r="A128" s="97" t="str">
        <f>'Data Vlaue (Cr)'!C123</f>
        <v>LTF</v>
      </c>
      <c r="B128" s="140">
        <f>VLOOKUP($A128,'Data shares'!$C:$FB,7)</f>
        <v>292.12</v>
      </c>
      <c r="C128" s="140">
        <f>VLOOKUP($A128,'Data shares'!$C:$FB,3)</f>
        <v>292.14</v>
      </c>
      <c r="D128" s="140">
        <f>VLOOKUP($A128,'Data shares'!$C:$FB,4)</f>
        <v>294.16000000000003</v>
      </c>
      <c r="E128" s="50">
        <f t="shared" si="3"/>
        <v>-0.68670111503944742</v>
      </c>
      <c r="F128" s="49">
        <f>VLOOKUP($A128,'Data shares'!$C:$FB,98)</f>
        <v>86634000</v>
      </c>
      <c r="G128" s="49">
        <f>VLOOKUP($A128,'Data shares'!$C:$FB,99)</f>
        <v>87455250</v>
      </c>
      <c r="H128" s="50">
        <f t="shared" si="4"/>
        <v>-0.93905168643391901</v>
      </c>
      <c r="I128" s="49">
        <f>VLOOKUP($A128,'Data shares'!$C:$FB,66)</f>
        <v>63013500</v>
      </c>
      <c r="J128" s="49">
        <f>VLOOKUP($A128,'Data shares'!$C:$FB,67)</f>
        <v>29322000</v>
      </c>
      <c r="K128" s="50">
        <f t="shared" si="5"/>
        <v>53.467114189816471</v>
      </c>
      <c r="L128" s="50">
        <f>VLOOKUP($A128,'Data shares'!$C:$FB,118)</f>
        <v>0.87</v>
      </c>
      <c r="M128" s="50">
        <f>VLOOKUP($A128,'Data shares'!$C:$FB,119)</f>
        <v>0.87</v>
      </c>
      <c r="N128" s="50">
        <f>VLOOKUP($A128,'Data shares'!$C:$FB,121)*100</f>
        <v>0</v>
      </c>
      <c r="O128" s="50">
        <f>VLOOKUP($A128,'Data shares'!$C:$FB,124)</f>
        <v>0.72</v>
      </c>
      <c r="P128" s="50">
        <f>VLOOKUP($A128,'Data shares'!$C:$FB,125)</f>
        <v>0.6</v>
      </c>
      <c r="Q128" s="50">
        <f>VLOOKUP($A128,'Data shares'!$C:$FB,127)*100</f>
        <v>20</v>
      </c>
    </row>
    <row r="129" spans="1:17" x14ac:dyDescent="0.25">
      <c r="A129" s="97" t="str">
        <f>'Data Vlaue (Cr)'!C124</f>
        <v>LTM</v>
      </c>
      <c r="B129" s="140">
        <f>VLOOKUP($A129,'Data shares'!$C:$FB,7)</f>
        <v>4531.5</v>
      </c>
      <c r="C129" s="140">
        <f>VLOOKUP($A129,'Data shares'!$C:$FB,3)</f>
        <v>4531.6000000000004</v>
      </c>
      <c r="D129" s="140">
        <f>VLOOKUP($A129,'Data shares'!$C:$FB,4)</f>
        <v>4616.8</v>
      </c>
      <c r="E129" s="50">
        <f t="shared" si="3"/>
        <v>-1.8454340668861509</v>
      </c>
      <c r="F129" s="49">
        <f>VLOOKUP($A129,'Data shares'!$C:$FB,98)</f>
        <v>7197300</v>
      </c>
      <c r="G129" s="49">
        <f>VLOOKUP($A129,'Data shares'!$C:$FB,99)</f>
        <v>7219200</v>
      </c>
      <c r="H129" s="50">
        <f t="shared" si="4"/>
        <v>-0.30335771276595741</v>
      </c>
      <c r="I129" s="49">
        <f>VLOOKUP($A129,'Data shares'!$C:$FB,66)</f>
        <v>8396100</v>
      </c>
      <c r="J129" s="49">
        <f>VLOOKUP($A129,'Data shares'!$C:$FB,67)</f>
        <v>5020500</v>
      </c>
      <c r="K129" s="50">
        <f t="shared" si="5"/>
        <v>40.204380605281024</v>
      </c>
      <c r="L129" s="50">
        <f>VLOOKUP($A129,'Data shares'!$C:$FB,118)</f>
        <v>0.98</v>
      </c>
      <c r="M129" s="50">
        <f>VLOOKUP($A129,'Data shares'!$C:$FB,119)</f>
        <v>0.95</v>
      </c>
      <c r="N129" s="50">
        <f>VLOOKUP($A129,'Data shares'!$C:$FB,121)*100</f>
        <v>3.16</v>
      </c>
      <c r="O129" s="50">
        <f>VLOOKUP($A129,'Data shares'!$C:$FB,124)</f>
        <v>0.95</v>
      </c>
      <c r="P129" s="50">
        <f>VLOOKUP($A129,'Data shares'!$C:$FB,125)</f>
        <v>0.91</v>
      </c>
      <c r="Q129" s="50">
        <f>VLOOKUP($A129,'Data shares'!$C:$FB,127)*100</f>
        <v>4.3999999999999995</v>
      </c>
    </row>
    <row r="130" spans="1:17" x14ac:dyDescent="0.25">
      <c r="A130" s="97" t="str">
        <f>'Data Vlaue (Cr)'!C125</f>
        <v>LUPIN</v>
      </c>
      <c r="B130" s="140">
        <f>VLOOKUP($A130,'Data shares'!$C:$FB,7)</f>
        <v>2341.4</v>
      </c>
      <c r="C130" s="140">
        <f>VLOOKUP($A130,'Data shares'!$C:$FB,3)</f>
        <v>2345.1</v>
      </c>
      <c r="D130" s="140">
        <f>VLOOKUP($A130,'Data shares'!$C:$FB,4)</f>
        <v>2312.8000000000002</v>
      </c>
      <c r="E130" s="50">
        <f t="shared" si="3"/>
        <v>1.3965755793842842</v>
      </c>
      <c r="F130" s="49">
        <f>VLOOKUP($A130,'Data shares'!$C:$FB,98)</f>
        <v>12031325</v>
      </c>
      <c r="G130" s="49">
        <f>VLOOKUP($A130,'Data shares'!$C:$FB,99)</f>
        <v>10959050</v>
      </c>
      <c r="H130" s="50">
        <f t="shared" si="4"/>
        <v>9.7843791204529591</v>
      </c>
      <c r="I130" s="49">
        <f>VLOOKUP($A130,'Data shares'!$C:$FB,66)</f>
        <v>27368300</v>
      </c>
      <c r="J130" s="49">
        <f>VLOOKUP($A130,'Data shares'!$C:$FB,67)</f>
        <v>5495675</v>
      </c>
      <c r="K130" s="50">
        <f t="shared" si="5"/>
        <v>79.919560221131746</v>
      </c>
      <c r="L130" s="50">
        <f>VLOOKUP($A130,'Data shares'!$C:$FB,118)</f>
        <v>0.69</v>
      </c>
      <c r="M130" s="50">
        <f>VLOOKUP($A130,'Data shares'!$C:$FB,119)</f>
        <v>0.75</v>
      </c>
      <c r="N130" s="50">
        <f>VLOOKUP($A130,'Data shares'!$C:$FB,121)*100</f>
        <v>-8</v>
      </c>
      <c r="O130" s="50">
        <f>VLOOKUP($A130,'Data shares'!$C:$FB,124)</f>
        <v>0.32</v>
      </c>
      <c r="P130" s="50">
        <f>VLOOKUP($A130,'Data shares'!$C:$FB,125)</f>
        <v>0.56999999999999995</v>
      </c>
      <c r="Q130" s="50">
        <f>VLOOKUP($A130,'Data shares'!$C:$FB,127)*100</f>
        <v>-43.86</v>
      </c>
    </row>
    <row r="131" spans="1:17" x14ac:dyDescent="0.25">
      <c r="A131" s="97" t="str">
        <f>'Data Vlaue (Cr)'!C126</f>
        <v>M&amp;M</v>
      </c>
      <c r="B131" s="140">
        <f>VLOOKUP($A131,'Data shares'!$C:$FB,7)</f>
        <v>3047.7</v>
      </c>
      <c r="C131" s="140">
        <f>VLOOKUP($A131,'Data shares'!$C:$FB,3)</f>
        <v>3048.5</v>
      </c>
      <c r="D131" s="140">
        <f>VLOOKUP($A131,'Data shares'!$C:$FB,4)</f>
        <v>3151.7</v>
      </c>
      <c r="E131" s="50">
        <f t="shared" si="3"/>
        <v>-3.2744233270933094</v>
      </c>
      <c r="F131" s="49">
        <f>VLOOKUP($A131,'Data shares'!$C:$FB,98)</f>
        <v>29953800</v>
      </c>
      <c r="G131" s="49">
        <f>VLOOKUP($A131,'Data shares'!$C:$FB,99)</f>
        <v>29101000</v>
      </c>
      <c r="H131" s="50">
        <f t="shared" si="4"/>
        <v>2.9304834885399127</v>
      </c>
      <c r="I131" s="49">
        <f>VLOOKUP($A131,'Data shares'!$C:$FB,66)</f>
        <v>28148800</v>
      </c>
      <c r="J131" s="49">
        <f>VLOOKUP($A131,'Data shares'!$C:$FB,67)</f>
        <v>16161000</v>
      </c>
      <c r="K131" s="50">
        <f t="shared" si="5"/>
        <v>42.587250611038478</v>
      </c>
      <c r="L131" s="50">
        <f>VLOOKUP($A131,'Data shares'!$C:$FB,118)</f>
        <v>0.64</v>
      </c>
      <c r="M131" s="50">
        <f>VLOOKUP($A131,'Data shares'!$C:$FB,119)</f>
        <v>0.67</v>
      </c>
      <c r="N131" s="50">
        <f>VLOOKUP($A131,'Data shares'!$C:$FB,121)*100</f>
        <v>-4.4799999999999995</v>
      </c>
      <c r="O131" s="50">
        <f>VLOOKUP($A131,'Data shares'!$C:$FB,124)</f>
        <v>0.57999999999999996</v>
      </c>
      <c r="P131" s="50">
        <f>VLOOKUP($A131,'Data shares'!$C:$FB,125)</f>
        <v>0.55000000000000004</v>
      </c>
      <c r="Q131" s="50">
        <f>VLOOKUP($A131,'Data shares'!$C:$FB,127)*100</f>
        <v>5.45</v>
      </c>
    </row>
    <row r="132" spans="1:17" x14ac:dyDescent="0.25">
      <c r="A132" s="97" t="str">
        <f>'Data Vlaue (Cr)'!C127</f>
        <v>MANAPPURAM</v>
      </c>
      <c r="B132" s="140">
        <f>VLOOKUP($A132,'Data shares'!$C:$FB,7)</f>
        <v>292.85000000000002</v>
      </c>
      <c r="C132" s="140">
        <f>VLOOKUP($A132,'Data shares'!$C:$FB,3)</f>
        <v>292.39999999999998</v>
      </c>
      <c r="D132" s="140">
        <f>VLOOKUP($A132,'Data shares'!$C:$FB,4)</f>
        <v>294.8</v>
      </c>
      <c r="E132" s="50">
        <f t="shared" si="3"/>
        <v>-0.81411126187246752</v>
      </c>
      <c r="F132" s="49">
        <f>VLOOKUP($A132,'Data shares'!$C:$FB,98)</f>
        <v>90387000</v>
      </c>
      <c r="G132" s="49">
        <f>VLOOKUP($A132,'Data shares'!$C:$FB,99)</f>
        <v>92646000</v>
      </c>
      <c r="H132" s="50">
        <f t="shared" si="4"/>
        <v>-2.438313580726637</v>
      </c>
      <c r="I132" s="49">
        <f>VLOOKUP($A132,'Data shares'!$C:$FB,66)</f>
        <v>46854000</v>
      </c>
      <c r="J132" s="49">
        <f>VLOOKUP($A132,'Data shares'!$C:$FB,67)</f>
        <v>186780000</v>
      </c>
      <c r="K132" s="50">
        <f t="shared" si="5"/>
        <v>-298.64259188116279</v>
      </c>
      <c r="L132" s="50">
        <f>VLOOKUP($A132,'Data shares'!$C:$FB,118)</f>
        <v>0.87</v>
      </c>
      <c r="M132" s="50">
        <f>VLOOKUP($A132,'Data shares'!$C:$FB,119)</f>
        <v>0.89</v>
      </c>
      <c r="N132" s="50">
        <f>VLOOKUP($A132,'Data shares'!$C:$FB,121)*100</f>
        <v>-2.25</v>
      </c>
      <c r="O132" s="50">
        <f>VLOOKUP($A132,'Data shares'!$C:$FB,124)</f>
        <v>0.52</v>
      </c>
      <c r="P132" s="50">
        <f>VLOOKUP($A132,'Data shares'!$C:$FB,125)</f>
        <v>0.56000000000000005</v>
      </c>
      <c r="Q132" s="50">
        <f>VLOOKUP($A132,'Data shares'!$C:$FB,127)*100</f>
        <v>-7.1400000000000006</v>
      </c>
    </row>
    <row r="133" spans="1:17" x14ac:dyDescent="0.25">
      <c r="A133" s="97" t="str">
        <f>'Data Vlaue (Cr)'!C128</f>
        <v>MANKIND</v>
      </c>
      <c r="B133" s="140">
        <f>VLOOKUP($A133,'Data shares'!$C:$FB,7)</f>
        <v>2292.9</v>
      </c>
      <c r="C133" s="140">
        <f>VLOOKUP($A133,'Data shares'!$C:$FB,3)</f>
        <v>2291.8000000000002</v>
      </c>
      <c r="D133" s="140">
        <f>VLOOKUP($A133,'Data shares'!$C:$FB,4)</f>
        <v>2228.6999999999998</v>
      </c>
      <c r="E133" s="50">
        <f t="shared" si="3"/>
        <v>2.8312469152420858</v>
      </c>
      <c r="F133" s="49">
        <f>VLOOKUP($A133,'Data shares'!$C:$FB,98)</f>
        <v>4987800</v>
      </c>
      <c r="G133" s="49">
        <f>VLOOKUP($A133,'Data shares'!$C:$FB,99)</f>
        <v>4589100</v>
      </c>
      <c r="H133" s="50">
        <f t="shared" si="4"/>
        <v>8.6879780349088058</v>
      </c>
      <c r="I133" s="49">
        <f>VLOOKUP($A133,'Data shares'!$C:$FB,66)</f>
        <v>11901600</v>
      </c>
      <c r="J133" s="49">
        <f>VLOOKUP($A133,'Data shares'!$C:$FB,67)</f>
        <v>3414825</v>
      </c>
      <c r="K133" s="50">
        <f t="shared" si="5"/>
        <v>71.307849364791281</v>
      </c>
      <c r="L133" s="50">
        <f>VLOOKUP($A133,'Data shares'!$C:$FB,118)</f>
        <v>0.99</v>
      </c>
      <c r="M133" s="50">
        <f>VLOOKUP($A133,'Data shares'!$C:$FB,119)</f>
        <v>0.79</v>
      </c>
      <c r="N133" s="50">
        <f>VLOOKUP($A133,'Data shares'!$C:$FB,121)*100</f>
        <v>25.319999999999997</v>
      </c>
      <c r="O133" s="50">
        <f>VLOOKUP($A133,'Data shares'!$C:$FB,124)</f>
        <v>0.39</v>
      </c>
      <c r="P133" s="50">
        <f>VLOOKUP($A133,'Data shares'!$C:$FB,125)</f>
        <v>0.43</v>
      </c>
      <c r="Q133" s="50">
        <f>VLOOKUP($A133,'Data shares'!$C:$FB,127)*100</f>
        <v>-9.3000000000000007</v>
      </c>
    </row>
    <row r="134" spans="1:17" x14ac:dyDescent="0.25">
      <c r="A134" s="97" t="str">
        <f>'Data Vlaue (Cr)'!C129</f>
        <v>MARICO</v>
      </c>
      <c r="B134" s="140">
        <f>VLOOKUP($A134,'Data shares'!$C:$FB,7)</f>
        <v>778.9</v>
      </c>
      <c r="C134" s="140">
        <f>VLOOKUP($A134,'Data shares'!$C:$FB,3)</f>
        <v>777.75</v>
      </c>
      <c r="D134" s="140">
        <f>VLOOKUP($A134,'Data shares'!$C:$FB,4)</f>
        <v>773.8</v>
      </c>
      <c r="E134" s="50">
        <f t="shared" si="3"/>
        <v>0.51046782114241995</v>
      </c>
      <c r="F134" s="49">
        <f>VLOOKUP($A134,'Data shares'!$C:$FB,98)</f>
        <v>32320800</v>
      </c>
      <c r="G134" s="49">
        <f>VLOOKUP($A134,'Data shares'!$C:$FB,99)</f>
        <v>32937600</v>
      </c>
      <c r="H134" s="50">
        <f t="shared" si="4"/>
        <v>-1.8726318857475954</v>
      </c>
      <c r="I134" s="49">
        <f>VLOOKUP($A134,'Data shares'!$C:$FB,66)</f>
        <v>27754800</v>
      </c>
      <c r="J134" s="49">
        <f>VLOOKUP($A134,'Data shares'!$C:$FB,67)</f>
        <v>24438000</v>
      </c>
      <c r="K134" s="50">
        <f t="shared" si="5"/>
        <v>11.950365342211077</v>
      </c>
      <c r="L134" s="50">
        <f>VLOOKUP($A134,'Data shares'!$C:$FB,118)</f>
        <v>1.02</v>
      </c>
      <c r="M134" s="50">
        <f>VLOOKUP($A134,'Data shares'!$C:$FB,119)</f>
        <v>1.06</v>
      </c>
      <c r="N134" s="50">
        <f>VLOOKUP($A134,'Data shares'!$C:$FB,121)*100</f>
        <v>-3.7699999999999996</v>
      </c>
      <c r="O134" s="50">
        <f>VLOOKUP($A134,'Data shares'!$C:$FB,124)</f>
        <v>0.3</v>
      </c>
      <c r="P134" s="50">
        <f>VLOOKUP($A134,'Data shares'!$C:$FB,125)</f>
        <v>0.38</v>
      </c>
      <c r="Q134" s="50">
        <f>VLOOKUP($A134,'Data shares'!$C:$FB,127)*100</f>
        <v>-21.05</v>
      </c>
    </row>
    <row r="135" spans="1:17" x14ac:dyDescent="0.25">
      <c r="A135" s="97" t="str">
        <f>'Data Vlaue (Cr)'!C130</f>
        <v>MARUTI</v>
      </c>
      <c r="B135" s="140">
        <f>VLOOKUP($A135,'Data shares'!$C:$FB,7)</f>
        <v>13160</v>
      </c>
      <c r="C135" s="140">
        <f>VLOOKUP($A135,'Data shares'!$C:$FB,3)</f>
        <v>13139</v>
      </c>
      <c r="D135" s="140">
        <f>VLOOKUP($A135,'Data shares'!$C:$FB,4)</f>
        <v>13322</v>
      </c>
      <c r="E135" s="50">
        <f t="shared" si="3"/>
        <v>-1.3736676174748537</v>
      </c>
      <c r="F135" s="49">
        <f>VLOOKUP($A135,'Data shares'!$C:$FB,98)</f>
        <v>7104100</v>
      </c>
      <c r="G135" s="49">
        <f>VLOOKUP($A135,'Data shares'!$C:$FB,99)</f>
        <v>7059000</v>
      </c>
      <c r="H135" s="50">
        <f t="shared" si="4"/>
        <v>0.63890069414931294</v>
      </c>
      <c r="I135" s="49">
        <f>VLOOKUP($A135,'Data shares'!$C:$FB,66)</f>
        <v>6817000</v>
      </c>
      <c r="J135" s="49">
        <f>VLOOKUP($A135,'Data shares'!$C:$FB,67)</f>
        <v>5148800</v>
      </c>
      <c r="K135" s="50">
        <f t="shared" si="5"/>
        <v>24.471175003667302</v>
      </c>
      <c r="L135" s="50">
        <f>VLOOKUP($A135,'Data shares'!$C:$FB,118)</f>
        <v>0.5</v>
      </c>
      <c r="M135" s="50">
        <f>VLOOKUP($A135,'Data shares'!$C:$FB,119)</f>
        <v>0.54</v>
      </c>
      <c r="N135" s="50">
        <f>VLOOKUP($A135,'Data shares'!$C:$FB,121)*100</f>
        <v>-7.41</v>
      </c>
      <c r="O135" s="50">
        <f>VLOOKUP($A135,'Data shares'!$C:$FB,124)</f>
        <v>0.44</v>
      </c>
      <c r="P135" s="50">
        <f>VLOOKUP($A135,'Data shares'!$C:$FB,125)</f>
        <v>0.57999999999999996</v>
      </c>
      <c r="Q135" s="50">
        <f>VLOOKUP($A135,'Data shares'!$C:$FB,127)*100</f>
        <v>-24.14</v>
      </c>
    </row>
    <row r="136" spans="1:17" x14ac:dyDescent="0.25">
      <c r="A136" s="97" t="str">
        <f>'Data Vlaue (Cr)'!C131</f>
        <v>MAXHEALTH</v>
      </c>
      <c r="B136" s="140">
        <f>VLOOKUP($A136,'Data shares'!$C:$FB,7)</f>
        <v>1006.75</v>
      </c>
      <c r="C136" s="140">
        <f>VLOOKUP($A136,'Data shares'!$C:$FB,3)</f>
        <v>1008.4</v>
      </c>
      <c r="D136" s="140">
        <f>VLOOKUP($A136,'Data shares'!$C:$FB,4)</f>
        <v>1002.8</v>
      </c>
      <c r="E136" s="50">
        <f t="shared" ref="E136:E172" si="6">(C136-D136)/D136*100</f>
        <v>0.55843637814120695</v>
      </c>
      <c r="F136" s="49">
        <f>VLOOKUP($A136,'Data shares'!$C:$FB,98)</f>
        <v>20417775</v>
      </c>
      <c r="G136" s="49">
        <f>VLOOKUP($A136,'Data shares'!$C:$FB,99)</f>
        <v>20491275</v>
      </c>
      <c r="H136" s="50">
        <f t="shared" ref="H136:H172" si="7">(F136-G136)/G136*100</f>
        <v>-0.35868924700878785</v>
      </c>
      <c r="I136" s="49">
        <f>VLOOKUP($A136,'Data shares'!$C:$FB,66)</f>
        <v>20325375</v>
      </c>
      <c r="J136" s="49">
        <f>VLOOKUP($A136,'Data shares'!$C:$FB,67)</f>
        <v>13291425</v>
      </c>
      <c r="K136" s="50">
        <f t="shared" ref="K136:K172" si="8">(I136-J136)/I136*100</f>
        <v>34.606741573033709</v>
      </c>
      <c r="L136" s="50">
        <f>VLOOKUP($A136,'Data shares'!$C:$FB,118)</f>
        <v>0.62</v>
      </c>
      <c r="M136" s="50">
        <f>VLOOKUP($A136,'Data shares'!$C:$FB,119)</f>
        <v>0.62</v>
      </c>
      <c r="N136" s="50">
        <f>VLOOKUP($A136,'Data shares'!$C:$FB,121)*100</f>
        <v>0</v>
      </c>
      <c r="O136" s="50">
        <f>VLOOKUP($A136,'Data shares'!$C:$FB,124)</f>
        <v>0.61</v>
      </c>
      <c r="P136" s="50">
        <f>VLOOKUP($A136,'Data shares'!$C:$FB,125)</f>
        <v>0.93</v>
      </c>
      <c r="Q136" s="50">
        <f>VLOOKUP($A136,'Data shares'!$C:$FB,127)*100</f>
        <v>-34.410000000000004</v>
      </c>
    </row>
    <row r="137" spans="1:17" x14ac:dyDescent="0.25">
      <c r="A137" s="97" t="str">
        <f>'Data Vlaue (Cr)'!C132</f>
        <v>MAZDOCK</v>
      </c>
      <c r="B137" s="140">
        <f>VLOOKUP($A137,'Data shares'!$C:$FB,7)</f>
        <v>2693.8</v>
      </c>
      <c r="C137" s="140">
        <f>VLOOKUP($A137,'Data shares'!$C:$FB,3)</f>
        <v>2693.4</v>
      </c>
      <c r="D137" s="140">
        <f>VLOOKUP($A137,'Data shares'!$C:$FB,4)</f>
        <v>2706.8</v>
      </c>
      <c r="E137" s="50">
        <f t="shared" si="6"/>
        <v>-0.49504950495049838</v>
      </c>
      <c r="F137" s="49">
        <f>VLOOKUP($A137,'Data shares'!$C:$FB,98)</f>
        <v>11971400</v>
      </c>
      <c r="G137" s="49">
        <f>VLOOKUP($A137,'Data shares'!$C:$FB,99)</f>
        <v>12074400</v>
      </c>
      <c r="H137" s="50">
        <f t="shared" si="7"/>
        <v>-0.85304445769562054</v>
      </c>
      <c r="I137" s="49">
        <f>VLOOKUP($A137,'Data shares'!$C:$FB,66)</f>
        <v>14557000</v>
      </c>
      <c r="J137" s="49">
        <f>VLOOKUP($A137,'Data shares'!$C:$FB,67)</f>
        <v>12200400</v>
      </c>
      <c r="K137" s="50">
        <f t="shared" si="8"/>
        <v>16.188775159716975</v>
      </c>
      <c r="L137" s="50">
        <f>VLOOKUP($A137,'Data shares'!$C:$FB,118)</f>
        <v>0.85</v>
      </c>
      <c r="M137" s="50">
        <f>VLOOKUP($A137,'Data shares'!$C:$FB,119)</f>
        <v>0.82</v>
      </c>
      <c r="N137" s="50">
        <f>VLOOKUP($A137,'Data shares'!$C:$FB,121)*100</f>
        <v>3.66</v>
      </c>
      <c r="O137" s="50">
        <f>VLOOKUP($A137,'Data shares'!$C:$FB,124)</f>
        <v>0.42</v>
      </c>
      <c r="P137" s="50">
        <f>VLOOKUP($A137,'Data shares'!$C:$FB,125)</f>
        <v>0.43</v>
      </c>
      <c r="Q137" s="50">
        <f>VLOOKUP($A137,'Data shares'!$C:$FB,127)*100</f>
        <v>-2.33</v>
      </c>
    </row>
    <row r="138" spans="1:17" x14ac:dyDescent="0.25">
      <c r="A138" s="97" t="str">
        <f>'Data Vlaue (Cr)'!C133</f>
        <v>MCX</v>
      </c>
      <c r="B138" s="140">
        <f>VLOOKUP($A138,'Data shares'!$C:$FB,7)</f>
        <v>2791.4</v>
      </c>
      <c r="C138" s="140">
        <f>VLOOKUP($A138,'Data shares'!$C:$FB,3)</f>
        <v>2793.9</v>
      </c>
      <c r="D138" s="140">
        <f>VLOOKUP($A138,'Data shares'!$C:$FB,4)</f>
        <v>2788.8</v>
      </c>
      <c r="E138" s="50">
        <f t="shared" si="6"/>
        <v>0.18287435456109827</v>
      </c>
      <c r="F138" s="49">
        <f>VLOOKUP($A138,'Data shares'!$C:$FB,98)</f>
        <v>31041875</v>
      </c>
      <c r="G138" s="49">
        <f>VLOOKUP($A138,'Data shares'!$C:$FB,99)</f>
        <v>31503750</v>
      </c>
      <c r="H138" s="50">
        <f t="shared" si="7"/>
        <v>-1.4660953061143516</v>
      </c>
      <c r="I138" s="49">
        <f>VLOOKUP($A138,'Data shares'!$C:$FB,66)</f>
        <v>37624375</v>
      </c>
      <c r="J138" s="49">
        <f>VLOOKUP($A138,'Data shares'!$C:$FB,67)</f>
        <v>29720000</v>
      </c>
      <c r="K138" s="50">
        <f t="shared" si="8"/>
        <v>21.008654628814433</v>
      </c>
      <c r="L138" s="50">
        <f>VLOOKUP($A138,'Data shares'!$C:$FB,118)</f>
        <v>0.75</v>
      </c>
      <c r="M138" s="50">
        <f>VLOOKUP($A138,'Data shares'!$C:$FB,119)</f>
        <v>0.79</v>
      </c>
      <c r="N138" s="50">
        <f>VLOOKUP($A138,'Data shares'!$C:$FB,121)*100</f>
        <v>-5.0599999999999996</v>
      </c>
      <c r="O138" s="50">
        <f>VLOOKUP($A138,'Data shares'!$C:$FB,124)</f>
        <v>0.5</v>
      </c>
      <c r="P138" s="50">
        <f>VLOOKUP($A138,'Data shares'!$C:$FB,125)</f>
        <v>0.72</v>
      </c>
      <c r="Q138" s="50">
        <f>VLOOKUP($A138,'Data shares'!$C:$FB,127)*100</f>
        <v>-30.56</v>
      </c>
    </row>
    <row r="139" spans="1:17" x14ac:dyDescent="0.25">
      <c r="A139" s="97" t="str">
        <f>'Data Vlaue (Cr)'!C134</f>
        <v>MFSL</v>
      </c>
      <c r="B139" s="140">
        <f>VLOOKUP($A139,'Data shares'!$C:$FB,7)</f>
        <v>1595.4</v>
      </c>
      <c r="C139" s="140">
        <f>VLOOKUP($A139,'Data shares'!$C:$FB,3)</f>
        <v>1595</v>
      </c>
      <c r="D139" s="140">
        <f>VLOOKUP($A139,'Data shares'!$C:$FB,4)</f>
        <v>1632.8</v>
      </c>
      <c r="E139" s="50">
        <f t="shared" si="6"/>
        <v>-2.3150416462518346</v>
      </c>
      <c r="F139" s="49">
        <f>VLOOKUP($A139,'Data shares'!$C:$FB,98)</f>
        <v>10754800</v>
      </c>
      <c r="G139" s="49">
        <f>VLOOKUP($A139,'Data shares'!$C:$FB,99)</f>
        <v>10871200</v>
      </c>
      <c r="H139" s="50">
        <f t="shared" si="7"/>
        <v>-1.0707189638678343</v>
      </c>
      <c r="I139" s="49">
        <f>VLOOKUP($A139,'Data shares'!$C:$FB,66)</f>
        <v>6814000</v>
      </c>
      <c r="J139" s="49">
        <f>VLOOKUP($A139,'Data shares'!$C:$FB,67)</f>
        <v>2901600</v>
      </c>
      <c r="K139" s="50">
        <f t="shared" si="8"/>
        <v>57.417082477252713</v>
      </c>
      <c r="L139" s="50">
        <f>VLOOKUP($A139,'Data shares'!$C:$FB,118)</f>
        <v>0.73</v>
      </c>
      <c r="M139" s="50">
        <f>VLOOKUP($A139,'Data shares'!$C:$FB,119)</f>
        <v>0.66</v>
      </c>
      <c r="N139" s="50">
        <f>VLOOKUP($A139,'Data shares'!$C:$FB,121)*100</f>
        <v>10.61</v>
      </c>
      <c r="O139" s="50">
        <f>VLOOKUP($A139,'Data shares'!$C:$FB,124)</f>
        <v>0.4</v>
      </c>
      <c r="P139" s="50">
        <f>VLOOKUP($A139,'Data shares'!$C:$FB,125)</f>
        <v>0.46</v>
      </c>
      <c r="Q139" s="50">
        <f>VLOOKUP($A139,'Data shares'!$C:$FB,127)*100</f>
        <v>-13.04</v>
      </c>
    </row>
    <row r="140" spans="1:17" x14ac:dyDescent="0.25">
      <c r="A140" s="97" t="str">
        <f>'Data Vlaue (Cr)'!C135</f>
        <v>MIDCPNIFTY</v>
      </c>
      <c r="B140" s="140">
        <f>VLOOKUP($A140,'Data shares'!$C:$FB,7)</f>
        <v>13848.55</v>
      </c>
      <c r="C140" s="140">
        <f>VLOOKUP($A140,'Data shares'!$C:$FB,3)</f>
        <v>13847.35</v>
      </c>
      <c r="D140" s="140">
        <f>VLOOKUP($A140,'Data shares'!$C:$FB,4)</f>
        <v>13939.8</v>
      </c>
      <c r="E140" s="50">
        <f t="shared" si="6"/>
        <v>-0.6632089413047455</v>
      </c>
      <c r="F140" s="49">
        <f>VLOOKUP($A140,'Data shares'!$C:$FB,98)</f>
        <v>19709400</v>
      </c>
      <c r="G140" s="49">
        <f>VLOOKUP($A140,'Data shares'!$C:$FB,99)</f>
        <v>19022640</v>
      </c>
      <c r="H140" s="50">
        <f t="shared" si="7"/>
        <v>3.6102244483415551</v>
      </c>
      <c r="I140" s="49">
        <f>VLOOKUP($A140,'Data shares'!$C:$FB,66)</f>
        <v>44863680</v>
      </c>
      <c r="J140" s="49">
        <f>VLOOKUP($A140,'Data shares'!$C:$FB,67)</f>
        <v>41111880</v>
      </c>
      <c r="K140" s="50">
        <f t="shared" si="8"/>
        <v>8.3626666381357939</v>
      </c>
      <c r="L140" s="50">
        <f>VLOOKUP($A140,'Data shares'!$C:$FB,118)</f>
        <v>1.1000000000000001</v>
      </c>
      <c r="M140" s="50">
        <f>VLOOKUP($A140,'Data shares'!$C:$FB,119)</f>
        <v>1.1299999999999999</v>
      </c>
      <c r="N140" s="50">
        <f>VLOOKUP($A140,'Data shares'!$C:$FB,121)*100</f>
        <v>-2.65</v>
      </c>
      <c r="O140" s="50">
        <f>VLOOKUP($A140,'Data shares'!$C:$FB,124)</f>
        <v>1.02</v>
      </c>
      <c r="P140" s="50">
        <f>VLOOKUP($A140,'Data shares'!$C:$FB,125)</f>
        <v>1.1200000000000001</v>
      </c>
      <c r="Q140" s="50">
        <f>VLOOKUP($A140,'Data shares'!$C:$FB,127)*100</f>
        <v>-8.93</v>
      </c>
    </row>
    <row r="141" spans="1:17" x14ac:dyDescent="0.25">
      <c r="A141" s="97" t="str">
        <f>'Data Vlaue (Cr)'!C136</f>
        <v>MOTHERSON</v>
      </c>
      <c r="B141" s="140">
        <f>VLOOKUP($A141,'Data shares'!$C:$FB,7)</f>
        <v>127.22</v>
      </c>
      <c r="C141" s="140">
        <f>VLOOKUP($A141,'Data shares'!$C:$FB,3)</f>
        <v>126.96</v>
      </c>
      <c r="D141" s="140">
        <f>VLOOKUP($A141,'Data shares'!$C:$FB,4)</f>
        <v>131.55000000000001</v>
      </c>
      <c r="E141" s="50">
        <f t="shared" si="6"/>
        <v>-3.4891676168757253</v>
      </c>
      <c r="F141" s="49">
        <f>VLOOKUP($A141,'Data shares'!$C:$FB,98)</f>
        <v>229923900</v>
      </c>
      <c r="G141" s="49">
        <f>VLOOKUP($A141,'Data shares'!$C:$FB,99)</f>
        <v>227962050</v>
      </c>
      <c r="H141" s="50">
        <f t="shared" si="7"/>
        <v>0.86060377154881706</v>
      </c>
      <c r="I141" s="49">
        <f>VLOOKUP($A141,'Data shares'!$C:$FB,66)</f>
        <v>208669500</v>
      </c>
      <c r="J141" s="49">
        <f>VLOOKUP($A141,'Data shares'!$C:$FB,67)</f>
        <v>291872850</v>
      </c>
      <c r="K141" s="50">
        <f t="shared" si="8"/>
        <v>-39.87326849395815</v>
      </c>
      <c r="L141" s="50">
        <f>VLOOKUP($A141,'Data shares'!$C:$FB,118)</f>
        <v>0.91</v>
      </c>
      <c r="M141" s="50">
        <f>VLOOKUP($A141,'Data shares'!$C:$FB,119)</f>
        <v>0.93</v>
      </c>
      <c r="N141" s="50">
        <f>VLOOKUP($A141,'Data shares'!$C:$FB,121)*100</f>
        <v>-2.15</v>
      </c>
      <c r="O141" s="50">
        <f>VLOOKUP($A141,'Data shares'!$C:$FB,124)</f>
        <v>0.68</v>
      </c>
      <c r="P141" s="50">
        <f>VLOOKUP($A141,'Data shares'!$C:$FB,125)</f>
        <v>0.41</v>
      </c>
      <c r="Q141" s="50">
        <f>VLOOKUP($A141,'Data shares'!$C:$FB,127)*100</f>
        <v>65.849999999999994</v>
      </c>
    </row>
    <row r="142" spans="1:17" x14ac:dyDescent="0.25">
      <c r="A142" s="97" t="str">
        <f>'Data Vlaue (Cr)'!C137</f>
        <v>MOTILALOFS</v>
      </c>
      <c r="B142" s="140">
        <f>VLOOKUP($A142,'Data shares'!$C:$FB,7)</f>
        <v>790.85</v>
      </c>
      <c r="C142" s="140">
        <f>VLOOKUP($A142,'Data shares'!$C:$FB,3)</f>
        <v>791.05</v>
      </c>
      <c r="D142" s="140">
        <f>VLOOKUP($A142,'Data shares'!$C:$FB,4)</f>
        <v>813.55</v>
      </c>
      <c r="E142" s="50">
        <f t="shared" si="6"/>
        <v>-2.7656566898162374</v>
      </c>
      <c r="F142" s="49">
        <f>VLOOKUP($A142,'Data shares'!$C:$FB,98)</f>
        <v>6041125</v>
      </c>
      <c r="G142" s="49">
        <f>VLOOKUP($A142,'Data shares'!$C:$FB,99)</f>
        <v>5797000</v>
      </c>
      <c r="H142" s="50">
        <f t="shared" si="7"/>
        <v>4.2112299465240639</v>
      </c>
      <c r="I142" s="49">
        <f>VLOOKUP($A142,'Data shares'!$C:$FB,66)</f>
        <v>11762175</v>
      </c>
      <c r="J142" s="49">
        <f>VLOOKUP($A142,'Data shares'!$C:$FB,67)</f>
        <v>5166925</v>
      </c>
      <c r="K142" s="50">
        <f t="shared" si="8"/>
        <v>56.071687421756607</v>
      </c>
      <c r="L142" s="50">
        <f>VLOOKUP($A142,'Data shares'!$C:$FB,118)</f>
        <v>0.93</v>
      </c>
      <c r="M142" s="50">
        <f>VLOOKUP($A142,'Data shares'!$C:$FB,119)</f>
        <v>0.94</v>
      </c>
      <c r="N142" s="50">
        <f>VLOOKUP($A142,'Data shares'!$C:$FB,121)*100</f>
        <v>-1.06</v>
      </c>
      <c r="O142" s="50">
        <f>VLOOKUP($A142,'Data shares'!$C:$FB,124)</f>
        <v>0.9</v>
      </c>
      <c r="P142" s="50">
        <f>VLOOKUP($A142,'Data shares'!$C:$FB,125)</f>
        <v>2.25</v>
      </c>
      <c r="Q142" s="50">
        <f>VLOOKUP($A142,'Data shares'!$C:$FB,127)*100</f>
        <v>-60</v>
      </c>
    </row>
    <row r="143" spans="1:17" x14ac:dyDescent="0.25">
      <c r="A143" s="97" t="str">
        <f>'Data Vlaue (Cr)'!C138</f>
        <v>MPHASIS</v>
      </c>
      <c r="B143" s="140">
        <f>VLOOKUP($A143,'Data shares'!$C:$FB,7)</f>
        <v>2277</v>
      </c>
      <c r="C143" s="140">
        <f>VLOOKUP($A143,'Data shares'!$C:$FB,3)</f>
        <v>2275.6</v>
      </c>
      <c r="D143" s="140">
        <f>VLOOKUP($A143,'Data shares'!$C:$FB,4)</f>
        <v>2340.9</v>
      </c>
      <c r="E143" s="50">
        <f t="shared" si="6"/>
        <v>-2.7895253962151383</v>
      </c>
      <c r="F143" s="49">
        <f>VLOOKUP($A143,'Data shares'!$C:$FB,98)</f>
        <v>7759950</v>
      </c>
      <c r="G143" s="49">
        <f>VLOOKUP($A143,'Data shares'!$C:$FB,99)</f>
        <v>6937425</v>
      </c>
      <c r="H143" s="50">
        <f t="shared" si="7"/>
        <v>11.856344392912357</v>
      </c>
      <c r="I143" s="49">
        <f>VLOOKUP($A143,'Data shares'!$C:$FB,66)</f>
        <v>5360025</v>
      </c>
      <c r="J143" s="49">
        <f>VLOOKUP($A143,'Data shares'!$C:$FB,67)</f>
        <v>4797100</v>
      </c>
      <c r="K143" s="50">
        <f t="shared" si="8"/>
        <v>10.50228310502283</v>
      </c>
      <c r="L143" s="50">
        <f>VLOOKUP($A143,'Data shares'!$C:$FB,118)</f>
        <v>0.68</v>
      </c>
      <c r="M143" s="50">
        <f>VLOOKUP($A143,'Data shares'!$C:$FB,119)</f>
        <v>0.73</v>
      </c>
      <c r="N143" s="50">
        <f>VLOOKUP($A143,'Data shares'!$C:$FB,121)*100</f>
        <v>-6.8500000000000005</v>
      </c>
      <c r="O143" s="50">
        <f>VLOOKUP($A143,'Data shares'!$C:$FB,124)</f>
        <v>0.61</v>
      </c>
      <c r="P143" s="50">
        <f>VLOOKUP($A143,'Data shares'!$C:$FB,125)</f>
        <v>0.87</v>
      </c>
      <c r="Q143" s="50">
        <f>VLOOKUP($A143,'Data shares'!$C:$FB,127)*100</f>
        <v>-29.89</v>
      </c>
    </row>
    <row r="144" spans="1:17" x14ac:dyDescent="0.25">
      <c r="A144" s="97" t="str">
        <f>'Data Vlaue (Cr)'!C139</f>
        <v>MUTHOOTFIN</v>
      </c>
      <c r="B144" s="140">
        <f>VLOOKUP($A144,'Data shares'!$C:$FB,7)</f>
        <v>3561.4</v>
      </c>
      <c r="C144" s="140">
        <f>VLOOKUP($A144,'Data shares'!$C:$FB,3)</f>
        <v>3571.8</v>
      </c>
      <c r="D144" s="140">
        <f>VLOOKUP($A144,'Data shares'!$C:$FB,4)</f>
        <v>3597.4</v>
      </c>
      <c r="E144" s="50">
        <f t="shared" si="6"/>
        <v>-0.711625062545169</v>
      </c>
      <c r="F144" s="49">
        <f>VLOOKUP($A144,'Data shares'!$C:$FB,98)</f>
        <v>7600450</v>
      </c>
      <c r="G144" s="49">
        <f>VLOOKUP($A144,'Data shares'!$C:$FB,99)</f>
        <v>8052550</v>
      </c>
      <c r="H144" s="50">
        <f t="shared" si="7"/>
        <v>-5.6143706031008804</v>
      </c>
      <c r="I144" s="49">
        <f>VLOOKUP($A144,'Data shares'!$C:$FB,66)</f>
        <v>6516675</v>
      </c>
      <c r="J144" s="49">
        <f>VLOOKUP($A144,'Data shares'!$C:$FB,67)</f>
        <v>8513725</v>
      </c>
      <c r="K144" s="50">
        <f t="shared" si="8"/>
        <v>-30.645229353926656</v>
      </c>
      <c r="L144" s="50">
        <f>VLOOKUP($A144,'Data shares'!$C:$FB,118)</f>
        <v>0.6</v>
      </c>
      <c r="M144" s="50">
        <f>VLOOKUP($A144,'Data shares'!$C:$FB,119)</f>
        <v>0.55000000000000004</v>
      </c>
      <c r="N144" s="50">
        <f>VLOOKUP($A144,'Data shares'!$C:$FB,121)*100</f>
        <v>9.09</v>
      </c>
      <c r="O144" s="50">
        <f>VLOOKUP($A144,'Data shares'!$C:$FB,124)</f>
        <v>0.61</v>
      </c>
      <c r="P144" s="50">
        <f>VLOOKUP($A144,'Data shares'!$C:$FB,125)</f>
        <v>0.36</v>
      </c>
      <c r="Q144" s="50">
        <f>VLOOKUP($A144,'Data shares'!$C:$FB,127)*100</f>
        <v>69.44</v>
      </c>
    </row>
    <row r="145" spans="1:17" x14ac:dyDescent="0.25">
      <c r="A145" s="97" t="str">
        <f>'Data Vlaue (Cr)'!C140</f>
        <v>NAM-INDIA</v>
      </c>
      <c r="B145" s="140">
        <f>VLOOKUP($A145,'Data shares'!$C:$FB,7)</f>
        <v>1031.95</v>
      </c>
      <c r="C145" s="140">
        <f>VLOOKUP($A145,'Data shares'!$C:$FB,3)</f>
        <v>1035.05</v>
      </c>
      <c r="D145" s="140">
        <f>VLOOKUP($A145,'Data shares'!$C:$FB,4)</f>
        <v>1053.05</v>
      </c>
      <c r="E145" s="50">
        <f t="shared" si="6"/>
        <v>-1.7093205450833295</v>
      </c>
      <c r="F145" s="49">
        <f>VLOOKUP($A145,'Data shares'!$C:$FB,98)</f>
        <v>5273750</v>
      </c>
      <c r="G145" s="49">
        <f>VLOOKUP($A145,'Data shares'!$C:$FB,99)</f>
        <v>5588125</v>
      </c>
      <c r="H145" s="50">
        <f t="shared" si="7"/>
        <v>-5.6257689296499276</v>
      </c>
      <c r="I145" s="49">
        <f>VLOOKUP($A145,'Data shares'!$C:$FB,66)</f>
        <v>6230000</v>
      </c>
      <c r="J145" s="49">
        <f>VLOOKUP($A145,'Data shares'!$C:$FB,67)</f>
        <v>4043750</v>
      </c>
      <c r="K145" s="50">
        <f t="shared" si="8"/>
        <v>35.092295345104333</v>
      </c>
      <c r="L145" s="50">
        <f>VLOOKUP($A145,'Data shares'!$C:$FB,118)</f>
        <v>0.5</v>
      </c>
      <c r="M145" s="50">
        <f>VLOOKUP($A145,'Data shares'!$C:$FB,119)</f>
        <v>0.54</v>
      </c>
      <c r="N145" s="50">
        <f>VLOOKUP($A145,'Data shares'!$C:$FB,121)*100</f>
        <v>-7.41</v>
      </c>
      <c r="O145" s="50">
        <f>VLOOKUP($A145,'Data shares'!$C:$FB,124)</f>
        <v>1.39</v>
      </c>
      <c r="P145" s="50">
        <f>VLOOKUP($A145,'Data shares'!$C:$FB,125)</f>
        <v>0.85</v>
      </c>
      <c r="Q145" s="50">
        <f>VLOOKUP($A145,'Data shares'!$C:$FB,127)*100</f>
        <v>63.53</v>
      </c>
    </row>
    <row r="146" spans="1:17" x14ac:dyDescent="0.25">
      <c r="A146" s="97" t="str">
        <f>'Data Vlaue (Cr)'!C141</f>
        <v>NATIONALUM</v>
      </c>
      <c r="B146" s="140">
        <f>VLOOKUP($A146,'Data shares'!$C:$FB,7)</f>
        <v>439.25</v>
      </c>
      <c r="C146" s="140">
        <f>VLOOKUP($A146,'Data shares'!$C:$FB,3)</f>
        <v>439.75</v>
      </c>
      <c r="D146" s="140">
        <f>VLOOKUP($A146,'Data shares'!$C:$FB,4)</f>
        <v>436.95</v>
      </c>
      <c r="E146" s="50">
        <f t="shared" si="6"/>
        <v>0.6408055841629503</v>
      </c>
      <c r="F146" s="49">
        <f>VLOOKUP($A146,'Data shares'!$C:$FB,98)</f>
        <v>128133750</v>
      </c>
      <c r="G146" s="49">
        <f>VLOOKUP($A146,'Data shares'!$C:$FB,99)</f>
        <v>127462500</v>
      </c>
      <c r="H146" s="50">
        <f t="shared" si="7"/>
        <v>0.52662547808178872</v>
      </c>
      <c r="I146" s="49">
        <f>VLOOKUP($A146,'Data shares'!$C:$FB,66)</f>
        <v>131321250</v>
      </c>
      <c r="J146" s="49">
        <f>VLOOKUP($A146,'Data shares'!$C:$FB,67)</f>
        <v>153337500</v>
      </c>
      <c r="K146" s="50">
        <f t="shared" si="8"/>
        <v>-16.765184614066651</v>
      </c>
      <c r="L146" s="50">
        <f>VLOOKUP($A146,'Data shares'!$C:$FB,118)</f>
        <v>0.82</v>
      </c>
      <c r="M146" s="50">
        <f>VLOOKUP($A146,'Data shares'!$C:$FB,119)</f>
        <v>0.83</v>
      </c>
      <c r="N146" s="50">
        <f>VLOOKUP($A146,'Data shares'!$C:$FB,121)*100</f>
        <v>-1.2</v>
      </c>
      <c r="O146" s="50">
        <f>VLOOKUP($A146,'Data shares'!$C:$FB,124)</f>
        <v>0.54</v>
      </c>
      <c r="P146" s="50">
        <f>VLOOKUP($A146,'Data shares'!$C:$FB,125)</f>
        <v>0.49</v>
      </c>
      <c r="Q146" s="50">
        <f>VLOOKUP($A146,'Data shares'!$C:$FB,127)*100</f>
        <v>10.199999999999999</v>
      </c>
    </row>
    <row r="147" spans="1:17" x14ac:dyDescent="0.25">
      <c r="A147" s="97" t="str">
        <f>'Data Vlaue (Cr)'!C142</f>
        <v>NAUKRI</v>
      </c>
      <c r="B147" s="140">
        <f>VLOOKUP($A147,'Data shares'!$C:$FB,7)</f>
        <v>1018.05</v>
      </c>
      <c r="C147" s="140">
        <f>VLOOKUP($A147,'Data shares'!$C:$FB,3)</f>
        <v>1021.1</v>
      </c>
      <c r="D147" s="140">
        <f>VLOOKUP($A147,'Data shares'!$C:$FB,4)</f>
        <v>1053.0999999999999</v>
      </c>
      <c r="E147" s="50">
        <f t="shared" si="6"/>
        <v>-3.0386478017282204</v>
      </c>
      <c r="F147" s="49">
        <f>VLOOKUP($A147,'Data shares'!$C:$FB,98)</f>
        <v>15998625</v>
      </c>
      <c r="G147" s="49">
        <f>VLOOKUP($A147,'Data shares'!$C:$FB,99)</f>
        <v>15115875</v>
      </c>
      <c r="H147" s="50">
        <f t="shared" si="7"/>
        <v>5.839886873899129</v>
      </c>
      <c r="I147" s="49">
        <f>VLOOKUP($A147,'Data shares'!$C:$FB,66)</f>
        <v>18528000</v>
      </c>
      <c r="J147" s="49">
        <f>VLOOKUP($A147,'Data shares'!$C:$FB,67)</f>
        <v>8414625</v>
      </c>
      <c r="K147" s="50">
        <f t="shared" si="8"/>
        <v>54.584277849740936</v>
      </c>
      <c r="L147" s="50">
        <f>VLOOKUP($A147,'Data shares'!$C:$FB,118)</f>
        <v>0.54</v>
      </c>
      <c r="M147" s="50">
        <f>VLOOKUP($A147,'Data shares'!$C:$FB,119)</f>
        <v>0.48</v>
      </c>
      <c r="N147" s="50">
        <f>VLOOKUP($A147,'Data shares'!$C:$FB,121)*100</f>
        <v>12.5</v>
      </c>
      <c r="O147" s="50">
        <f>VLOOKUP($A147,'Data shares'!$C:$FB,124)</f>
        <v>0.63</v>
      </c>
      <c r="P147" s="50">
        <f>VLOOKUP($A147,'Data shares'!$C:$FB,125)</f>
        <v>0.59</v>
      </c>
      <c r="Q147" s="50">
        <f>VLOOKUP($A147,'Data shares'!$C:$FB,127)*100</f>
        <v>6.78</v>
      </c>
    </row>
    <row r="148" spans="1:17" x14ac:dyDescent="0.25">
      <c r="A148" s="97" t="str">
        <f>'Data Vlaue (Cr)'!C143</f>
        <v>NBCC</v>
      </c>
      <c r="B148" s="140">
        <f>VLOOKUP($A148,'Data shares'!$C:$FB,7)</f>
        <v>93.31</v>
      </c>
      <c r="C148" s="140">
        <f>VLOOKUP($A148,'Data shares'!$C:$FB,3)</f>
        <v>93.4</v>
      </c>
      <c r="D148" s="140">
        <f>VLOOKUP($A148,'Data shares'!$C:$FB,4)</f>
        <v>94.46</v>
      </c>
      <c r="E148" s="50">
        <f t="shared" si="6"/>
        <v>-1.1221681134871777</v>
      </c>
      <c r="F148" s="49">
        <f>VLOOKUP($A148,'Data shares'!$C:$FB,98)</f>
        <v>118144000</v>
      </c>
      <c r="G148" s="49">
        <f>VLOOKUP($A148,'Data shares'!$C:$FB,99)</f>
        <v>115576500</v>
      </c>
      <c r="H148" s="50">
        <f t="shared" si="7"/>
        <v>2.2214723581350881</v>
      </c>
      <c r="I148" s="49">
        <f>VLOOKUP($A148,'Data shares'!$C:$FB,66)</f>
        <v>73365500</v>
      </c>
      <c r="J148" s="49">
        <f>VLOOKUP($A148,'Data shares'!$C:$FB,67)</f>
        <v>32188000</v>
      </c>
      <c r="K148" s="50">
        <f t="shared" si="8"/>
        <v>56.126517232214056</v>
      </c>
      <c r="L148" s="50">
        <f>VLOOKUP($A148,'Data shares'!$C:$FB,118)</f>
        <v>0.61</v>
      </c>
      <c r="M148" s="50">
        <f>VLOOKUP($A148,'Data shares'!$C:$FB,119)</f>
        <v>0.64</v>
      </c>
      <c r="N148" s="50">
        <f>VLOOKUP($A148,'Data shares'!$C:$FB,121)*100</f>
        <v>-4.6899999999999995</v>
      </c>
      <c r="O148" s="50">
        <f>VLOOKUP($A148,'Data shares'!$C:$FB,124)</f>
        <v>0.32</v>
      </c>
      <c r="P148" s="50">
        <f>VLOOKUP($A148,'Data shares'!$C:$FB,125)</f>
        <v>0.35</v>
      </c>
      <c r="Q148" s="50">
        <f>VLOOKUP($A148,'Data shares'!$C:$FB,127)*100</f>
        <v>-8.57</v>
      </c>
    </row>
    <row r="149" spans="1:17" x14ac:dyDescent="0.25">
      <c r="A149" s="97" t="str">
        <f>'Data Vlaue (Cr)'!C144</f>
        <v>NESTLEIND</v>
      </c>
      <c r="B149" s="140">
        <f>VLOOKUP($A149,'Data shares'!$C:$FB,7)</f>
        <v>1410.5</v>
      </c>
      <c r="C149" s="140">
        <f>VLOOKUP($A149,'Data shares'!$C:$FB,3)</f>
        <v>1408.6</v>
      </c>
      <c r="D149" s="140">
        <f>VLOOKUP($A149,'Data shares'!$C:$FB,4)</f>
        <v>1394.1</v>
      </c>
      <c r="E149" s="50">
        <f t="shared" si="6"/>
        <v>1.0400975539774766</v>
      </c>
      <c r="F149" s="49">
        <f>VLOOKUP($A149,'Data shares'!$C:$FB,98)</f>
        <v>35534500</v>
      </c>
      <c r="G149" s="49">
        <f>VLOOKUP($A149,'Data shares'!$C:$FB,99)</f>
        <v>37905500</v>
      </c>
      <c r="H149" s="50">
        <f t="shared" si="7"/>
        <v>-6.2550289535819346</v>
      </c>
      <c r="I149" s="49">
        <f>VLOOKUP($A149,'Data shares'!$C:$FB,66)</f>
        <v>41264000</v>
      </c>
      <c r="J149" s="49">
        <f>VLOOKUP($A149,'Data shares'!$C:$FB,67)</f>
        <v>131672500</v>
      </c>
      <c r="K149" s="50">
        <f t="shared" si="8"/>
        <v>-219.09776075998448</v>
      </c>
      <c r="L149" s="50">
        <f>VLOOKUP($A149,'Data shares'!$C:$FB,118)</f>
        <v>0.69</v>
      </c>
      <c r="M149" s="50">
        <f>VLOOKUP($A149,'Data shares'!$C:$FB,119)</f>
        <v>0.63</v>
      </c>
      <c r="N149" s="50">
        <f>VLOOKUP($A149,'Data shares'!$C:$FB,121)*100</f>
        <v>9.5200000000000014</v>
      </c>
      <c r="O149" s="50">
        <f>VLOOKUP($A149,'Data shares'!$C:$FB,124)</f>
        <v>0.53</v>
      </c>
      <c r="P149" s="50">
        <f>VLOOKUP($A149,'Data shares'!$C:$FB,125)</f>
        <v>0.42</v>
      </c>
      <c r="Q149" s="50">
        <f>VLOOKUP($A149,'Data shares'!$C:$FB,127)*100</f>
        <v>26.19</v>
      </c>
    </row>
    <row r="150" spans="1:17" x14ac:dyDescent="0.25">
      <c r="A150" s="97" t="str">
        <f>'Data Vlaue (Cr)'!C145</f>
        <v>NHPC</v>
      </c>
      <c r="B150" s="140">
        <f>VLOOKUP($A150,'Data shares'!$C:$FB,7)</f>
        <v>81.459999999999994</v>
      </c>
      <c r="C150" s="140">
        <f>VLOOKUP($A150,'Data shares'!$C:$FB,3)</f>
        <v>81.38</v>
      </c>
      <c r="D150" s="140">
        <f>VLOOKUP($A150,'Data shares'!$C:$FB,4)</f>
        <v>82.81</v>
      </c>
      <c r="E150" s="50">
        <f t="shared" si="6"/>
        <v>-1.7268445839874493</v>
      </c>
      <c r="F150" s="49">
        <f>VLOOKUP($A150,'Data shares'!$C:$FB,98)</f>
        <v>157612800</v>
      </c>
      <c r="G150" s="49">
        <f>VLOOKUP($A150,'Data shares'!$C:$FB,99)</f>
        <v>158009600</v>
      </c>
      <c r="H150" s="50">
        <f t="shared" si="7"/>
        <v>-0.25112398234031347</v>
      </c>
      <c r="I150" s="49">
        <f>VLOOKUP($A150,'Data shares'!$C:$FB,66)</f>
        <v>154476800</v>
      </c>
      <c r="J150" s="49">
        <f>VLOOKUP($A150,'Data shares'!$C:$FB,67)</f>
        <v>59961600</v>
      </c>
      <c r="K150" s="50">
        <f t="shared" si="8"/>
        <v>61.184074242863652</v>
      </c>
      <c r="L150" s="50">
        <f>VLOOKUP($A150,'Data shares'!$C:$FB,118)</f>
        <v>0.82</v>
      </c>
      <c r="M150" s="50">
        <f>VLOOKUP($A150,'Data shares'!$C:$FB,119)</f>
        <v>0.82</v>
      </c>
      <c r="N150" s="50">
        <f>VLOOKUP($A150,'Data shares'!$C:$FB,121)*100</f>
        <v>0</v>
      </c>
      <c r="O150" s="50">
        <f>VLOOKUP($A150,'Data shares'!$C:$FB,124)</f>
        <v>0.73</v>
      </c>
      <c r="P150" s="50">
        <f>VLOOKUP($A150,'Data shares'!$C:$FB,125)</f>
        <v>0.46</v>
      </c>
      <c r="Q150" s="50">
        <f>VLOOKUP($A150,'Data shares'!$C:$FB,127)*100</f>
        <v>58.699999999999996</v>
      </c>
    </row>
    <row r="151" spans="1:17" x14ac:dyDescent="0.25">
      <c r="A151" s="97" t="str">
        <f>'Data Vlaue (Cr)'!C146</f>
        <v>NIFTY</v>
      </c>
      <c r="B151" s="140">
        <f>VLOOKUP($A151,'Data shares'!$C:$FB,7)</f>
        <v>24173.05</v>
      </c>
      <c r="C151" s="140">
        <f>VLOOKUP($A151,'Data shares'!$C:$FB,3)</f>
        <v>24163</v>
      </c>
      <c r="D151" s="140">
        <f>VLOOKUP($A151,'Data shares'!$C:$FB,4)</f>
        <v>24381.200000000001</v>
      </c>
      <c r="E151" s="50">
        <f t="shared" si="6"/>
        <v>-0.89495184814529527</v>
      </c>
      <c r="F151" s="49">
        <f>VLOOKUP($A151,'Data shares'!$C:$FB,98)</f>
        <v>457711120</v>
      </c>
      <c r="G151" s="49">
        <f>VLOOKUP($A151,'Data shares'!$C:$FB,99)</f>
        <v>397210205</v>
      </c>
      <c r="H151" s="50">
        <f t="shared" si="7"/>
        <v>15.231460380027245</v>
      </c>
      <c r="I151" s="49">
        <f>VLOOKUP($A151,'Data shares'!$C:$FB,66)</f>
        <v>2482675715</v>
      </c>
      <c r="J151" s="49">
        <f>VLOOKUP($A151,'Data shares'!$C:$FB,67)</f>
        <v>2256948720</v>
      </c>
      <c r="K151" s="50">
        <f t="shared" si="8"/>
        <v>9.0920853511470394</v>
      </c>
      <c r="L151" s="50">
        <f>VLOOKUP($A151,'Data shares'!$C:$FB,118)</f>
        <v>0.92</v>
      </c>
      <c r="M151" s="50">
        <f>VLOOKUP($A151,'Data shares'!$C:$FB,119)</f>
        <v>1.02</v>
      </c>
      <c r="N151" s="50">
        <f>VLOOKUP($A151,'Data shares'!$C:$FB,121)*100</f>
        <v>-9.8000000000000007</v>
      </c>
      <c r="O151" s="50">
        <f>VLOOKUP($A151,'Data shares'!$C:$FB,124)</f>
        <v>0.88</v>
      </c>
      <c r="P151" s="50">
        <f>VLOOKUP($A151,'Data shares'!$C:$FB,125)</f>
        <v>1.03</v>
      </c>
      <c r="Q151" s="50">
        <f>VLOOKUP($A151,'Data shares'!$C:$FB,127)*100</f>
        <v>-14.56</v>
      </c>
    </row>
    <row r="152" spans="1:17" x14ac:dyDescent="0.25">
      <c r="A152" s="97" t="str">
        <f>'Data Vlaue (Cr)'!C147</f>
        <v>NIFTYNXT50</v>
      </c>
      <c r="B152" s="140">
        <f>VLOOKUP($A152,'Data shares'!$C:$FB,7)</f>
        <v>70410.350000000006</v>
      </c>
      <c r="C152" s="140">
        <f>VLOOKUP($A152,'Data shares'!$C:$FB,3)</f>
        <v>70376</v>
      </c>
      <c r="D152" s="140">
        <f>VLOOKUP($A152,'Data shares'!$C:$FB,4)</f>
        <v>71349.2</v>
      </c>
      <c r="E152" s="50">
        <f t="shared" si="6"/>
        <v>-1.363995671990712</v>
      </c>
      <c r="F152" s="49">
        <f>VLOOKUP($A152,'Data shares'!$C:$FB,98)</f>
        <v>51400</v>
      </c>
      <c r="G152" s="49">
        <f>VLOOKUP($A152,'Data shares'!$C:$FB,99)</f>
        <v>50825</v>
      </c>
      <c r="H152" s="50">
        <f t="shared" si="7"/>
        <v>1.1313330054107231</v>
      </c>
      <c r="I152" s="49">
        <f>VLOOKUP($A152,'Data shares'!$C:$FB,66)</f>
        <v>29550</v>
      </c>
      <c r="J152" s="49">
        <f>VLOOKUP($A152,'Data shares'!$C:$FB,67)</f>
        <v>38225</v>
      </c>
      <c r="K152" s="50">
        <f t="shared" si="8"/>
        <v>-29.357021996615906</v>
      </c>
      <c r="L152" s="50">
        <f>VLOOKUP($A152,'Data shares'!$C:$FB,118)</f>
        <v>0.53</v>
      </c>
      <c r="M152" s="50">
        <f>VLOOKUP($A152,'Data shares'!$C:$FB,119)</f>
        <v>0.62</v>
      </c>
      <c r="N152" s="50">
        <f>VLOOKUP($A152,'Data shares'!$C:$FB,121)*100</f>
        <v>-14.52</v>
      </c>
      <c r="O152" s="50">
        <f>VLOOKUP($A152,'Data shares'!$C:$FB,124)</f>
        <v>0.76</v>
      </c>
      <c r="P152" s="50">
        <f>VLOOKUP($A152,'Data shares'!$C:$FB,125)</f>
        <v>0.82</v>
      </c>
      <c r="Q152" s="50">
        <f>VLOOKUP($A152,'Data shares'!$C:$FB,127)*100</f>
        <v>-7.32</v>
      </c>
    </row>
    <row r="153" spans="1:17" x14ac:dyDescent="0.25">
      <c r="A153" s="97" t="str">
        <f>'Data Vlaue (Cr)'!C148</f>
        <v>NMDC</v>
      </c>
      <c r="B153" s="140">
        <f>VLOOKUP($A153,'Data shares'!$C:$FB,7)</f>
        <v>87.31</v>
      </c>
      <c r="C153" s="140">
        <f>VLOOKUP($A153,'Data shares'!$C:$FB,3)</f>
        <v>87.42</v>
      </c>
      <c r="D153" s="140">
        <f>VLOOKUP($A153,'Data shares'!$C:$FB,4)</f>
        <v>88.52</v>
      </c>
      <c r="E153" s="50">
        <f t="shared" si="6"/>
        <v>-1.2426570266606354</v>
      </c>
      <c r="F153" s="49">
        <f>VLOOKUP($A153,'Data shares'!$C:$FB,98)</f>
        <v>462915000</v>
      </c>
      <c r="G153" s="49">
        <f>VLOOKUP($A153,'Data shares'!$C:$FB,99)</f>
        <v>457049250</v>
      </c>
      <c r="H153" s="50">
        <f t="shared" si="7"/>
        <v>1.2833956078037543</v>
      </c>
      <c r="I153" s="49">
        <f>VLOOKUP($A153,'Data shares'!$C:$FB,66)</f>
        <v>192091500</v>
      </c>
      <c r="J153" s="49">
        <f>VLOOKUP($A153,'Data shares'!$C:$FB,67)</f>
        <v>162128250</v>
      </c>
      <c r="K153" s="50">
        <f t="shared" si="8"/>
        <v>15.598425750228406</v>
      </c>
      <c r="L153" s="50">
        <f>VLOOKUP($A153,'Data shares'!$C:$FB,118)</f>
        <v>0.6</v>
      </c>
      <c r="M153" s="50">
        <f>VLOOKUP($A153,'Data shares'!$C:$FB,119)</f>
        <v>0.6</v>
      </c>
      <c r="N153" s="50">
        <f>VLOOKUP($A153,'Data shares'!$C:$FB,121)*100</f>
        <v>0</v>
      </c>
      <c r="O153" s="50">
        <f>VLOOKUP($A153,'Data shares'!$C:$FB,124)</f>
        <v>0.35</v>
      </c>
      <c r="P153" s="50">
        <f>VLOOKUP($A153,'Data shares'!$C:$FB,125)</f>
        <v>0.38</v>
      </c>
      <c r="Q153" s="50">
        <f>VLOOKUP($A153,'Data shares'!$C:$FB,127)*100</f>
        <v>-7.89</v>
      </c>
    </row>
    <row r="154" spans="1:17" x14ac:dyDescent="0.25">
      <c r="A154" s="97" t="str">
        <f>'Data Vlaue (Cr)'!C149</f>
        <v>NTPC</v>
      </c>
      <c r="B154" s="140">
        <f>VLOOKUP($A154,'Data shares'!$C:$FB,7)</f>
        <v>402.25</v>
      </c>
      <c r="C154" s="140">
        <f>VLOOKUP($A154,'Data shares'!$C:$FB,3)</f>
        <v>401.75</v>
      </c>
      <c r="D154" s="140">
        <f>VLOOKUP($A154,'Data shares'!$C:$FB,4)</f>
        <v>404.9</v>
      </c>
      <c r="E154" s="50">
        <f t="shared" si="6"/>
        <v>-0.77796986910347676</v>
      </c>
      <c r="F154" s="49">
        <f>VLOOKUP($A154,'Data shares'!$C:$FB,98)</f>
        <v>228256500</v>
      </c>
      <c r="G154" s="49">
        <f>VLOOKUP($A154,'Data shares'!$C:$FB,99)</f>
        <v>227260500</v>
      </c>
      <c r="H154" s="50">
        <f t="shared" si="7"/>
        <v>0.43826357858052761</v>
      </c>
      <c r="I154" s="49">
        <f>VLOOKUP($A154,'Data shares'!$C:$FB,66)</f>
        <v>164421000</v>
      </c>
      <c r="J154" s="49">
        <f>VLOOKUP($A154,'Data shares'!$C:$FB,67)</f>
        <v>264457500</v>
      </c>
      <c r="K154" s="50">
        <f t="shared" si="8"/>
        <v>-60.841680807196163</v>
      </c>
      <c r="L154" s="50">
        <f>VLOOKUP($A154,'Data shares'!$C:$FB,118)</f>
        <v>0.56999999999999995</v>
      </c>
      <c r="M154" s="50">
        <f>VLOOKUP($A154,'Data shares'!$C:$FB,119)</f>
        <v>0.59</v>
      </c>
      <c r="N154" s="50">
        <f>VLOOKUP($A154,'Data shares'!$C:$FB,121)*100</f>
        <v>-3.39</v>
      </c>
      <c r="O154" s="50">
        <f>VLOOKUP($A154,'Data shares'!$C:$FB,124)</f>
        <v>0.62</v>
      </c>
      <c r="P154" s="50">
        <f>VLOOKUP($A154,'Data shares'!$C:$FB,125)</f>
        <v>0.5</v>
      </c>
      <c r="Q154" s="50">
        <f>VLOOKUP($A154,'Data shares'!$C:$FB,127)*100</f>
        <v>24</v>
      </c>
    </row>
    <row r="155" spans="1:17" x14ac:dyDescent="0.25">
      <c r="A155" s="97" t="str">
        <f>'Data Vlaue (Cr)'!C150</f>
        <v>NUVAMA</v>
      </c>
      <c r="B155" s="140">
        <f>VLOOKUP($A155,'Data shares'!$C:$FB,7)</f>
        <v>1376.7</v>
      </c>
      <c r="C155" s="140">
        <f>VLOOKUP($A155,'Data shares'!$C:$FB,3)</f>
        <v>1377.9</v>
      </c>
      <c r="D155" s="140">
        <f>VLOOKUP($A155,'Data shares'!$C:$FB,4)</f>
        <v>1375.5</v>
      </c>
      <c r="E155" s="50">
        <f t="shared" si="6"/>
        <v>0.17448200654308185</v>
      </c>
      <c r="F155" s="49">
        <f>VLOOKUP($A155,'Data shares'!$C:$FB,98)</f>
        <v>4127500</v>
      </c>
      <c r="G155" s="49">
        <f>VLOOKUP($A155,'Data shares'!$C:$FB,99)</f>
        <v>4091500</v>
      </c>
      <c r="H155" s="50">
        <f t="shared" si="7"/>
        <v>0.87987290724673095</v>
      </c>
      <c r="I155" s="49">
        <f>VLOOKUP($A155,'Data shares'!$C:$FB,66)</f>
        <v>2958500</v>
      </c>
      <c r="J155" s="49">
        <f>VLOOKUP($A155,'Data shares'!$C:$FB,67)</f>
        <v>2094500</v>
      </c>
      <c r="K155" s="50">
        <f t="shared" si="8"/>
        <v>29.203988507689711</v>
      </c>
      <c r="L155" s="50">
        <f>VLOOKUP($A155,'Data shares'!$C:$FB,118)</f>
        <v>0.74</v>
      </c>
      <c r="M155" s="50">
        <f>VLOOKUP($A155,'Data shares'!$C:$FB,119)</f>
        <v>0.74</v>
      </c>
      <c r="N155" s="50">
        <f>VLOOKUP($A155,'Data shares'!$C:$FB,121)*100</f>
        <v>0</v>
      </c>
      <c r="O155" s="50">
        <f>VLOOKUP($A155,'Data shares'!$C:$FB,124)</f>
        <v>0.8</v>
      </c>
      <c r="P155" s="50">
        <f>VLOOKUP($A155,'Data shares'!$C:$FB,125)</f>
        <v>0.6</v>
      </c>
      <c r="Q155" s="50">
        <f>VLOOKUP($A155,'Data shares'!$C:$FB,127)*100</f>
        <v>33.33</v>
      </c>
    </row>
    <row r="156" spans="1:17" x14ac:dyDescent="0.25">
      <c r="A156" s="97" t="str">
        <f>'Data Vlaue (Cr)'!C151</f>
        <v>NYKAA</v>
      </c>
      <c r="B156" s="140">
        <f>VLOOKUP($A156,'Data shares'!$C:$FB,7)</f>
        <v>261.85000000000002</v>
      </c>
      <c r="C156" s="140">
        <f>VLOOKUP($A156,'Data shares'!$C:$FB,3)</f>
        <v>261.62</v>
      </c>
      <c r="D156" s="140">
        <f>VLOOKUP($A156,'Data shares'!$C:$FB,4)</f>
        <v>260.88</v>
      </c>
      <c r="E156" s="50">
        <f t="shared" si="6"/>
        <v>0.283655320453852</v>
      </c>
      <c r="F156" s="49">
        <f>VLOOKUP($A156,'Data shares'!$C:$FB,98)</f>
        <v>69371875</v>
      </c>
      <c r="G156" s="49">
        <f>VLOOKUP($A156,'Data shares'!$C:$FB,99)</f>
        <v>66446875</v>
      </c>
      <c r="H156" s="50">
        <f t="shared" si="7"/>
        <v>4.4020128862343038</v>
      </c>
      <c r="I156" s="49">
        <f>VLOOKUP($A156,'Data shares'!$C:$FB,66)</f>
        <v>38787500</v>
      </c>
      <c r="J156" s="49">
        <f>VLOOKUP($A156,'Data shares'!$C:$FB,67)</f>
        <v>23540625</v>
      </c>
      <c r="K156" s="50">
        <f t="shared" si="8"/>
        <v>39.308733483725426</v>
      </c>
      <c r="L156" s="50">
        <f>VLOOKUP($A156,'Data shares'!$C:$FB,118)</f>
        <v>0.46</v>
      </c>
      <c r="M156" s="50">
        <f>VLOOKUP($A156,'Data shares'!$C:$FB,119)</f>
        <v>0.45</v>
      </c>
      <c r="N156" s="50">
        <f>VLOOKUP($A156,'Data shares'!$C:$FB,121)*100</f>
        <v>2.2200000000000002</v>
      </c>
      <c r="O156" s="50">
        <f>VLOOKUP($A156,'Data shares'!$C:$FB,124)</f>
        <v>0.31</v>
      </c>
      <c r="P156" s="50">
        <f>VLOOKUP($A156,'Data shares'!$C:$FB,125)</f>
        <v>0.49</v>
      </c>
      <c r="Q156" s="50">
        <f>VLOOKUP($A156,'Data shares'!$C:$FB,127)*100</f>
        <v>-36.730000000000004</v>
      </c>
    </row>
    <row r="157" spans="1:17" x14ac:dyDescent="0.25">
      <c r="A157" s="97" t="str">
        <f>'Data Vlaue (Cr)'!C152</f>
        <v>OBEROIRLTY</v>
      </c>
      <c r="B157" s="140">
        <f>VLOOKUP($A157,'Data shares'!$C:$FB,7)</f>
        <v>1707.7</v>
      </c>
      <c r="C157" s="140">
        <f>VLOOKUP($A157,'Data shares'!$C:$FB,3)</f>
        <v>1709.6</v>
      </c>
      <c r="D157" s="140">
        <f>VLOOKUP($A157,'Data shares'!$C:$FB,4)</f>
        <v>1733.8</v>
      </c>
      <c r="E157" s="50">
        <f t="shared" si="6"/>
        <v>-1.3957780597531462</v>
      </c>
      <c r="F157" s="49">
        <f>VLOOKUP($A157,'Data shares'!$C:$FB,98)</f>
        <v>11321800</v>
      </c>
      <c r="G157" s="49">
        <f>VLOOKUP($A157,'Data shares'!$C:$FB,99)</f>
        <v>12768700</v>
      </c>
      <c r="H157" s="50">
        <f t="shared" si="7"/>
        <v>-11.331615591250479</v>
      </c>
      <c r="I157" s="49">
        <f>VLOOKUP($A157,'Data shares'!$C:$FB,66)</f>
        <v>7348250</v>
      </c>
      <c r="J157" s="49">
        <f>VLOOKUP($A157,'Data shares'!$C:$FB,67)</f>
        <v>2790200</v>
      </c>
      <c r="K157" s="50">
        <f t="shared" si="8"/>
        <v>62.029054536794469</v>
      </c>
      <c r="L157" s="50">
        <f>VLOOKUP($A157,'Data shares'!$C:$FB,118)</f>
        <v>0.61</v>
      </c>
      <c r="M157" s="50">
        <f>VLOOKUP($A157,'Data shares'!$C:$FB,119)</f>
        <v>0.62</v>
      </c>
      <c r="N157" s="50">
        <f>VLOOKUP($A157,'Data shares'!$C:$FB,121)*100</f>
        <v>-1.6099999999999999</v>
      </c>
      <c r="O157" s="50">
        <f>VLOOKUP($A157,'Data shares'!$C:$FB,124)</f>
        <v>0.93</v>
      </c>
      <c r="P157" s="50">
        <f>VLOOKUP($A157,'Data shares'!$C:$FB,125)</f>
        <v>0.36</v>
      </c>
      <c r="Q157" s="50">
        <f>VLOOKUP($A157,'Data shares'!$C:$FB,127)*100</f>
        <v>158.32999999999998</v>
      </c>
    </row>
    <row r="158" spans="1:17" x14ac:dyDescent="0.25">
      <c r="A158" s="97" t="str">
        <f>'Data Vlaue (Cr)'!C153</f>
        <v>OFSS</v>
      </c>
      <c r="B158" s="140">
        <f>VLOOKUP($A158,'Data shares'!$C:$FB,7)</f>
        <v>8791.5</v>
      </c>
      <c r="C158" s="140">
        <f>VLOOKUP($A158,'Data shares'!$C:$FB,3)</f>
        <v>8783</v>
      </c>
      <c r="D158" s="140">
        <f>VLOOKUP($A158,'Data shares'!$C:$FB,4)</f>
        <v>8160.5</v>
      </c>
      <c r="E158" s="50">
        <f t="shared" si="6"/>
        <v>7.6282090558176581</v>
      </c>
      <c r="F158" s="49">
        <f>VLOOKUP($A158,'Data shares'!$C:$FB,98)</f>
        <v>4451625</v>
      </c>
      <c r="G158" s="49">
        <f>VLOOKUP($A158,'Data shares'!$C:$FB,99)</f>
        <v>3895350</v>
      </c>
      <c r="H158" s="50">
        <f t="shared" si="7"/>
        <v>14.280488274481112</v>
      </c>
      <c r="I158" s="49">
        <f>VLOOKUP($A158,'Data shares'!$C:$FB,66)</f>
        <v>35901825</v>
      </c>
      <c r="J158" s="49">
        <f>VLOOKUP($A158,'Data shares'!$C:$FB,67)</f>
        <v>8512275</v>
      </c>
      <c r="K158" s="50">
        <f t="shared" si="8"/>
        <v>76.290132883216941</v>
      </c>
      <c r="L158" s="50">
        <f>VLOOKUP($A158,'Data shares'!$C:$FB,118)</f>
        <v>0.95</v>
      </c>
      <c r="M158" s="50">
        <f>VLOOKUP($A158,'Data shares'!$C:$FB,119)</f>
        <v>0.85</v>
      </c>
      <c r="N158" s="50">
        <f>VLOOKUP($A158,'Data shares'!$C:$FB,121)*100</f>
        <v>11.76</v>
      </c>
      <c r="O158" s="50">
        <f>VLOOKUP($A158,'Data shares'!$C:$FB,124)</f>
        <v>0.37</v>
      </c>
      <c r="P158" s="50">
        <f>VLOOKUP($A158,'Data shares'!$C:$FB,125)</f>
        <v>0.69</v>
      </c>
      <c r="Q158" s="50">
        <f>VLOOKUP($A158,'Data shares'!$C:$FB,127)*100</f>
        <v>-46.379999999999995</v>
      </c>
    </row>
    <row r="159" spans="1:17" x14ac:dyDescent="0.25">
      <c r="A159" s="97" t="str">
        <f>'Data Vlaue (Cr)'!C154</f>
        <v>OIL</v>
      </c>
      <c r="B159" s="140">
        <f>VLOOKUP($A159,'Data shares'!$C:$FB,7)</f>
        <v>473.9</v>
      </c>
      <c r="C159" s="140">
        <f>VLOOKUP($A159,'Data shares'!$C:$FB,3)</f>
        <v>474.3</v>
      </c>
      <c r="D159" s="140">
        <f>VLOOKUP($A159,'Data shares'!$C:$FB,4)</f>
        <v>471</v>
      </c>
      <c r="E159" s="50">
        <f t="shared" si="6"/>
        <v>0.70063694267516163</v>
      </c>
      <c r="F159" s="49">
        <f>VLOOKUP($A159,'Data shares'!$C:$FB,98)</f>
        <v>34988800</v>
      </c>
      <c r="G159" s="49">
        <f>VLOOKUP($A159,'Data shares'!$C:$FB,99)</f>
        <v>35350000</v>
      </c>
      <c r="H159" s="50">
        <f t="shared" si="7"/>
        <v>-1.0217821782178218</v>
      </c>
      <c r="I159" s="49">
        <f>VLOOKUP($A159,'Data shares'!$C:$FB,66)</f>
        <v>43031800</v>
      </c>
      <c r="J159" s="49">
        <f>VLOOKUP($A159,'Data shares'!$C:$FB,67)</f>
        <v>17109400</v>
      </c>
      <c r="K159" s="50">
        <f t="shared" si="8"/>
        <v>60.240101506327882</v>
      </c>
      <c r="L159" s="50">
        <f>VLOOKUP($A159,'Data shares'!$C:$FB,118)</f>
        <v>0.47</v>
      </c>
      <c r="M159" s="50">
        <f>VLOOKUP($A159,'Data shares'!$C:$FB,119)</f>
        <v>0.44</v>
      </c>
      <c r="N159" s="50">
        <f>VLOOKUP($A159,'Data shares'!$C:$FB,121)*100</f>
        <v>6.8199999999999994</v>
      </c>
      <c r="O159" s="50">
        <f>VLOOKUP($A159,'Data shares'!$C:$FB,124)</f>
        <v>0.21</v>
      </c>
      <c r="P159" s="50">
        <f>VLOOKUP($A159,'Data shares'!$C:$FB,125)</f>
        <v>0.27</v>
      </c>
      <c r="Q159" s="50">
        <f>VLOOKUP($A159,'Data shares'!$C:$FB,127)*100</f>
        <v>-22.220000000000002</v>
      </c>
    </row>
    <row r="160" spans="1:17" x14ac:dyDescent="0.25">
      <c r="A160" s="97" t="str">
        <f>'Data Vlaue (Cr)'!C155</f>
        <v>ONGC</v>
      </c>
      <c r="B160" s="140">
        <f>VLOOKUP($A160,'Data shares'!$C:$FB,7)</f>
        <v>286.25</v>
      </c>
      <c r="C160" s="140">
        <f>VLOOKUP($A160,'Data shares'!$C:$FB,3)</f>
        <v>286.64999999999998</v>
      </c>
      <c r="D160" s="140">
        <f>VLOOKUP($A160,'Data shares'!$C:$FB,4)</f>
        <v>284.5</v>
      </c>
      <c r="E160" s="50">
        <f t="shared" si="6"/>
        <v>0.75571177504392872</v>
      </c>
      <c r="F160" s="49">
        <f>VLOOKUP($A160,'Data shares'!$C:$FB,98)</f>
        <v>237161250</v>
      </c>
      <c r="G160" s="49">
        <f>VLOOKUP($A160,'Data shares'!$C:$FB,99)</f>
        <v>233867250</v>
      </c>
      <c r="H160" s="50">
        <f t="shared" si="7"/>
        <v>1.4084913556729299</v>
      </c>
      <c r="I160" s="49">
        <f>VLOOKUP($A160,'Data shares'!$C:$FB,66)</f>
        <v>241596000</v>
      </c>
      <c r="J160" s="49">
        <f>VLOOKUP($A160,'Data shares'!$C:$FB,67)</f>
        <v>89622000</v>
      </c>
      <c r="K160" s="50">
        <f t="shared" si="8"/>
        <v>62.90418715541648</v>
      </c>
      <c r="L160" s="50">
        <f>VLOOKUP($A160,'Data shares'!$C:$FB,118)</f>
        <v>0.39</v>
      </c>
      <c r="M160" s="50">
        <f>VLOOKUP($A160,'Data shares'!$C:$FB,119)</f>
        <v>0.4</v>
      </c>
      <c r="N160" s="50">
        <f>VLOOKUP($A160,'Data shares'!$C:$FB,121)*100</f>
        <v>-2.5</v>
      </c>
      <c r="O160" s="50">
        <f>VLOOKUP($A160,'Data shares'!$C:$FB,124)</f>
        <v>0.33</v>
      </c>
      <c r="P160" s="50">
        <f>VLOOKUP($A160,'Data shares'!$C:$FB,125)</f>
        <v>0.4</v>
      </c>
      <c r="Q160" s="50">
        <f>VLOOKUP($A160,'Data shares'!$C:$FB,127)*100</f>
        <v>-17.5</v>
      </c>
    </row>
    <row r="161" spans="1:17" x14ac:dyDescent="0.25">
      <c r="A161" s="97" t="str">
        <f>'Data Vlaue (Cr)'!C156</f>
        <v>PAGEIND</v>
      </c>
      <c r="B161" s="140">
        <f>VLOOKUP($A161,'Data shares'!$C:$FB,7)</f>
        <v>37965</v>
      </c>
      <c r="C161" s="140">
        <f>VLOOKUP($A161,'Data shares'!$C:$FB,3)</f>
        <v>37995</v>
      </c>
      <c r="D161" s="140">
        <f>VLOOKUP($A161,'Data shares'!$C:$FB,4)</f>
        <v>37985</v>
      </c>
      <c r="E161" s="50">
        <f t="shared" si="6"/>
        <v>2.6326181387389756E-2</v>
      </c>
      <c r="F161" s="49">
        <f>VLOOKUP($A161,'Data shares'!$C:$FB,98)</f>
        <v>490230</v>
      </c>
      <c r="G161" s="49">
        <f>VLOOKUP($A161,'Data shares'!$C:$FB,99)</f>
        <v>498720</v>
      </c>
      <c r="H161" s="50">
        <f t="shared" si="7"/>
        <v>-1.7023580365736284</v>
      </c>
      <c r="I161" s="49">
        <f>VLOOKUP($A161,'Data shares'!$C:$FB,66)</f>
        <v>420795</v>
      </c>
      <c r="J161" s="49">
        <f>VLOOKUP($A161,'Data shares'!$C:$FB,67)</f>
        <v>126315</v>
      </c>
      <c r="K161" s="50">
        <f t="shared" si="8"/>
        <v>69.981820126189703</v>
      </c>
      <c r="L161" s="50">
        <f>VLOOKUP($A161,'Data shares'!$C:$FB,118)</f>
        <v>0.94</v>
      </c>
      <c r="M161" s="50">
        <f>VLOOKUP($A161,'Data shares'!$C:$FB,119)</f>
        <v>1.08</v>
      </c>
      <c r="N161" s="50">
        <f>VLOOKUP($A161,'Data shares'!$C:$FB,121)*100</f>
        <v>-12.959999999999999</v>
      </c>
      <c r="O161" s="50">
        <f>VLOOKUP($A161,'Data shares'!$C:$FB,124)</f>
        <v>2.13</v>
      </c>
      <c r="P161" s="50">
        <f>VLOOKUP($A161,'Data shares'!$C:$FB,125)</f>
        <v>1.49</v>
      </c>
      <c r="Q161" s="50">
        <f>VLOOKUP($A161,'Data shares'!$C:$FB,127)*100</f>
        <v>42.95</v>
      </c>
    </row>
    <row r="162" spans="1:17" x14ac:dyDescent="0.25">
      <c r="A162" s="97" t="str">
        <f>'Data Vlaue (Cr)'!C157</f>
        <v>PATANJALI</v>
      </c>
      <c r="B162" s="140">
        <f>VLOOKUP($A162,'Data shares'!$C:$FB,7)</f>
        <v>469.25</v>
      </c>
      <c r="C162" s="140">
        <f>VLOOKUP($A162,'Data shares'!$C:$FB,3)</f>
        <v>468.1</v>
      </c>
      <c r="D162" s="140">
        <f>VLOOKUP($A162,'Data shares'!$C:$FB,4)</f>
        <v>470.9</v>
      </c>
      <c r="E162" s="50">
        <f t="shared" si="6"/>
        <v>-0.59460607347631234</v>
      </c>
      <c r="F162" s="49">
        <f>VLOOKUP($A162,'Data shares'!$C:$FB,98)</f>
        <v>45693900</v>
      </c>
      <c r="G162" s="49">
        <f>VLOOKUP($A162,'Data shares'!$C:$FB,99)</f>
        <v>46764000</v>
      </c>
      <c r="H162" s="50">
        <f t="shared" si="7"/>
        <v>-2.2882986913010011</v>
      </c>
      <c r="I162" s="49">
        <f>VLOOKUP($A162,'Data shares'!$C:$FB,66)</f>
        <v>23202900</v>
      </c>
      <c r="J162" s="49">
        <f>VLOOKUP($A162,'Data shares'!$C:$FB,67)</f>
        <v>19026900</v>
      </c>
      <c r="K162" s="50">
        <f t="shared" si="8"/>
        <v>17.997750281214849</v>
      </c>
      <c r="L162" s="50">
        <f>VLOOKUP($A162,'Data shares'!$C:$FB,118)</f>
        <v>0.68</v>
      </c>
      <c r="M162" s="50">
        <f>VLOOKUP($A162,'Data shares'!$C:$FB,119)</f>
        <v>0.56999999999999995</v>
      </c>
      <c r="N162" s="50">
        <f>VLOOKUP($A162,'Data shares'!$C:$FB,121)*100</f>
        <v>19.3</v>
      </c>
      <c r="O162" s="50">
        <f>VLOOKUP($A162,'Data shares'!$C:$FB,124)</f>
        <v>0.18</v>
      </c>
      <c r="P162" s="50">
        <f>VLOOKUP($A162,'Data shares'!$C:$FB,125)</f>
        <v>0.23</v>
      </c>
      <c r="Q162" s="50">
        <f>VLOOKUP($A162,'Data shares'!$C:$FB,127)*100</f>
        <v>-21.740000000000002</v>
      </c>
    </row>
    <row r="163" spans="1:17" x14ac:dyDescent="0.25">
      <c r="A163" s="97" t="str">
        <f>'Data Vlaue (Cr)'!C158</f>
        <v>PAYTM</v>
      </c>
      <c r="B163" s="140">
        <f>VLOOKUP($A163,'Data shares'!$C:$FB,7)</f>
        <v>1159.55</v>
      </c>
      <c r="C163" s="140">
        <f>VLOOKUP($A163,'Data shares'!$C:$FB,3)</f>
        <v>1157.05</v>
      </c>
      <c r="D163" s="140">
        <f>VLOOKUP($A163,'Data shares'!$C:$FB,4)</f>
        <v>1163.7</v>
      </c>
      <c r="E163" s="50">
        <f t="shared" si="6"/>
        <v>-0.57145312365730783</v>
      </c>
      <c r="F163" s="49">
        <f>VLOOKUP($A163,'Data shares'!$C:$FB,98)</f>
        <v>26640850</v>
      </c>
      <c r="G163" s="49">
        <f>VLOOKUP($A163,'Data shares'!$C:$FB,99)</f>
        <v>27503600</v>
      </c>
      <c r="H163" s="50">
        <f t="shared" si="7"/>
        <v>-3.1368620835090679</v>
      </c>
      <c r="I163" s="49">
        <f>VLOOKUP($A163,'Data shares'!$C:$FB,66)</f>
        <v>17178875</v>
      </c>
      <c r="J163" s="49">
        <f>VLOOKUP($A163,'Data shares'!$C:$FB,67)</f>
        <v>14314400</v>
      </c>
      <c r="K163" s="50">
        <f t="shared" si="8"/>
        <v>16.674403882675669</v>
      </c>
      <c r="L163" s="50">
        <f>VLOOKUP($A163,'Data shares'!$C:$FB,118)</f>
        <v>0.78</v>
      </c>
      <c r="M163" s="50">
        <f>VLOOKUP($A163,'Data shares'!$C:$FB,119)</f>
        <v>0.81</v>
      </c>
      <c r="N163" s="50">
        <f>VLOOKUP($A163,'Data shares'!$C:$FB,121)*100</f>
        <v>-3.6999999999999997</v>
      </c>
      <c r="O163" s="50">
        <f>VLOOKUP($A163,'Data shares'!$C:$FB,124)</f>
        <v>0.62</v>
      </c>
      <c r="P163" s="50">
        <f>VLOOKUP($A163,'Data shares'!$C:$FB,125)</f>
        <v>1.18</v>
      </c>
      <c r="Q163" s="50">
        <f>VLOOKUP($A163,'Data shares'!$C:$FB,127)*100</f>
        <v>-47.46</v>
      </c>
    </row>
    <row r="164" spans="1:17" x14ac:dyDescent="0.25">
      <c r="A164" s="97" t="str">
        <f>'Data Vlaue (Cr)'!C159</f>
        <v>PERSISTENT</v>
      </c>
      <c r="B164" s="140">
        <f>VLOOKUP($A164,'Data shares'!$C:$FB,7)</f>
        <v>5065.2</v>
      </c>
      <c r="C164" s="140">
        <f>VLOOKUP($A164,'Data shares'!$C:$FB,3)</f>
        <v>5068.8</v>
      </c>
      <c r="D164" s="140">
        <f>VLOOKUP($A164,'Data shares'!$C:$FB,4)</f>
        <v>5091.8</v>
      </c>
      <c r="E164" s="50">
        <f t="shared" si="6"/>
        <v>-0.4517066656192309</v>
      </c>
      <c r="F164" s="49">
        <f>VLOOKUP($A164,'Data shares'!$C:$FB,98)</f>
        <v>9633700</v>
      </c>
      <c r="G164" s="49">
        <f>VLOOKUP($A164,'Data shares'!$C:$FB,99)</f>
        <v>10635700</v>
      </c>
      <c r="H164" s="50">
        <f t="shared" si="7"/>
        <v>-9.4211006327745235</v>
      </c>
      <c r="I164" s="49">
        <f>VLOOKUP($A164,'Data shares'!$C:$FB,66)</f>
        <v>12611500</v>
      </c>
      <c r="J164" s="49">
        <f>VLOOKUP($A164,'Data shares'!$C:$FB,67)</f>
        <v>22157500</v>
      </c>
      <c r="K164" s="50">
        <f t="shared" si="8"/>
        <v>-75.692820045196839</v>
      </c>
      <c r="L164" s="50">
        <f>VLOOKUP($A164,'Data shares'!$C:$FB,118)</f>
        <v>0.53</v>
      </c>
      <c r="M164" s="50">
        <f>VLOOKUP($A164,'Data shares'!$C:$FB,119)</f>
        <v>0.51</v>
      </c>
      <c r="N164" s="50">
        <f>VLOOKUP($A164,'Data shares'!$C:$FB,121)*100</f>
        <v>3.92</v>
      </c>
      <c r="O164" s="50">
        <f>VLOOKUP($A164,'Data shares'!$C:$FB,124)</f>
        <v>0.47</v>
      </c>
      <c r="P164" s="50">
        <f>VLOOKUP($A164,'Data shares'!$C:$FB,125)</f>
        <v>0.73</v>
      </c>
      <c r="Q164" s="50">
        <f>VLOOKUP($A164,'Data shares'!$C:$FB,127)*100</f>
        <v>-35.620000000000005</v>
      </c>
    </row>
    <row r="165" spans="1:17" x14ac:dyDescent="0.25">
      <c r="A165" s="97" t="str">
        <f>'Data Vlaue (Cr)'!C160</f>
        <v>PETRONET</v>
      </c>
      <c r="B165" s="140">
        <f>VLOOKUP($A165,'Data shares'!$C:$FB,7)</f>
        <v>275.81</v>
      </c>
      <c r="C165" s="140">
        <f>VLOOKUP($A165,'Data shares'!$C:$FB,3)</f>
        <v>275.60000000000002</v>
      </c>
      <c r="D165" s="140">
        <f>VLOOKUP($A165,'Data shares'!$C:$FB,4)</f>
        <v>279.64</v>
      </c>
      <c r="E165" s="50">
        <f t="shared" si="6"/>
        <v>-1.4447146330996867</v>
      </c>
      <c r="F165" s="49">
        <f>VLOOKUP($A165,'Data shares'!$C:$FB,98)</f>
        <v>61535300</v>
      </c>
      <c r="G165" s="49">
        <f>VLOOKUP($A165,'Data shares'!$C:$FB,99)</f>
        <v>63900800</v>
      </c>
      <c r="H165" s="50">
        <f t="shared" si="7"/>
        <v>-3.7018315889628921</v>
      </c>
      <c r="I165" s="49">
        <f>VLOOKUP($A165,'Data shares'!$C:$FB,66)</f>
        <v>46874900</v>
      </c>
      <c r="J165" s="49">
        <f>VLOOKUP($A165,'Data shares'!$C:$FB,67)</f>
        <v>21042500</v>
      </c>
      <c r="K165" s="50">
        <f t="shared" si="8"/>
        <v>55.109237566373473</v>
      </c>
      <c r="L165" s="50">
        <f>VLOOKUP($A165,'Data shares'!$C:$FB,118)</f>
        <v>0.7</v>
      </c>
      <c r="M165" s="50">
        <f>VLOOKUP($A165,'Data shares'!$C:$FB,119)</f>
        <v>0.64</v>
      </c>
      <c r="N165" s="50">
        <f>VLOOKUP($A165,'Data shares'!$C:$FB,121)*100</f>
        <v>9.370000000000001</v>
      </c>
      <c r="O165" s="50">
        <f>VLOOKUP($A165,'Data shares'!$C:$FB,124)</f>
        <v>0.52</v>
      </c>
      <c r="P165" s="50">
        <f>VLOOKUP($A165,'Data shares'!$C:$FB,125)</f>
        <v>0.37</v>
      </c>
      <c r="Q165" s="50">
        <f>VLOOKUP($A165,'Data shares'!$C:$FB,127)*100</f>
        <v>40.54</v>
      </c>
    </row>
    <row r="166" spans="1:17" x14ac:dyDescent="0.25">
      <c r="A166" s="97" t="str">
        <f>'Data Vlaue (Cr)'!C161</f>
        <v>PFC</v>
      </c>
      <c r="B166" s="140">
        <f>VLOOKUP($A166,'Data shares'!$C:$FB,7)</f>
        <v>469.8</v>
      </c>
      <c r="C166" s="140">
        <f>VLOOKUP($A166,'Data shares'!$C:$FB,3)</f>
        <v>469</v>
      </c>
      <c r="D166" s="140">
        <f>VLOOKUP($A166,'Data shares'!$C:$FB,4)</f>
        <v>470.85</v>
      </c>
      <c r="E166" s="50">
        <f t="shared" si="6"/>
        <v>-0.39290644578953438</v>
      </c>
      <c r="F166" s="49">
        <f>VLOOKUP($A166,'Data shares'!$C:$FB,98)</f>
        <v>106068300</v>
      </c>
      <c r="G166" s="49">
        <f>VLOOKUP($A166,'Data shares'!$C:$FB,99)</f>
        <v>107681600</v>
      </c>
      <c r="H166" s="50">
        <f t="shared" si="7"/>
        <v>-1.4982132509175197</v>
      </c>
      <c r="I166" s="49">
        <f>VLOOKUP($A166,'Data shares'!$C:$FB,66)</f>
        <v>67886000</v>
      </c>
      <c r="J166" s="49">
        <f>VLOOKUP($A166,'Data shares'!$C:$FB,67)</f>
        <v>55874000</v>
      </c>
      <c r="K166" s="50">
        <f t="shared" si="8"/>
        <v>17.694369973190348</v>
      </c>
      <c r="L166" s="50">
        <f>VLOOKUP($A166,'Data shares'!$C:$FB,118)</f>
        <v>0.77</v>
      </c>
      <c r="M166" s="50">
        <f>VLOOKUP($A166,'Data shares'!$C:$FB,119)</f>
        <v>0.77</v>
      </c>
      <c r="N166" s="50">
        <f>VLOOKUP($A166,'Data shares'!$C:$FB,121)*100</f>
        <v>0</v>
      </c>
      <c r="O166" s="50">
        <f>VLOOKUP($A166,'Data shares'!$C:$FB,124)</f>
        <v>0.46</v>
      </c>
      <c r="P166" s="50">
        <f>VLOOKUP($A166,'Data shares'!$C:$FB,125)</f>
        <v>0.53</v>
      </c>
      <c r="Q166" s="50">
        <f>VLOOKUP($A166,'Data shares'!$C:$FB,127)*100</f>
        <v>-13.209999999999999</v>
      </c>
    </row>
    <row r="167" spans="1:17" x14ac:dyDescent="0.25">
      <c r="A167" s="97" t="str">
        <f>'Data Vlaue (Cr)'!C162</f>
        <v>PGEL</v>
      </c>
      <c r="B167" s="140">
        <f>VLOOKUP($A167,'Data shares'!$C:$FB,7)</f>
        <v>550.5</v>
      </c>
      <c r="C167" s="140">
        <f>VLOOKUP($A167,'Data shares'!$C:$FB,3)</f>
        <v>552.15</v>
      </c>
      <c r="D167" s="140">
        <f>VLOOKUP($A167,'Data shares'!$C:$FB,4)</f>
        <v>570.75</v>
      </c>
      <c r="E167" s="50">
        <f t="shared" si="6"/>
        <v>-3.2588699080157726</v>
      </c>
      <c r="F167" s="49">
        <f>VLOOKUP($A167,'Data shares'!$C:$FB,98)</f>
        <v>32393100</v>
      </c>
      <c r="G167" s="49">
        <f>VLOOKUP($A167,'Data shares'!$C:$FB,99)</f>
        <v>34000500</v>
      </c>
      <c r="H167" s="50">
        <f t="shared" si="7"/>
        <v>-4.7275775356244765</v>
      </c>
      <c r="I167" s="49">
        <f>VLOOKUP($A167,'Data shares'!$C:$FB,66)</f>
        <v>37278000</v>
      </c>
      <c r="J167" s="49">
        <f>VLOOKUP($A167,'Data shares'!$C:$FB,67)</f>
        <v>28043050</v>
      </c>
      <c r="K167" s="50">
        <f t="shared" si="8"/>
        <v>24.773190621814475</v>
      </c>
      <c r="L167" s="50">
        <f>VLOOKUP($A167,'Data shares'!$C:$FB,118)</f>
        <v>0.98</v>
      </c>
      <c r="M167" s="50">
        <f>VLOOKUP($A167,'Data shares'!$C:$FB,119)</f>
        <v>1.05</v>
      </c>
      <c r="N167" s="50">
        <f>VLOOKUP($A167,'Data shares'!$C:$FB,121)*100</f>
        <v>-6.67</v>
      </c>
      <c r="O167" s="50">
        <f>VLOOKUP($A167,'Data shares'!$C:$FB,124)</f>
        <v>1</v>
      </c>
      <c r="P167" s="50">
        <f>VLOOKUP($A167,'Data shares'!$C:$FB,125)</f>
        <v>0.7</v>
      </c>
      <c r="Q167" s="50">
        <f>VLOOKUP($A167,'Data shares'!$C:$FB,127)*100</f>
        <v>42.86</v>
      </c>
    </row>
    <row r="168" spans="1:17" x14ac:dyDescent="0.25">
      <c r="A168" s="97" t="str">
        <f>'Data Vlaue (Cr)'!C163</f>
        <v>PHOENIXLTD</v>
      </c>
      <c r="B168" s="140">
        <f>VLOOKUP($A168,'Data shares'!$C:$FB,7)</f>
        <v>1785.3</v>
      </c>
      <c r="C168" s="140">
        <f>VLOOKUP($A168,'Data shares'!$C:$FB,3)</f>
        <v>1786.2</v>
      </c>
      <c r="D168" s="140">
        <f>VLOOKUP($A168,'Data shares'!$C:$FB,4)</f>
        <v>1810.4</v>
      </c>
      <c r="E168" s="50">
        <f t="shared" si="6"/>
        <v>-1.3367211665930205</v>
      </c>
      <c r="F168" s="49">
        <f>VLOOKUP($A168,'Data shares'!$C:$FB,98)</f>
        <v>6435450</v>
      </c>
      <c r="G168" s="49">
        <f>VLOOKUP($A168,'Data shares'!$C:$FB,99)</f>
        <v>6219500</v>
      </c>
      <c r="H168" s="50">
        <f t="shared" si="7"/>
        <v>3.4721440630275748</v>
      </c>
      <c r="I168" s="49">
        <f>VLOOKUP($A168,'Data shares'!$C:$FB,66)</f>
        <v>5319650</v>
      </c>
      <c r="J168" s="49">
        <f>VLOOKUP($A168,'Data shares'!$C:$FB,67)</f>
        <v>1519000</v>
      </c>
      <c r="K168" s="50">
        <f t="shared" si="8"/>
        <v>71.445489834857554</v>
      </c>
      <c r="L168" s="50">
        <f>VLOOKUP($A168,'Data shares'!$C:$FB,118)</f>
        <v>0.79</v>
      </c>
      <c r="M168" s="50">
        <f>VLOOKUP($A168,'Data shares'!$C:$FB,119)</f>
        <v>0.79</v>
      </c>
      <c r="N168" s="50">
        <f>VLOOKUP($A168,'Data shares'!$C:$FB,121)*100</f>
        <v>0</v>
      </c>
      <c r="O168" s="50">
        <f>VLOOKUP($A168,'Data shares'!$C:$FB,124)</f>
        <v>2.27</v>
      </c>
      <c r="P168" s="50">
        <f>VLOOKUP($A168,'Data shares'!$C:$FB,125)</f>
        <v>0.36</v>
      </c>
      <c r="Q168" s="50">
        <f>VLOOKUP($A168,'Data shares'!$C:$FB,127)*100</f>
        <v>530.56000000000006</v>
      </c>
    </row>
    <row r="169" spans="1:17" x14ac:dyDescent="0.25">
      <c r="A169" s="97" t="str">
        <f>'Data Vlaue (Cr)'!C164</f>
        <v>PIDILITIND</v>
      </c>
      <c r="B169" s="140">
        <f>VLOOKUP($A169,'Data shares'!$C:$FB,7)</f>
        <v>1402.1</v>
      </c>
      <c r="C169" s="140">
        <f>VLOOKUP($A169,'Data shares'!$C:$FB,3)</f>
        <v>1400.9</v>
      </c>
      <c r="D169" s="140">
        <f>VLOOKUP($A169,'Data shares'!$C:$FB,4)</f>
        <v>1420.8</v>
      </c>
      <c r="E169" s="50">
        <f t="shared" si="6"/>
        <v>-1.4006193693693598</v>
      </c>
      <c r="F169" s="49">
        <f>VLOOKUP($A169,'Data shares'!$C:$FB,98)</f>
        <v>11166000</v>
      </c>
      <c r="G169" s="49">
        <f>VLOOKUP($A169,'Data shares'!$C:$FB,99)</f>
        <v>11393500</v>
      </c>
      <c r="H169" s="50">
        <f t="shared" si="7"/>
        <v>-1.996752534339755</v>
      </c>
      <c r="I169" s="49">
        <f>VLOOKUP($A169,'Data shares'!$C:$FB,66)</f>
        <v>8380500</v>
      </c>
      <c r="J169" s="49">
        <f>VLOOKUP($A169,'Data shares'!$C:$FB,67)</f>
        <v>4062500</v>
      </c>
      <c r="K169" s="50">
        <f t="shared" si="8"/>
        <v>51.524372054173384</v>
      </c>
      <c r="L169" s="50">
        <f>VLOOKUP($A169,'Data shares'!$C:$FB,118)</f>
        <v>0.79</v>
      </c>
      <c r="M169" s="50">
        <f>VLOOKUP($A169,'Data shares'!$C:$FB,119)</f>
        <v>0.77</v>
      </c>
      <c r="N169" s="50">
        <f>VLOOKUP($A169,'Data shares'!$C:$FB,121)*100</f>
        <v>2.6</v>
      </c>
      <c r="O169" s="50">
        <f>VLOOKUP($A169,'Data shares'!$C:$FB,124)</f>
        <v>0.68</v>
      </c>
      <c r="P169" s="50">
        <f>VLOOKUP($A169,'Data shares'!$C:$FB,125)</f>
        <v>0.59</v>
      </c>
      <c r="Q169" s="50">
        <f>VLOOKUP($A169,'Data shares'!$C:$FB,127)*100</f>
        <v>15.25</v>
      </c>
    </row>
    <row r="170" spans="1:17" x14ac:dyDescent="0.25">
      <c r="A170" s="97" t="str">
        <f>'Data Vlaue (Cr)'!C165</f>
        <v>PIIND</v>
      </c>
      <c r="B170" s="140">
        <f>VLOOKUP($A170,'Data shares'!$C:$FB,7)</f>
        <v>3069.6</v>
      </c>
      <c r="C170" s="140">
        <f>VLOOKUP($A170,'Data shares'!$C:$FB,3)</f>
        <v>3077.9</v>
      </c>
      <c r="D170" s="140">
        <f>VLOOKUP($A170,'Data shares'!$C:$FB,4)</f>
        <v>3068.1</v>
      </c>
      <c r="E170" s="50">
        <f t="shared" si="6"/>
        <v>0.31941592516541778</v>
      </c>
      <c r="F170" s="49">
        <f>VLOOKUP($A170,'Data shares'!$C:$FB,98)</f>
        <v>4196150</v>
      </c>
      <c r="G170" s="49">
        <f>VLOOKUP($A170,'Data shares'!$C:$FB,99)</f>
        <v>4213125</v>
      </c>
      <c r="H170" s="50">
        <f t="shared" si="7"/>
        <v>-0.40290758047767394</v>
      </c>
      <c r="I170" s="49">
        <f>VLOOKUP($A170,'Data shares'!$C:$FB,66)</f>
        <v>3928750</v>
      </c>
      <c r="J170" s="49">
        <f>VLOOKUP($A170,'Data shares'!$C:$FB,67)</f>
        <v>1477525</v>
      </c>
      <c r="K170" s="50">
        <f t="shared" si="8"/>
        <v>62.391982182628055</v>
      </c>
      <c r="L170" s="50">
        <f>VLOOKUP($A170,'Data shares'!$C:$FB,118)</f>
        <v>0.75</v>
      </c>
      <c r="M170" s="50">
        <f>VLOOKUP($A170,'Data shares'!$C:$FB,119)</f>
        <v>0.82</v>
      </c>
      <c r="N170" s="50">
        <f>VLOOKUP($A170,'Data shares'!$C:$FB,121)*100</f>
        <v>-8.5400000000000009</v>
      </c>
      <c r="O170" s="50">
        <f>VLOOKUP($A170,'Data shares'!$C:$FB,124)</f>
        <v>0.47</v>
      </c>
      <c r="P170" s="50">
        <f>VLOOKUP($A170,'Data shares'!$C:$FB,125)</f>
        <v>0.48</v>
      </c>
      <c r="Q170" s="50">
        <f>VLOOKUP($A170,'Data shares'!$C:$FB,127)*100</f>
        <v>-2.08</v>
      </c>
    </row>
    <row r="171" spans="1:17" x14ac:dyDescent="0.25">
      <c r="A171" s="97" t="str">
        <f>'Data Vlaue (Cr)'!C166</f>
        <v>PNB</v>
      </c>
      <c r="B171" s="140">
        <f>VLOOKUP($A171,'Data shares'!$C:$FB,7)</f>
        <v>112.71</v>
      </c>
      <c r="C171" s="140">
        <f>VLOOKUP($A171,'Data shares'!$C:$FB,3)</f>
        <v>112.76</v>
      </c>
      <c r="D171" s="140">
        <f>VLOOKUP($A171,'Data shares'!$C:$FB,4)</f>
        <v>114.68</v>
      </c>
      <c r="E171" s="50">
        <f t="shared" si="6"/>
        <v>-1.6742239274502979</v>
      </c>
      <c r="F171" s="49">
        <f>VLOOKUP($A171,'Data shares'!$C:$FB,98)</f>
        <v>440152000</v>
      </c>
      <c r="G171" s="49">
        <f>VLOOKUP($A171,'Data shares'!$C:$FB,99)</f>
        <v>435592000</v>
      </c>
      <c r="H171" s="50">
        <f t="shared" si="7"/>
        <v>1.0468511818398869</v>
      </c>
      <c r="I171" s="49">
        <f>VLOOKUP($A171,'Data shares'!$C:$FB,66)</f>
        <v>346048000</v>
      </c>
      <c r="J171" s="49">
        <f>VLOOKUP($A171,'Data shares'!$C:$FB,67)</f>
        <v>221096000</v>
      </c>
      <c r="K171" s="50">
        <f t="shared" si="8"/>
        <v>36.10828555576105</v>
      </c>
      <c r="L171" s="50">
        <f>VLOOKUP($A171,'Data shares'!$C:$FB,118)</f>
        <v>0.88</v>
      </c>
      <c r="M171" s="50">
        <f>VLOOKUP($A171,'Data shares'!$C:$FB,119)</f>
        <v>0.91</v>
      </c>
      <c r="N171" s="50">
        <f>VLOOKUP($A171,'Data shares'!$C:$FB,121)*100</f>
        <v>-3.3000000000000003</v>
      </c>
      <c r="O171" s="50">
        <f>VLOOKUP($A171,'Data shares'!$C:$FB,124)</f>
        <v>0.69</v>
      </c>
      <c r="P171" s="50">
        <f>VLOOKUP($A171,'Data shares'!$C:$FB,125)</f>
        <v>0.59</v>
      </c>
      <c r="Q171" s="50">
        <f>VLOOKUP($A171,'Data shares'!$C:$FB,127)*100</f>
        <v>16.950000000000003</v>
      </c>
    </row>
    <row r="172" spans="1:17" x14ac:dyDescent="0.25">
      <c r="A172" s="97" t="str">
        <f>'Data Vlaue (Cr)'!C167</f>
        <v>PNBHOUSING</v>
      </c>
      <c r="B172" s="140">
        <f>VLOOKUP($A172,'Data shares'!$C:$FB,7)</f>
        <v>1007.75</v>
      </c>
      <c r="C172" s="140">
        <f>VLOOKUP($A172,'Data shares'!$C:$FB,3)</f>
        <v>1008.9</v>
      </c>
      <c r="D172" s="140">
        <f>VLOOKUP($A172,'Data shares'!$C:$FB,4)</f>
        <v>992.45</v>
      </c>
      <c r="E172" s="50">
        <f t="shared" si="6"/>
        <v>1.6575142324550287</v>
      </c>
      <c r="F172" s="49">
        <f>VLOOKUP($A172,'Data shares'!$C:$FB,98)</f>
        <v>23714600</v>
      </c>
      <c r="G172" s="49">
        <f>VLOOKUP($A172,'Data shares'!$C:$FB,99)</f>
        <v>24000600</v>
      </c>
      <c r="H172" s="50">
        <f t="shared" si="7"/>
        <v>-1.1916368757447731</v>
      </c>
      <c r="I172" s="49">
        <f>VLOOKUP($A172,'Data shares'!$C:$FB,66)</f>
        <v>35156550</v>
      </c>
      <c r="J172" s="49">
        <f>VLOOKUP($A172,'Data shares'!$C:$FB,67)</f>
        <v>33062900</v>
      </c>
      <c r="K172" s="50">
        <f t="shared" si="8"/>
        <v>5.9552202932312754</v>
      </c>
      <c r="L172" s="50">
        <f>VLOOKUP($A172,'Data shares'!$C:$FB,118)</f>
        <v>1.05</v>
      </c>
      <c r="M172" s="50">
        <f>VLOOKUP($A172,'Data shares'!$C:$FB,119)</f>
        <v>0.87</v>
      </c>
      <c r="N172" s="50">
        <f>VLOOKUP($A172,'Data shares'!$C:$FB,121)*100</f>
        <v>20.69</v>
      </c>
      <c r="O172" s="50">
        <f>VLOOKUP($A172,'Data shares'!$C:$FB,124)</f>
        <v>0.55000000000000004</v>
      </c>
      <c r="P172" s="50">
        <f>VLOOKUP($A172,'Data shares'!$C:$FB,125)</f>
        <v>0.5</v>
      </c>
      <c r="Q172" s="50">
        <f>VLOOKUP($A172,'Data shares'!$C:$FB,127)*100</f>
        <v>10</v>
      </c>
    </row>
    <row r="173" spans="1:17" x14ac:dyDescent="0.25">
      <c r="A173" s="97" t="str">
        <f>'Data Vlaue (Cr)'!C168</f>
        <v>POLICYBZR</v>
      </c>
      <c r="B173" s="140">
        <f>VLOOKUP($A173,'Data shares'!$C:$FB,7)</f>
        <v>1670.8</v>
      </c>
      <c r="C173" s="140">
        <f>VLOOKUP($A173,'Data shares'!$C:$FB,3)</f>
        <v>1671.9</v>
      </c>
      <c r="D173" s="140">
        <f>VLOOKUP($A173,'Data shares'!$C:$FB,4)</f>
        <v>1623.9</v>
      </c>
      <c r="E173" s="50">
        <f t="shared" ref="E173:E182" si="9">(C173-D173)/D173*100</f>
        <v>2.9558470349159429</v>
      </c>
      <c r="F173" s="49">
        <f>VLOOKUP($A173,'Data shares'!$C:$FB,98)</f>
        <v>12481000</v>
      </c>
      <c r="G173" s="49">
        <f>VLOOKUP($A173,'Data shares'!$C:$FB,99)</f>
        <v>11657800</v>
      </c>
      <c r="H173" s="50">
        <f t="shared" ref="H173:H182" si="10">(F173-G173)/G173*100</f>
        <v>7.0613666386453708</v>
      </c>
      <c r="I173" s="49">
        <f>VLOOKUP($A173,'Data shares'!$C:$FB,66)</f>
        <v>17467800</v>
      </c>
      <c r="J173" s="49">
        <f>VLOOKUP($A173,'Data shares'!$C:$FB,67)</f>
        <v>8093050</v>
      </c>
      <c r="K173" s="50">
        <f t="shared" ref="K173:K182" si="11">(I173-J173)/I173*100</f>
        <v>53.668750500921689</v>
      </c>
      <c r="L173" s="50">
        <f>VLOOKUP($A173,'Data shares'!$C:$FB,118)</f>
        <v>0.9</v>
      </c>
      <c r="M173" s="50">
        <f>VLOOKUP($A173,'Data shares'!$C:$FB,119)</f>
        <v>0.71</v>
      </c>
      <c r="N173" s="50">
        <f>VLOOKUP($A173,'Data shares'!$C:$FB,121)*100</f>
        <v>26.76</v>
      </c>
      <c r="O173" s="50">
        <f>VLOOKUP($A173,'Data shares'!$C:$FB,124)</f>
        <v>0.47</v>
      </c>
      <c r="P173" s="50">
        <f>VLOOKUP($A173,'Data shares'!$C:$FB,125)</f>
        <v>0.54</v>
      </c>
      <c r="Q173" s="50">
        <f>VLOOKUP($A173,'Data shares'!$C:$FB,127)*100</f>
        <v>-12.959999999999999</v>
      </c>
    </row>
    <row r="174" spans="1:17" x14ac:dyDescent="0.25">
      <c r="A174" s="97" t="str">
        <f>'Data Vlaue (Cr)'!C169</f>
        <v>POLYCAB</v>
      </c>
      <c r="B174" s="140">
        <f>VLOOKUP($A174,'Data shares'!$C:$FB,7)</f>
        <v>7963.5</v>
      </c>
      <c r="C174" s="140">
        <f>VLOOKUP($A174,'Data shares'!$C:$FB,3)</f>
        <v>7995.5</v>
      </c>
      <c r="D174" s="140">
        <f>VLOOKUP($A174,'Data shares'!$C:$FB,4)</f>
        <v>8060</v>
      </c>
      <c r="E174" s="50">
        <f t="shared" si="9"/>
        <v>-0.80024813895781632</v>
      </c>
      <c r="F174" s="49">
        <f>VLOOKUP($A174,'Data shares'!$C:$FB,98)</f>
        <v>4468250</v>
      </c>
      <c r="G174" s="49">
        <f>VLOOKUP($A174,'Data shares'!$C:$FB,99)</f>
        <v>4526000</v>
      </c>
      <c r="H174" s="50">
        <f t="shared" si="10"/>
        <v>-1.2759611135660627</v>
      </c>
      <c r="I174" s="49">
        <f>VLOOKUP($A174,'Data shares'!$C:$FB,66)</f>
        <v>6142875</v>
      </c>
      <c r="J174" s="49">
        <f>VLOOKUP($A174,'Data shares'!$C:$FB,67)</f>
        <v>7040250</v>
      </c>
      <c r="K174" s="50">
        <f t="shared" si="11"/>
        <v>-14.608387766314632</v>
      </c>
      <c r="L174" s="50">
        <f>VLOOKUP($A174,'Data shares'!$C:$FB,118)</f>
        <v>0.75</v>
      </c>
      <c r="M174" s="50">
        <f>VLOOKUP($A174,'Data shares'!$C:$FB,119)</f>
        <v>0.84</v>
      </c>
      <c r="N174" s="50">
        <f>VLOOKUP($A174,'Data shares'!$C:$FB,121)*100</f>
        <v>-10.71</v>
      </c>
      <c r="O174" s="50">
        <f>VLOOKUP($A174,'Data shares'!$C:$FB,124)</f>
        <v>0.85</v>
      </c>
      <c r="P174" s="50">
        <f>VLOOKUP($A174,'Data shares'!$C:$FB,125)</f>
        <v>0.56000000000000005</v>
      </c>
      <c r="Q174" s="50">
        <f>VLOOKUP($A174,'Data shares'!$C:$FB,127)*100</f>
        <v>51.790000000000006</v>
      </c>
    </row>
    <row r="175" spans="1:17" x14ac:dyDescent="0.25">
      <c r="A175" s="97" t="str">
        <f>'Data Vlaue (Cr)'!C170</f>
        <v>POWERGRID</v>
      </c>
      <c r="B175" s="140">
        <f>VLOOKUP($A175,'Data shares'!$C:$FB,7)</f>
        <v>319.14999999999998</v>
      </c>
      <c r="C175" s="140">
        <f>VLOOKUP($A175,'Data shares'!$C:$FB,3)</f>
        <v>318.25</v>
      </c>
      <c r="D175" s="140">
        <f>VLOOKUP($A175,'Data shares'!$C:$FB,4)</f>
        <v>319.8</v>
      </c>
      <c r="E175" s="50">
        <f t="shared" si="9"/>
        <v>-0.48467792370231755</v>
      </c>
      <c r="F175" s="49">
        <f>VLOOKUP($A175,'Data shares'!$C:$FB,98)</f>
        <v>146987800</v>
      </c>
      <c r="G175" s="49">
        <f>VLOOKUP($A175,'Data shares'!$C:$FB,99)</f>
        <v>149279200</v>
      </c>
      <c r="H175" s="50">
        <f t="shared" si="10"/>
        <v>-1.534976071683128</v>
      </c>
      <c r="I175" s="49">
        <f>VLOOKUP($A175,'Data shares'!$C:$FB,66)</f>
        <v>115217900</v>
      </c>
      <c r="J175" s="49">
        <f>VLOOKUP($A175,'Data shares'!$C:$FB,67)</f>
        <v>82974900</v>
      </c>
      <c r="K175" s="50">
        <f t="shared" si="11"/>
        <v>27.984367012417344</v>
      </c>
      <c r="L175" s="50">
        <f>VLOOKUP($A175,'Data shares'!$C:$FB,118)</f>
        <v>0.63</v>
      </c>
      <c r="M175" s="50">
        <f>VLOOKUP($A175,'Data shares'!$C:$FB,119)</f>
        <v>0.63</v>
      </c>
      <c r="N175" s="50">
        <f>VLOOKUP($A175,'Data shares'!$C:$FB,121)*100</f>
        <v>0</v>
      </c>
      <c r="O175" s="50">
        <f>VLOOKUP($A175,'Data shares'!$C:$FB,124)</f>
        <v>0.41</v>
      </c>
      <c r="P175" s="50">
        <f>VLOOKUP($A175,'Data shares'!$C:$FB,125)</f>
        <v>0.4</v>
      </c>
      <c r="Q175" s="50">
        <f>VLOOKUP($A175,'Data shares'!$C:$FB,127)*100</f>
        <v>2.5</v>
      </c>
    </row>
    <row r="176" spans="1:17" x14ac:dyDescent="0.25">
      <c r="A176" s="97" t="str">
        <f>'Data Vlaue (Cr)'!C171</f>
        <v>POWERINDIA</v>
      </c>
      <c r="B176" s="140">
        <f>VLOOKUP($A176,'Data shares'!$C:$FB,7)</f>
        <v>31720</v>
      </c>
      <c r="C176" s="140">
        <f>VLOOKUP($A176,'Data shares'!$C:$FB,3)</f>
        <v>31715</v>
      </c>
      <c r="D176" s="140">
        <f>VLOOKUP($A176,'Data shares'!$C:$FB,4)</f>
        <v>30415</v>
      </c>
      <c r="E176" s="50">
        <f t="shared" si="9"/>
        <v>4.2742068058523754</v>
      </c>
      <c r="F176" s="49">
        <f>VLOOKUP($A176,'Data shares'!$C:$FB,98)</f>
        <v>1298750</v>
      </c>
      <c r="G176" s="49">
        <f>VLOOKUP($A176,'Data shares'!$C:$FB,99)</f>
        <v>1132200</v>
      </c>
      <c r="H176" s="50">
        <f t="shared" si="10"/>
        <v>14.710298533827945</v>
      </c>
      <c r="I176" s="49">
        <f>VLOOKUP($A176,'Data shares'!$C:$FB,66)</f>
        <v>4008800</v>
      </c>
      <c r="J176" s="49">
        <f>VLOOKUP($A176,'Data shares'!$C:$FB,67)</f>
        <v>1896500</v>
      </c>
      <c r="K176" s="50">
        <f t="shared" si="11"/>
        <v>52.691578527240068</v>
      </c>
      <c r="L176" s="50">
        <f>VLOOKUP($A176,'Data shares'!$C:$FB,118)</f>
        <v>1.41</v>
      </c>
      <c r="M176" s="50">
        <f>VLOOKUP($A176,'Data shares'!$C:$FB,119)</f>
        <v>1.33</v>
      </c>
      <c r="N176" s="50">
        <f>VLOOKUP($A176,'Data shares'!$C:$FB,121)*100</f>
        <v>6.02</v>
      </c>
      <c r="O176" s="50">
        <f>VLOOKUP($A176,'Data shares'!$C:$FB,124)</f>
        <v>0.76</v>
      </c>
      <c r="P176" s="50">
        <f>VLOOKUP($A176,'Data shares'!$C:$FB,125)</f>
        <v>1.53</v>
      </c>
      <c r="Q176" s="50">
        <f>VLOOKUP($A176,'Data shares'!$C:$FB,127)*100</f>
        <v>-50.33</v>
      </c>
    </row>
    <row r="177" spans="1:17" x14ac:dyDescent="0.25">
      <c r="A177" s="97" t="str">
        <f>'Data Vlaue (Cr)'!C172</f>
        <v>PPLPHARMA</v>
      </c>
      <c r="B177" s="140">
        <f>VLOOKUP($A177,'Data shares'!$C:$FB,7)</f>
        <v>163.87</v>
      </c>
      <c r="C177" s="140">
        <f>VLOOKUP($A177,'Data shares'!$C:$FB,3)</f>
        <v>163.41</v>
      </c>
      <c r="D177" s="140">
        <f>VLOOKUP($A177,'Data shares'!$C:$FB,4)</f>
        <v>152.43</v>
      </c>
      <c r="E177" s="50">
        <f t="shared" si="9"/>
        <v>7.2033064357409886</v>
      </c>
      <c r="F177" s="49">
        <f>VLOOKUP($A177,'Data shares'!$C:$FB,98)</f>
        <v>23966250</v>
      </c>
      <c r="G177" s="49">
        <f>VLOOKUP($A177,'Data shares'!$C:$FB,99)</f>
        <v>19406625</v>
      </c>
      <c r="H177" s="50">
        <f t="shared" si="10"/>
        <v>23.495198160422021</v>
      </c>
      <c r="I177" s="49">
        <f>VLOOKUP($A177,'Data shares'!$C:$FB,66)</f>
        <v>171961125</v>
      </c>
      <c r="J177" s="49">
        <f>VLOOKUP($A177,'Data shares'!$C:$FB,67)</f>
        <v>14017500</v>
      </c>
      <c r="K177" s="50">
        <f t="shared" si="11"/>
        <v>91.848448304813076</v>
      </c>
      <c r="L177" s="50">
        <f>VLOOKUP($A177,'Data shares'!$C:$FB,118)</f>
        <v>0.8</v>
      </c>
      <c r="M177" s="50">
        <f>VLOOKUP($A177,'Data shares'!$C:$FB,119)</f>
        <v>0.6</v>
      </c>
      <c r="N177" s="50">
        <f>VLOOKUP($A177,'Data shares'!$C:$FB,121)*100</f>
        <v>33.33</v>
      </c>
      <c r="O177" s="50">
        <f>VLOOKUP($A177,'Data shares'!$C:$FB,124)</f>
        <v>0.24</v>
      </c>
      <c r="P177" s="50">
        <f>VLOOKUP($A177,'Data shares'!$C:$FB,125)</f>
        <v>0.16</v>
      </c>
      <c r="Q177" s="50">
        <f>VLOOKUP($A177,'Data shares'!$C:$FB,127)*100</f>
        <v>50</v>
      </c>
    </row>
    <row r="178" spans="1:17" x14ac:dyDescent="0.25">
      <c r="A178" s="97" t="str">
        <f>'Data Vlaue (Cr)'!C173</f>
        <v>PREMIERENE</v>
      </c>
      <c r="B178" s="140">
        <f>VLOOKUP($A178,'Data shares'!$C:$FB,7)</f>
        <v>1000.7</v>
      </c>
      <c r="C178" s="140">
        <f>VLOOKUP($A178,'Data shares'!$C:$FB,3)</f>
        <v>1000.7</v>
      </c>
      <c r="D178" s="140">
        <f>VLOOKUP($A178,'Data shares'!$C:$FB,4)</f>
        <v>993.8</v>
      </c>
      <c r="E178" s="50">
        <f t="shared" si="9"/>
        <v>0.69430468907225706</v>
      </c>
      <c r="F178" s="49">
        <f>VLOOKUP($A178,'Data shares'!$C:$FB,98)</f>
        <v>16984925</v>
      </c>
      <c r="G178" s="49">
        <f>VLOOKUP($A178,'Data shares'!$C:$FB,99)</f>
        <v>18639775</v>
      </c>
      <c r="H178" s="50">
        <f t="shared" si="10"/>
        <v>-8.878057809174198</v>
      </c>
      <c r="I178" s="49">
        <f>VLOOKUP($A178,'Data shares'!$C:$FB,66)</f>
        <v>13395200</v>
      </c>
      <c r="J178" s="49">
        <f>VLOOKUP($A178,'Data shares'!$C:$FB,67)</f>
        <v>6490025</v>
      </c>
      <c r="K178" s="50">
        <f t="shared" si="11"/>
        <v>51.549622252747248</v>
      </c>
      <c r="L178" s="50">
        <f>VLOOKUP($A178,'Data shares'!$C:$FB,118)</f>
        <v>0.67</v>
      </c>
      <c r="M178" s="50">
        <f>VLOOKUP($A178,'Data shares'!$C:$FB,119)</f>
        <v>0.65</v>
      </c>
      <c r="N178" s="50">
        <f>VLOOKUP($A178,'Data shares'!$C:$FB,121)*100</f>
        <v>3.08</v>
      </c>
      <c r="O178" s="50">
        <f>VLOOKUP($A178,'Data shares'!$C:$FB,124)</f>
        <v>0.32</v>
      </c>
      <c r="P178" s="50">
        <f>VLOOKUP($A178,'Data shares'!$C:$FB,125)</f>
        <v>0.34</v>
      </c>
      <c r="Q178" s="50">
        <f>VLOOKUP($A178,'Data shares'!$C:$FB,127)*100</f>
        <v>-5.88</v>
      </c>
    </row>
    <row r="179" spans="1:17" x14ac:dyDescent="0.25">
      <c r="A179" s="97" t="str">
        <f>'Data Vlaue (Cr)'!C174</f>
        <v>PRESTIGE</v>
      </c>
      <c r="B179" s="140">
        <f>VLOOKUP($A179,'Data shares'!$C:$FB,7)</f>
        <v>1384.2</v>
      </c>
      <c r="C179" s="140">
        <f>VLOOKUP($A179,'Data shares'!$C:$FB,3)</f>
        <v>1386.6</v>
      </c>
      <c r="D179" s="140">
        <f>VLOOKUP($A179,'Data shares'!$C:$FB,4)</f>
        <v>1404.7</v>
      </c>
      <c r="E179" s="50">
        <f t="shared" si="9"/>
        <v>-1.2885313590090506</v>
      </c>
      <c r="F179" s="49">
        <f>VLOOKUP($A179,'Data shares'!$C:$FB,98)</f>
        <v>10047600</v>
      </c>
      <c r="G179" s="49">
        <f>VLOOKUP($A179,'Data shares'!$C:$FB,99)</f>
        <v>10267650</v>
      </c>
      <c r="H179" s="50">
        <f t="shared" si="10"/>
        <v>-2.1431388876714732</v>
      </c>
      <c r="I179" s="49">
        <f>VLOOKUP($A179,'Data shares'!$C:$FB,66)</f>
        <v>7355700</v>
      </c>
      <c r="J179" s="49">
        <f>VLOOKUP($A179,'Data shares'!$C:$FB,67)</f>
        <v>3262500</v>
      </c>
      <c r="K179" s="50">
        <f t="shared" si="11"/>
        <v>55.646641380154172</v>
      </c>
      <c r="L179" s="50">
        <f>VLOOKUP($A179,'Data shares'!$C:$FB,118)</f>
        <v>0.74</v>
      </c>
      <c r="M179" s="50">
        <f>VLOOKUP($A179,'Data shares'!$C:$FB,119)</f>
        <v>0.74</v>
      </c>
      <c r="N179" s="50">
        <f>VLOOKUP($A179,'Data shares'!$C:$FB,121)*100</f>
        <v>0</v>
      </c>
      <c r="O179" s="50">
        <f>VLOOKUP($A179,'Data shares'!$C:$FB,124)</f>
        <v>0.38</v>
      </c>
      <c r="P179" s="50">
        <f>VLOOKUP($A179,'Data shares'!$C:$FB,125)</f>
        <v>0.37</v>
      </c>
      <c r="Q179" s="50">
        <f>VLOOKUP($A179,'Data shares'!$C:$FB,127)*100</f>
        <v>2.7</v>
      </c>
    </row>
    <row r="180" spans="1:17" x14ac:dyDescent="0.25">
      <c r="A180" s="97" t="str">
        <f>'Data Vlaue (Cr)'!C175</f>
        <v>RBLBANK</v>
      </c>
      <c r="B180" s="140">
        <f>VLOOKUP($A180,'Data shares'!$C:$FB,7)</f>
        <v>312.45</v>
      </c>
      <c r="C180" s="140">
        <f>VLOOKUP($A180,'Data shares'!$C:$FB,3)</f>
        <v>313.39999999999998</v>
      </c>
      <c r="D180" s="140">
        <f>VLOOKUP($A180,'Data shares'!$C:$FB,4)</f>
        <v>317.55</v>
      </c>
      <c r="E180" s="50">
        <f t="shared" si="9"/>
        <v>-1.306880806172267</v>
      </c>
      <c r="F180" s="49">
        <f>VLOOKUP($A180,'Data shares'!$C:$FB,98)</f>
        <v>117925850</v>
      </c>
      <c r="G180" s="49">
        <f>VLOOKUP($A180,'Data shares'!$C:$FB,99)</f>
        <v>116462175</v>
      </c>
      <c r="H180" s="50">
        <f t="shared" si="10"/>
        <v>1.2567814399825523</v>
      </c>
      <c r="I180" s="49">
        <f>VLOOKUP($A180,'Data shares'!$C:$FB,66)</f>
        <v>63369825</v>
      </c>
      <c r="J180" s="49">
        <f>VLOOKUP($A180,'Data shares'!$C:$FB,67)</f>
        <v>71012050</v>
      </c>
      <c r="K180" s="50">
        <f t="shared" si="11"/>
        <v>-12.059722430983516</v>
      </c>
      <c r="L180" s="50">
        <f>VLOOKUP($A180,'Data shares'!$C:$FB,118)</f>
        <v>0.88</v>
      </c>
      <c r="M180" s="50">
        <f>VLOOKUP($A180,'Data shares'!$C:$FB,119)</f>
        <v>0.87</v>
      </c>
      <c r="N180" s="50">
        <f>VLOOKUP($A180,'Data shares'!$C:$FB,121)*100</f>
        <v>1.1499999999999999</v>
      </c>
      <c r="O180" s="50">
        <f>VLOOKUP($A180,'Data shares'!$C:$FB,124)</f>
        <v>0.68</v>
      </c>
      <c r="P180" s="50">
        <f>VLOOKUP($A180,'Data shares'!$C:$FB,125)</f>
        <v>0.62</v>
      </c>
      <c r="Q180" s="50">
        <f>VLOOKUP($A180,'Data shares'!$C:$FB,127)*100</f>
        <v>9.68</v>
      </c>
    </row>
    <row r="181" spans="1:17" x14ac:dyDescent="0.25">
      <c r="A181" s="97" t="str">
        <f>'Data Vlaue (Cr)'!C176</f>
        <v>RECLTD</v>
      </c>
      <c r="B181" s="140">
        <f>VLOOKUP($A181,'Data shares'!$C:$FB,7)</f>
        <v>376.45</v>
      </c>
      <c r="C181" s="140">
        <f>VLOOKUP($A181,'Data shares'!$C:$FB,3)</f>
        <v>377.05</v>
      </c>
      <c r="D181" s="140">
        <f>VLOOKUP($A181,'Data shares'!$C:$FB,4)</f>
        <v>383.95</v>
      </c>
      <c r="E181" s="50">
        <f t="shared" si="9"/>
        <v>-1.7971089985675159</v>
      </c>
      <c r="F181" s="49">
        <f>VLOOKUP($A181,'Data shares'!$C:$FB,98)</f>
        <v>120566600</v>
      </c>
      <c r="G181" s="49">
        <f>VLOOKUP($A181,'Data shares'!$C:$FB,99)</f>
        <v>120181600</v>
      </c>
      <c r="H181" s="50">
        <f t="shared" si="10"/>
        <v>0.3203485392106612</v>
      </c>
      <c r="I181" s="49">
        <f>VLOOKUP($A181,'Data shares'!$C:$FB,66)</f>
        <v>60319000</v>
      </c>
      <c r="J181" s="49">
        <f>VLOOKUP($A181,'Data shares'!$C:$FB,67)</f>
        <v>48276200</v>
      </c>
      <c r="K181" s="50">
        <f t="shared" si="11"/>
        <v>19.965185099222467</v>
      </c>
      <c r="L181" s="50">
        <f>VLOOKUP($A181,'Data shares'!$C:$FB,118)</f>
        <v>0.83</v>
      </c>
      <c r="M181" s="50">
        <f>VLOOKUP($A181,'Data shares'!$C:$FB,119)</f>
        <v>0.89</v>
      </c>
      <c r="N181" s="50">
        <f>VLOOKUP($A181,'Data shares'!$C:$FB,121)*100</f>
        <v>-6.74</v>
      </c>
      <c r="O181" s="50">
        <f>VLOOKUP($A181,'Data shares'!$C:$FB,124)</f>
        <v>0.56999999999999995</v>
      </c>
      <c r="P181" s="50">
        <f>VLOOKUP($A181,'Data shares'!$C:$FB,125)</f>
        <v>0.73</v>
      </c>
      <c r="Q181" s="50">
        <f>VLOOKUP($A181,'Data shares'!$C:$FB,127)*100</f>
        <v>-21.92</v>
      </c>
    </row>
    <row r="182" spans="1:17" x14ac:dyDescent="0.25">
      <c r="A182" s="97" t="str">
        <f>'Data Vlaue (Cr)'!C177</f>
        <v>RELIANCE</v>
      </c>
      <c r="B182" s="140">
        <f>VLOOKUP($A182,'Data shares'!$C:$FB,7)</f>
        <v>1343.4</v>
      </c>
      <c r="C182" s="140">
        <f>VLOOKUP($A182,'Data shares'!$C:$FB,3)</f>
        <v>1344.3</v>
      </c>
      <c r="D182" s="140">
        <f>VLOOKUP($A182,'Data shares'!$C:$FB,4)</f>
        <v>1362.1</v>
      </c>
      <c r="E182" s="50">
        <f t="shared" si="9"/>
        <v>-1.3068056677189601</v>
      </c>
      <c r="F182" s="49">
        <f>VLOOKUP($A182,'Data shares'!$C:$FB,98)</f>
        <v>226886500</v>
      </c>
      <c r="G182" s="49">
        <f>VLOOKUP($A182,'Data shares'!$C:$FB,99)</f>
        <v>218042000</v>
      </c>
      <c r="H182" s="50">
        <f t="shared" si="10"/>
        <v>4.0563285972427332</v>
      </c>
      <c r="I182" s="49">
        <f>VLOOKUP($A182,'Data shares'!$C:$FB,66)</f>
        <v>166058500</v>
      </c>
      <c r="J182" s="49">
        <f>VLOOKUP($A182,'Data shares'!$C:$FB,67)</f>
        <v>127566500</v>
      </c>
      <c r="K182" s="50">
        <f t="shared" si="11"/>
        <v>23.179783028270158</v>
      </c>
      <c r="L182" s="50">
        <f>VLOOKUP($A182,'Data shares'!$C:$FB,118)</f>
        <v>0.51</v>
      </c>
      <c r="M182" s="50">
        <f>VLOOKUP($A182,'Data shares'!$C:$FB,119)</f>
        <v>0.49</v>
      </c>
      <c r="N182" s="50">
        <f>VLOOKUP($A182,'Data shares'!$C:$FB,121)*100</f>
        <v>4.08</v>
      </c>
      <c r="O182" s="50">
        <f>VLOOKUP($A182,'Data shares'!$C:$FB,124)</f>
        <v>0.69</v>
      </c>
      <c r="P182" s="50">
        <f>VLOOKUP($A182,'Data shares'!$C:$FB,125)</f>
        <v>0.57999999999999996</v>
      </c>
      <c r="Q182" s="50">
        <f>VLOOKUP($A182,'Data shares'!$C:$FB,127)*100</f>
        <v>18.970000000000002</v>
      </c>
    </row>
    <row r="183" spans="1:17" x14ac:dyDescent="0.25">
      <c r="A183" s="97" t="str">
        <f>'Data Vlaue (Cr)'!C178</f>
        <v>RVNL</v>
      </c>
      <c r="B183" s="140">
        <f>VLOOKUP($A183,'Data shares'!$C:$FB,7)</f>
        <v>307.20999999999998</v>
      </c>
      <c r="C183" s="140">
        <f>VLOOKUP($A183,'Data shares'!$C:$FB,3)</f>
        <v>307.06</v>
      </c>
      <c r="D183" s="140">
        <f>VLOOKUP($A183,'Data shares'!$C:$FB,4)</f>
        <v>306.55</v>
      </c>
      <c r="E183" s="50">
        <f>(C183-D183)/D183*100</f>
        <v>0.16636763986298839</v>
      </c>
      <c r="F183" s="49">
        <f>VLOOKUP($A183,'Data shares'!$C:$FB,98)</f>
        <v>100488350</v>
      </c>
      <c r="G183" s="49">
        <f>VLOOKUP($A183,'Data shares'!$C:$FB,99)</f>
        <v>110496925</v>
      </c>
      <c r="H183" s="50">
        <f>(F183-G183)/G183*100</f>
        <v>-9.0577859972121395</v>
      </c>
      <c r="I183" s="49">
        <f>VLOOKUP($A183,'Data shares'!$C:$FB,66)</f>
        <v>107050425</v>
      </c>
      <c r="J183" s="49">
        <f>VLOOKUP($A183,'Data shares'!$C:$FB,67)</f>
        <v>77974775</v>
      </c>
      <c r="K183" s="50">
        <f>(I183-J183)/I183*100</f>
        <v>27.160704873427637</v>
      </c>
      <c r="L183" s="50">
        <f>VLOOKUP($A183,'Data shares'!$C:$FB,118)</f>
        <v>0.74</v>
      </c>
      <c r="M183" s="50">
        <f>VLOOKUP($A183,'Data shares'!$C:$FB,119)</f>
        <v>0.75</v>
      </c>
      <c r="N183" s="50">
        <f>VLOOKUP($A183,'Data shares'!$C:$FB,121)*100</f>
        <v>-1.3299999999999998</v>
      </c>
      <c r="O183" s="50">
        <f>VLOOKUP($A183,'Data shares'!$C:$FB,124)</f>
        <v>0.41</v>
      </c>
      <c r="P183" s="50">
        <f>VLOOKUP($A183,'Data shares'!$C:$FB,125)</f>
        <v>0.28000000000000003</v>
      </c>
      <c r="Q183" s="50">
        <f>VLOOKUP($A183,'Data shares'!$C:$FB,127)*100</f>
        <v>46.43</v>
      </c>
    </row>
    <row r="184" spans="1:17" x14ac:dyDescent="0.25">
      <c r="A184" s="97" t="str">
        <f>'Data Vlaue (Cr)'!C179</f>
        <v>SAIL</v>
      </c>
      <c r="B184" s="140">
        <f>VLOOKUP($A184,'Data shares'!$C:$FB,7)</f>
        <v>176.45</v>
      </c>
      <c r="C184" s="140">
        <f>VLOOKUP($A184,'Data shares'!$C:$FB,3)</f>
        <v>176.57</v>
      </c>
      <c r="D184" s="140">
        <f>VLOOKUP($A184,'Data shares'!$C:$FB,4)</f>
        <v>175.95</v>
      </c>
      <c r="E184" s="50">
        <f t="shared" ref="E184:E188" si="12">(C184-D184)/D184*100</f>
        <v>0.35237283319125012</v>
      </c>
      <c r="F184" s="49">
        <f>VLOOKUP($A184,'Data shares'!$C:$FB,98)</f>
        <v>212021700</v>
      </c>
      <c r="G184" s="49">
        <f>VLOOKUP($A184,'Data shares'!$C:$FB,99)</f>
        <v>212007600</v>
      </c>
      <c r="H184" s="50">
        <f t="shared" ref="H184:H188" si="13">(F184-G184)/G184*100</f>
        <v>6.6507049747273218E-3</v>
      </c>
      <c r="I184" s="49">
        <f>VLOOKUP($A184,'Data shares'!$C:$FB,66)</f>
        <v>11233000</v>
      </c>
      <c r="J184" s="49">
        <f>VLOOKUP($A184,'Data shares'!$C:$FB,67)</f>
        <v>4676500</v>
      </c>
      <c r="K184" s="50">
        <f t="shared" ref="K184:K188" si="14">(I184-J184)/I184*100</f>
        <v>58.36820083682008</v>
      </c>
      <c r="L184" s="50">
        <f>VLOOKUP($A184,'Data shares'!$C:$FB,118)</f>
        <v>0.83</v>
      </c>
      <c r="M184" s="50">
        <f>VLOOKUP($A184,'Data shares'!$C:$FB,119)</f>
        <v>0.78</v>
      </c>
      <c r="N184" s="50">
        <f>VLOOKUP($A184,'Data shares'!$C:$FB,121)*100</f>
        <v>6.41</v>
      </c>
      <c r="O184" s="50">
        <f>VLOOKUP($A184,'Data shares'!$C:$FB,124)</f>
        <v>0.68</v>
      </c>
      <c r="P184" s="50">
        <f>VLOOKUP($A184,'Data shares'!$C:$FB,125)</f>
        <v>0.76</v>
      </c>
      <c r="Q184" s="50">
        <f>VLOOKUP($A184,'Data shares'!$C:$FB,127)*100</f>
        <v>-10.530000000000001</v>
      </c>
    </row>
    <row r="185" spans="1:17" x14ac:dyDescent="0.25">
      <c r="A185" s="97" t="str">
        <f>'Data Vlaue (Cr)'!C180</f>
        <v>SAMMAANCAP</v>
      </c>
      <c r="B185" s="140">
        <f>VLOOKUP($A185,'Data shares'!$C:$FB,7)</f>
        <v>144.25</v>
      </c>
      <c r="C185" s="140">
        <f>VLOOKUP($A185,'Data shares'!$C:$FB,3)</f>
        <v>144.32</v>
      </c>
      <c r="D185" s="140">
        <f>VLOOKUP($A185,'Data shares'!$C:$FB,4)</f>
        <v>147.16999999999999</v>
      </c>
      <c r="E185" s="50">
        <f t="shared" si="12"/>
        <v>-1.9365359788000234</v>
      </c>
      <c r="F185" s="49">
        <f>VLOOKUP($A185,'Data shares'!$C:$FB,98)</f>
        <v>141573200</v>
      </c>
      <c r="G185" s="49">
        <f>VLOOKUP($A185,'Data shares'!$C:$FB,99)</f>
        <v>142162300</v>
      </c>
      <c r="H185" s="50">
        <f t="shared" si="13"/>
        <v>-0.41438552977828863</v>
      </c>
      <c r="I185" s="49">
        <f>VLOOKUP($A185,'Data shares'!$C:$FB,66)</f>
        <v>51535500</v>
      </c>
      <c r="J185" s="49">
        <f>VLOOKUP($A185,'Data shares'!$C:$FB,67)</f>
        <v>40639300</v>
      </c>
      <c r="K185" s="50">
        <f t="shared" si="14"/>
        <v>21.143095536086776</v>
      </c>
      <c r="L185" s="50">
        <f>VLOOKUP($A185,'Data shares'!$C:$FB,118)</f>
        <v>0.84</v>
      </c>
      <c r="M185" s="50">
        <f>VLOOKUP($A185,'Data shares'!$C:$FB,119)</f>
        <v>0.83</v>
      </c>
      <c r="N185" s="50">
        <f>VLOOKUP($A185,'Data shares'!$C:$FB,121)*100</f>
        <v>1.2</v>
      </c>
      <c r="O185" s="50">
        <f>VLOOKUP($A185,'Data shares'!$C:$FB,124)</f>
        <v>0.54</v>
      </c>
      <c r="P185" s="50">
        <f>VLOOKUP($A185,'Data shares'!$C:$FB,125)</f>
        <v>0.82</v>
      </c>
      <c r="Q185" s="50">
        <f>VLOOKUP($A185,'Data shares'!$C:$FB,127)*100</f>
        <v>-34.150000000000006</v>
      </c>
    </row>
    <row r="186" spans="1:17" x14ac:dyDescent="0.25">
      <c r="A186" s="97" t="str">
        <f>'Data Vlaue (Cr)'!C181</f>
        <v>SBICARD</v>
      </c>
      <c r="B186" s="140">
        <f>VLOOKUP($A186,'Data shares'!$C:$FB,7)</f>
        <v>680.55</v>
      </c>
      <c r="C186" s="140">
        <f>VLOOKUP($A186,'Data shares'!$C:$FB,3)</f>
        <v>682.3</v>
      </c>
      <c r="D186" s="140">
        <f>VLOOKUP($A186,'Data shares'!$C:$FB,4)</f>
        <v>687.9</v>
      </c>
      <c r="E186" s="50">
        <f t="shared" si="12"/>
        <v>-0.81407181276348639</v>
      </c>
      <c r="F186" s="49">
        <f>VLOOKUP($A186,'Data shares'!$C:$FB,98)</f>
        <v>44924000</v>
      </c>
      <c r="G186" s="49">
        <f>VLOOKUP($A186,'Data shares'!$C:$FB,99)</f>
        <v>48057600</v>
      </c>
      <c r="H186" s="50">
        <f t="shared" si="13"/>
        <v>-6.5205087228658947</v>
      </c>
      <c r="I186" s="49">
        <f>VLOOKUP($A186,'Data shares'!$C:$FB,66)</f>
        <v>28306400</v>
      </c>
      <c r="J186" s="49">
        <f>VLOOKUP($A186,'Data shares'!$C:$FB,67)</f>
        <v>21787200</v>
      </c>
      <c r="K186" s="50">
        <f t="shared" si="14"/>
        <v>23.030834016335529</v>
      </c>
      <c r="L186" s="50">
        <f>VLOOKUP($A186,'Data shares'!$C:$FB,118)</f>
        <v>0.9</v>
      </c>
      <c r="M186" s="50">
        <f>VLOOKUP($A186,'Data shares'!$C:$FB,119)</f>
        <v>0.85</v>
      </c>
      <c r="N186" s="50">
        <f>VLOOKUP($A186,'Data shares'!$C:$FB,121)*100</f>
        <v>5.88</v>
      </c>
      <c r="O186" s="50">
        <f>VLOOKUP($A186,'Data shares'!$C:$FB,124)</f>
        <v>0.61</v>
      </c>
      <c r="P186" s="50">
        <f>VLOOKUP($A186,'Data shares'!$C:$FB,125)</f>
        <v>0.53</v>
      </c>
      <c r="Q186" s="50">
        <f>VLOOKUP($A186,'Data shares'!$C:$FB,127)*100</f>
        <v>15.09</v>
      </c>
    </row>
    <row r="187" spans="1:17" x14ac:dyDescent="0.25">
      <c r="A187" s="97" t="str">
        <f>'Data Vlaue (Cr)'!C182</f>
        <v>SBILIFE</v>
      </c>
      <c r="B187" s="140">
        <f>VLOOKUP($A187,'Data shares'!$C:$FB,7)</f>
        <v>1828.1</v>
      </c>
      <c r="C187" s="140">
        <f>VLOOKUP($A187,'Data shares'!$C:$FB,3)</f>
        <v>1826.1</v>
      </c>
      <c r="D187" s="140">
        <f>VLOOKUP($A187,'Data shares'!$C:$FB,4)</f>
        <v>1889.7</v>
      </c>
      <c r="E187" s="50">
        <f t="shared" si="12"/>
        <v>-3.3656135894586514</v>
      </c>
      <c r="F187" s="49">
        <f>VLOOKUP($A187,'Data shares'!$C:$FB,98)</f>
        <v>24101250</v>
      </c>
      <c r="G187" s="49">
        <f>VLOOKUP($A187,'Data shares'!$C:$FB,99)</f>
        <v>23014500</v>
      </c>
      <c r="H187" s="50">
        <f t="shared" si="13"/>
        <v>4.7220230724108712</v>
      </c>
      <c r="I187" s="49">
        <f>VLOOKUP($A187,'Data shares'!$C:$FB,66)</f>
        <v>51228750</v>
      </c>
      <c r="J187" s="49">
        <f>VLOOKUP($A187,'Data shares'!$C:$FB,67)</f>
        <v>35569125</v>
      </c>
      <c r="K187" s="50">
        <f t="shared" si="14"/>
        <v>30.568040406998026</v>
      </c>
      <c r="L187" s="50">
        <f>VLOOKUP($A187,'Data shares'!$C:$FB,118)</f>
        <v>0.46</v>
      </c>
      <c r="M187" s="50">
        <f>VLOOKUP($A187,'Data shares'!$C:$FB,119)</f>
        <v>0.55000000000000004</v>
      </c>
      <c r="N187" s="50">
        <f>VLOOKUP($A187,'Data shares'!$C:$FB,121)*100</f>
        <v>-16.36</v>
      </c>
      <c r="O187" s="50">
        <f>VLOOKUP($A187,'Data shares'!$C:$FB,124)</f>
        <v>0.66</v>
      </c>
      <c r="P187" s="50">
        <f>VLOOKUP($A187,'Data shares'!$C:$FB,125)</f>
        <v>0.48</v>
      </c>
      <c r="Q187" s="50">
        <f>VLOOKUP($A187,'Data shares'!$C:$FB,127)*100</f>
        <v>37.5</v>
      </c>
    </row>
    <row r="188" spans="1:17" x14ac:dyDescent="0.25">
      <c r="A188" s="97" t="str">
        <f>'Data Vlaue (Cr)'!C183</f>
        <v>SBIN</v>
      </c>
      <c r="B188" s="140">
        <f>VLOOKUP($A188,'Data shares'!$C:$FB,7)</f>
        <v>1094.25</v>
      </c>
      <c r="C188" s="140">
        <f>VLOOKUP($A188,'Data shares'!$C:$FB,3)</f>
        <v>1094.0999999999999</v>
      </c>
      <c r="D188" s="140">
        <f>VLOOKUP($A188,'Data shares'!$C:$FB,4)</f>
        <v>1105.5</v>
      </c>
      <c r="E188" s="50">
        <f t="shared" si="12"/>
        <v>-1.0312075983717857</v>
      </c>
      <c r="F188" s="49">
        <f>VLOOKUP($A188,'Data shares'!$C:$FB,98)</f>
        <v>177969000</v>
      </c>
      <c r="G188" s="49">
        <f>VLOOKUP($A188,'Data shares'!$C:$FB,99)</f>
        <v>176935500</v>
      </c>
      <c r="H188" s="50">
        <f t="shared" si="13"/>
        <v>0.58411115915121603</v>
      </c>
      <c r="I188" s="49">
        <f>VLOOKUP($A188,'Data shares'!$C:$FB,66)</f>
        <v>199264500</v>
      </c>
      <c r="J188" s="49">
        <f>VLOOKUP($A188,'Data shares'!$C:$FB,67)</f>
        <v>132126750</v>
      </c>
      <c r="K188" s="50">
        <f t="shared" si="14"/>
        <v>33.692780199182494</v>
      </c>
      <c r="L188" s="50">
        <f>VLOOKUP($A188,'Data shares'!$C:$FB,118)</f>
        <v>0.79</v>
      </c>
      <c r="M188" s="50">
        <f>VLOOKUP($A188,'Data shares'!$C:$FB,119)</f>
        <v>0.83</v>
      </c>
      <c r="N188" s="50">
        <f>VLOOKUP($A188,'Data shares'!$C:$FB,121)*100</f>
        <v>-4.82</v>
      </c>
      <c r="O188" s="50">
        <f>VLOOKUP($A188,'Data shares'!$C:$FB,124)</f>
        <v>0.81</v>
      </c>
      <c r="P188" s="50">
        <f>VLOOKUP($A188,'Data shares'!$C:$FB,125)</f>
        <v>0.65</v>
      </c>
      <c r="Q188" s="50">
        <f>VLOOKUP($A188,'Data shares'!$C:$FB,127)*100</f>
        <v>24.62</v>
      </c>
    </row>
    <row r="189" spans="1:17" x14ac:dyDescent="0.25">
      <c r="A189" s="97" t="str">
        <f>'Data Vlaue (Cr)'!C184</f>
        <v>SHREECEM</v>
      </c>
      <c r="B189" s="140">
        <f>VLOOKUP($A189,'Data shares'!$C:$FB,7)</f>
        <v>25470</v>
      </c>
      <c r="C189" s="140">
        <f>VLOOKUP($A189,'Data shares'!$C:$FB,3)</f>
        <v>25435</v>
      </c>
      <c r="D189" s="140">
        <f>VLOOKUP($A189,'Data shares'!$C:$FB,4)</f>
        <v>25755</v>
      </c>
      <c r="E189" s="50">
        <f t="shared" ref="E189:E209" si="15">(C189-D189)/D189*100</f>
        <v>-1.2424771888953601</v>
      </c>
      <c r="F189" s="49">
        <f>VLOOKUP($A189,'Data shares'!$C:$FB,98)</f>
        <v>525450</v>
      </c>
      <c r="G189" s="49">
        <f>VLOOKUP($A189,'Data shares'!$C:$FB,99)</f>
        <v>515050</v>
      </c>
      <c r="H189" s="50">
        <f t="shared" ref="H189:H209" si="16">(F189-G189)/G189*100</f>
        <v>2.0192214348121542</v>
      </c>
      <c r="I189" s="49">
        <f>VLOOKUP($A189,'Data shares'!$C:$FB,66)</f>
        <v>450475</v>
      </c>
      <c r="J189" s="49">
        <f>VLOOKUP($A189,'Data shares'!$C:$FB,67)</f>
        <v>378800</v>
      </c>
      <c r="K189" s="50">
        <f t="shared" ref="K189:K209" si="17">(I189-J189)/I189*100</f>
        <v>15.910982851434596</v>
      </c>
      <c r="L189" s="50">
        <f>VLOOKUP($A189,'Data shares'!$C:$FB,118)</f>
        <v>0.75</v>
      </c>
      <c r="M189" s="50">
        <f>VLOOKUP($A189,'Data shares'!$C:$FB,119)</f>
        <v>0.81</v>
      </c>
      <c r="N189" s="50">
        <f>VLOOKUP($A189,'Data shares'!$C:$FB,121)*100</f>
        <v>-7.41</v>
      </c>
      <c r="O189" s="50">
        <f>VLOOKUP($A189,'Data shares'!$C:$FB,124)</f>
        <v>1.34</v>
      </c>
      <c r="P189" s="50">
        <f>VLOOKUP($A189,'Data shares'!$C:$FB,125)</f>
        <v>4.58</v>
      </c>
      <c r="Q189" s="50">
        <f>VLOOKUP($A189,'Data shares'!$C:$FB,127)*100</f>
        <v>-70.740000000000009</v>
      </c>
    </row>
    <row r="190" spans="1:17" x14ac:dyDescent="0.25">
      <c r="A190" s="97" t="str">
        <f>'Data Vlaue (Cr)'!C185</f>
        <v>SHRIRAMFIN</v>
      </c>
      <c r="B190" s="140">
        <f>VLOOKUP($A190,'Data shares'!$C:$FB,7)</f>
        <v>1009.3</v>
      </c>
      <c r="C190" s="140">
        <f>VLOOKUP($A190,'Data shares'!$C:$FB,3)</f>
        <v>1010.2</v>
      </c>
      <c r="D190" s="140">
        <f>VLOOKUP($A190,'Data shares'!$C:$FB,4)</f>
        <v>1044.7</v>
      </c>
      <c r="E190" s="50">
        <f t="shared" si="15"/>
        <v>-3.3023834593663253</v>
      </c>
      <c r="F190" s="49">
        <f>VLOOKUP($A190,'Data shares'!$C:$FB,98)</f>
        <v>65826750</v>
      </c>
      <c r="G190" s="49">
        <f>VLOOKUP($A190,'Data shares'!$C:$FB,99)</f>
        <v>64284825</v>
      </c>
      <c r="H190" s="50">
        <f t="shared" si="16"/>
        <v>2.3985831804006619</v>
      </c>
      <c r="I190" s="49">
        <f>VLOOKUP($A190,'Data shares'!$C:$FB,66)</f>
        <v>53351100</v>
      </c>
      <c r="J190" s="49">
        <f>VLOOKUP($A190,'Data shares'!$C:$FB,67)</f>
        <v>31260075</v>
      </c>
      <c r="K190" s="50">
        <f t="shared" si="17"/>
        <v>41.406878208696732</v>
      </c>
      <c r="L190" s="50">
        <f>VLOOKUP($A190,'Data shares'!$C:$FB,118)</f>
        <v>0.7</v>
      </c>
      <c r="M190" s="50">
        <f>VLOOKUP($A190,'Data shares'!$C:$FB,119)</f>
        <v>0.72</v>
      </c>
      <c r="N190" s="50">
        <f>VLOOKUP($A190,'Data shares'!$C:$FB,121)*100</f>
        <v>-2.78</v>
      </c>
      <c r="O190" s="50">
        <f>VLOOKUP($A190,'Data shares'!$C:$FB,124)</f>
        <v>0.62</v>
      </c>
      <c r="P190" s="50">
        <f>VLOOKUP($A190,'Data shares'!$C:$FB,125)</f>
        <v>0.46</v>
      </c>
      <c r="Q190" s="50">
        <f>VLOOKUP($A190,'Data shares'!$C:$FB,127)*100</f>
        <v>34.78</v>
      </c>
    </row>
    <row r="191" spans="1:17" x14ac:dyDescent="0.25">
      <c r="A191" s="97" t="str">
        <f>'Data Vlaue (Cr)'!C186</f>
        <v>SIEMENS</v>
      </c>
      <c r="B191" s="140">
        <f>VLOOKUP($A191,'Data shares'!$C:$FB,7)</f>
        <v>3864.4</v>
      </c>
      <c r="C191" s="140">
        <f>VLOOKUP($A191,'Data shares'!$C:$FB,3)</f>
        <v>3877.9</v>
      </c>
      <c r="D191" s="140">
        <f>VLOOKUP($A191,'Data shares'!$C:$FB,4)</f>
        <v>3841.9</v>
      </c>
      <c r="E191" s="50">
        <f t="shared" si="15"/>
        <v>0.93703636221661146</v>
      </c>
      <c r="F191" s="49">
        <f>VLOOKUP($A191,'Data shares'!$C:$FB,98)</f>
        <v>6821150</v>
      </c>
      <c r="G191" s="49">
        <f>VLOOKUP($A191,'Data shares'!$C:$FB,99)</f>
        <v>6999825</v>
      </c>
      <c r="H191" s="50">
        <f t="shared" si="16"/>
        <v>-2.5525638140953522</v>
      </c>
      <c r="I191" s="49">
        <f>VLOOKUP($A191,'Data shares'!$C:$FB,66)</f>
        <v>10110100</v>
      </c>
      <c r="J191" s="49">
        <f>VLOOKUP($A191,'Data shares'!$C:$FB,67)</f>
        <v>21792750</v>
      </c>
      <c r="K191" s="50">
        <f t="shared" si="17"/>
        <v>-115.55424773246557</v>
      </c>
      <c r="L191" s="50">
        <f>VLOOKUP($A191,'Data shares'!$C:$FB,118)</f>
        <v>0.83</v>
      </c>
      <c r="M191" s="50">
        <f>VLOOKUP($A191,'Data shares'!$C:$FB,119)</f>
        <v>0.96</v>
      </c>
      <c r="N191" s="50">
        <f>VLOOKUP($A191,'Data shares'!$C:$FB,121)*100</f>
        <v>-13.54</v>
      </c>
      <c r="O191" s="50">
        <f>VLOOKUP($A191,'Data shares'!$C:$FB,124)</f>
        <v>0.56999999999999995</v>
      </c>
      <c r="P191" s="50">
        <f>VLOOKUP($A191,'Data shares'!$C:$FB,125)</f>
        <v>0.39</v>
      </c>
      <c r="Q191" s="50">
        <f>VLOOKUP($A191,'Data shares'!$C:$FB,127)*100</f>
        <v>46.150000000000006</v>
      </c>
    </row>
    <row r="192" spans="1:17" x14ac:dyDescent="0.25">
      <c r="A192" s="97" t="str">
        <f>'Data Vlaue (Cr)'!C187</f>
        <v>SOLARINDS</v>
      </c>
      <c r="B192" s="140">
        <f>VLOOKUP($A192,'Data shares'!$C:$FB,7)</f>
        <v>15747</v>
      </c>
      <c r="C192" s="140">
        <f>VLOOKUP($A192,'Data shares'!$C:$FB,3)</f>
        <v>15756</v>
      </c>
      <c r="D192" s="140">
        <f>VLOOKUP($A192,'Data shares'!$C:$FB,4)</f>
        <v>15290</v>
      </c>
      <c r="E192" s="50">
        <f t="shared" si="15"/>
        <v>3.0477436232831918</v>
      </c>
      <c r="F192" s="49">
        <f>VLOOKUP($A192,'Data shares'!$C:$FB,98)</f>
        <v>1416500</v>
      </c>
      <c r="G192" s="49">
        <f>VLOOKUP($A192,'Data shares'!$C:$FB,99)</f>
        <v>1431700</v>
      </c>
      <c r="H192" s="50">
        <f t="shared" si="16"/>
        <v>-1.061674931899141</v>
      </c>
      <c r="I192" s="49">
        <f>VLOOKUP($A192,'Data shares'!$C:$FB,66)</f>
        <v>4066100</v>
      </c>
      <c r="J192" s="49">
        <f>VLOOKUP($A192,'Data shares'!$C:$FB,67)</f>
        <v>1992750</v>
      </c>
      <c r="K192" s="50">
        <f t="shared" si="17"/>
        <v>50.991121713681423</v>
      </c>
      <c r="L192" s="50">
        <f>VLOOKUP($A192,'Data shares'!$C:$FB,118)</f>
        <v>0.86</v>
      </c>
      <c r="M192" s="50">
        <f>VLOOKUP($A192,'Data shares'!$C:$FB,119)</f>
        <v>0.57999999999999996</v>
      </c>
      <c r="N192" s="50">
        <f>VLOOKUP($A192,'Data shares'!$C:$FB,121)*100</f>
        <v>48.28</v>
      </c>
      <c r="O192" s="50">
        <f>VLOOKUP($A192,'Data shares'!$C:$FB,124)</f>
        <v>0.7</v>
      </c>
      <c r="P192" s="50">
        <f>VLOOKUP($A192,'Data shares'!$C:$FB,125)</f>
        <v>1.24</v>
      </c>
      <c r="Q192" s="50">
        <f>VLOOKUP($A192,'Data shares'!$C:$FB,127)*100</f>
        <v>-43.55</v>
      </c>
    </row>
    <row r="193" spans="1:17" x14ac:dyDescent="0.25">
      <c r="A193" s="97" t="str">
        <f>'Data Vlaue (Cr)'!C188</f>
        <v>SONACOMS</v>
      </c>
      <c r="B193" s="140">
        <f>VLOOKUP($A193,'Data shares'!$C:$FB,7)</f>
        <v>574.54999999999995</v>
      </c>
      <c r="C193" s="140">
        <f>VLOOKUP($A193,'Data shares'!$C:$FB,3)</f>
        <v>574.1</v>
      </c>
      <c r="D193" s="140">
        <f>VLOOKUP($A193,'Data shares'!$C:$FB,4)</f>
        <v>588</v>
      </c>
      <c r="E193" s="50">
        <f t="shared" si="15"/>
        <v>-2.3639455782312884</v>
      </c>
      <c r="F193" s="49">
        <f>VLOOKUP($A193,'Data shares'!$C:$FB,98)</f>
        <v>21836850</v>
      </c>
      <c r="G193" s="49">
        <f>VLOOKUP($A193,'Data shares'!$C:$FB,99)</f>
        <v>22042650</v>
      </c>
      <c r="H193" s="50">
        <f t="shared" si="16"/>
        <v>-0.93364454818272768</v>
      </c>
      <c r="I193" s="49">
        <f>VLOOKUP($A193,'Data shares'!$C:$FB,66)</f>
        <v>14924175</v>
      </c>
      <c r="J193" s="49">
        <f>VLOOKUP($A193,'Data shares'!$C:$FB,67)</f>
        <v>9074800</v>
      </c>
      <c r="K193" s="50">
        <f t="shared" si="17"/>
        <v>39.193958795042271</v>
      </c>
      <c r="L193" s="50">
        <f>VLOOKUP($A193,'Data shares'!$C:$FB,118)</f>
        <v>0.69</v>
      </c>
      <c r="M193" s="50">
        <f>VLOOKUP($A193,'Data shares'!$C:$FB,119)</f>
        <v>0.72</v>
      </c>
      <c r="N193" s="50">
        <f>VLOOKUP($A193,'Data shares'!$C:$FB,121)*100</f>
        <v>-4.17</v>
      </c>
      <c r="O193" s="50">
        <f>VLOOKUP($A193,'Data shares'!$C:$FB,124)</f>
        <v>0.55000000000000004</v>
      </c>
      <c r="P193" s="50">
        <f>VLOOKUP($A193,'Data shares'!$C:$FB,125)</f>
        <v>0.26</v>
      </c>
      <c r="Q193" s="50">
        <f>VLOOKUP($A193,'Data shares'!$C:$FB,127)*100</f>
        <v>111.53999999999999</v>
      </c>
    </row>
    <row r="194" spans="1:17" x14ac:dyDescent="0.25">
      <c r="A194" s="97" t="str">
        <f>'Data Vlaue (Cr)'!C189</f>
        <v>SRF</v>
      </c>
      <c r="B194" s="140">
        <f>VLOOKUP($A194,'Data shares'!$C:$FB,7)</f>
        <v>2542.4</v>
      </c>
      <c r="C194" s="140">
        <f>VLOOKUP($A194,'Data shares'!$C:$FB,3)</f>
        <v>2540.5</v>
      </c>
      <c r="D194" s="140">
        <f>VLOOKUP($A194,'Data shares'!$C:$FB,4)</f>
        <v>2496.4</v>
      </c>
      <c r="E194" s="50">
        <f t="shared" si="15"/>
        <v>1.7665438231052679</v>
      </c>
      <c r="F194" s="49">
        <f>VLOOKUP($A194,'Data shares'!$C:$FB,98)</f>
        <v>7272000</v>
      </c>
      <c r="G194" s="49">
        <f>VLOOKUP($A194,'Data shares'!$C:$FB,99)</f>
        <v>7703000</v>
      </c>
      <c r="H194" s="50">
        <f t="shared" si="16"/>
        <v>-5.5952226405296637</v>
      </c>
      <c r="I194" s="49">
        <f>VLOOKUP($A194,'Data shares'!$C:$FB,66)</f>
        <v>12429600</v>
      </c>
      <c r="J194" s="49">
        <f>VLOOKUP($A194,'Data shares'!$C:$FB,67)</f>
        <v>5317000</v>
      </c>
      <c r="K194" s="50">
        <f t="shared" si="17"/>
        <v>57.223080388749437</v>
      </c>
      <c r="L194" s="50">
        <f>VLOOKUP($A194,'Data shares'!$C:$FB,118)</f>
        <v>0.59</v>
      </c>
      <c r="M194" s="50">
        <f>VLOOKUP($A194,'Data shares'!$C:$FB,119)</f>
        <v>0.53</v>
      </c>
      <c r="N194" s="50">
        <f>VLOOKUP($A194,'Data shares'!$C:$FB,121)*100</f>
        <v>11.32</v>
      </c>
      <c r="O194" s="50">
        <f>VLOOKUP($A194,'Data shares'!$C:$FB,124)</f>
        <v>0.26</v>
      </c>
      <c r="P194" s="50">
        <f>VLOOKUP($A194,'Data shares'!$C:$FB,125)</f>
        <v>0.39</v>
      </c>
      <c r="Q194" s="50">
        <f>VLOOKUP($A194,'Data shares'!$C:$FB,127)*100</f>
        <v>-33.33</v>
      </c>
    </row>
    <row r="195" spans="1:17" x14ac:dyDescent="0.25">
      <c r="A195" s="97" t="str">
        <f>'Data Vlaue (Cr)'!C190</f>
        <v>SUNPHARMA</v>
      </c>
      <c r="B195" s="140">
        <f>VLOOKUP($A195,'Data shares'!$C:$FB,7)</f>
        <v>1680.1</v>
      </c>
      <c r="C195" s="140">
        <f>VLOOKUP($A195,'Data shares'!$C:$FB,3)</f>
        <v>1676.7</v>
      </c>
      <c r="D195" s="140">
        <f>VLOOKUP($A195,'Data shares'!$C:$FB,4)</f>
        <v>1667.2</v>
      </c>
      <c r="E195" s="50">
        <f t="shared" si="15"/>
        <v>0.56981765834932818</v>
      </c>
      <c r="F195" s="49">
        <f>VLOOKUP($A195,'Data shares'!$C:$FB,98)</f>
        <v>32668650</v>
      </c>
      <c r="G195" s="49">
        <f>VLOOKUP($A195,'Data shares'!$C:$FB,99)</f>
        <v>31696700</v>
      </c>
      <c r="H195" s="50">
        <f t="shared" si="16"/>
        <v>3.0664075440030034</v>
      </c>
      <c r="I195" s="49">
        <f>VLOOKUP($A195,'Data shares'!$C:$FB,66)</f>
        <v>51832900</v>
      </c>
      <c r="J195" s="49">
        <f>VLOOKUP($A195,'Data shares'!$C:$FB,67)</f>
        <v>16806300</v>
      </c>
      <c r="K195" s="50">
        <f t="shared" si="17"/>
        <v>67.575999027644613</v>
      </c>
      <c r="L195" s="50">
        <f>VLOOKUP($A195,'Data shares'!$C:$FB,118)</f>
        <v>0.73</v>
      </c>
      <c r="M195" s="50">
        <f>VLOOKUP($A195,'Data shares'!$C:$FB,119)</f>
        <v>0.65</v>
      </c>
      <c r="N195" s="50">
        <f>VLOOKUP($A195,'Data shares'!$C:$FB,121)*100</f>
        <v>12.31</v>
      </c>
      <c r="O195" s="50">
        <f>VLOOKUP($A195,'Data shares'!$C:$FB,124)</f>
        <v>0.4</v>
      </c>
      <c r="P195" s="50">
        <f>VLOOKUP($A195,'Data shares'!$C:$FB,125)</f>
        <v>0.55000000000000004</v>
      </c>
      <c r="Q195" s="50">
        <f>VLOOKUP($A195,'Data shares'!$C:$FB,127)*100</f>
        <v>-27.27</v>
      </c>
    </row>
    <row r="196" spans="1:17" x14ac:dyDescent="0.25">
      <c r="A196" s="97" t="str">
        <f>'Data Vlaue (Cr)'!C191</f>
        <v>SUPREMEIND</v>
      </c>
      <c r="B196" s="140">
        <f>VLOOKUP($A196,'Data shares'!$C:$FB,7)</f>
        <v>3677.3</v>
      </c>
      <c r="C196" s="140">
        <f>VLOOKUP($A196,'Data shares'!$C:$FB,3)</f>
        <v>3688.6</v>
      </c>
      <c r="D196" s="140">
        <f>VLOOKUP($A196,'Data shares'!$C:$FB,4)</f>
        <v>3703.4</v>
      </c>
      <c r="E196" s="50">
        <f t="shared" si="15"/>
        <v>-0.39963276988713564</v>
      </c>
      <c r="F196" s="49">
        <f>VLOOKUP($A196,'Data shares'!$C:$FB,98)</f>
        <v>3697050</v>
      </c>
      <c r="G196" s="49">
        <f>VLOOKUP($A196,'Data shares'!$C:$FB,99)</f>
        <v>3578050</v>
      </c>
      <c r="H196" s="50">
        <f t="shared" si="16"/>
        <v>3.3258339039420917</v>
      </c>
      <c r="I196" s="49">
        <f>VLOOKUP($A196,'Data shares'!$C:$FB,66)</f>
        <v>2899575</v>
      </c>
      <c r="J196" s="49">
        <f>VLOOKUP($A196,'Data shares'!$C:$FB,67)</f>
        <v>1429575</v>
      </c>
      <c r="K196" s="50">
        <f t="shared" si="17"/>
        <v>50.697084917617239</v>
      </c>
      <c r="L196" s="50">
        <f>VLOOKUP($A196,'Data shares'!$C:$FB,118)</f>
        <v>0.48</v>
      </c>
      <c r="M196" s="50">
        <f>VLOOKUP($A196,'Data shares'!$C:$FB,119)</f>
        <v>0.48</v>
      </c>
      <c r="N196" s="50">
        <f>VLOOKUP($A196,'Data shares'!$C:$FB,121)*100</f>
        <v>0</v>
      </c>
      <c r="O196" s="50">
        <f>VLOOKUP($A196,'Data shares'!$C:$FB,124)</f>
        <v>0.27</v>
      </c>
      <c r="P196" s="50">
        <f>VLOOKUP($A196,'Data shares'!$C:$FB,125)</f>
        <v>0.32</v>
      </c>
      <c r="Q196" s="50">
        <f>VLOOKUP($A196,'Data shares'!$C:$FB,127)*100</f>
        <v>-15.620000000000001</v>
      </c>
    </row>
    <row r="197" spans="1:17" x14ac:dyDescent="0.25">
      <c r="A197" s="97" t="str">
        <f>'Data Vlaue (Cr)'!C192</f>
        <v>SUZLON</v>
      </c>
      <c r="B197" s="140">
        <f>VLOOKUP($A197,'Data shares'!$C:$FB,7)</f>
        <v>53.73</v>
      </c>
      <c r="C197" s="140">
        <f>VLOOKUP($A197,'Data shares'!$C:$FB,3)</f>
        <v>53.73</v>
      </c>
      <c r="D197" s="140">
        <f>VLOOKUP($A197,'Data shares'!$C:$FB,4)</f>
        <v>54.55</v>
      </c>
      <c r="E197" s="50">
        <f t="shared" si="15"/>
        <v>-1.5032080659945011</v>
      </c>
      <c r="F197" s="49">
        <f>VLOOKUP($A197,'Data shares'!$C:$FB,98)</f>
        <v>724057700</v>
      </c>
      <c r="G197" s="49">
        <f>VLOOKUP($A197,'Data shares'!$C:$FB,99)</f>
        <v>764354325</v>
      </c>
      <c r="H197" s="50">
        <f t="shared" si="16"/>
        <v>-5.2719823362025195</v>
      </c>
      <c r="I197" s="49">
        <f>VLOOKUP($A197,'Data shares'!$C:$FB,66)</f>
        <v>695601875</v>
      </c>
      <c r="J197" s="49">
        <f>VLOOKUP($A197,'Data shares'!$C:$FB,67)</f>
        <v>641749700</v>
      </c>
      <c r="K197" s="50">
        <f t="shared" si="17"/>
        <v>7.74180992539734</v>
      </c>
      <c r="L197" s="50">
        <f>VLOOKUP($A197,'Data shares'!$C:$FB,118)</f>
        <v>0.82</v>
      </c>
      <c r="M197" s="50">
        <f>VLOOKUP($A197,'Data shares'!$C:$FB,119)</f>
        <v>0.85</v>
      </c>
      <c r="N197" s="50">
        <f>VLOOKUP($A197,'Data shares'!$C:$FB,121)*100</f>
        <v>-3.53</v>
      </c>
      <c r="O197" s="50">
        <f>VLOOKUP($A197,'Data shares'!$C:$FB,124)</f>
        <v>0.48</v>
      </c>
      <c r="P197" s="50">
        <f>VLOOKUP($A197,'Data shares'!$C:$FB,125)</f>
        <v>0.53</v>
      </c>
      <c r="Q197" s="50">
        <f>VLOOKUP($A197,'Data shares'!$C:$FB,127)*100</f>
        <v>-9.43</v>
      </c>
    </row>
    <row r="198" spans="1:17" x14ac:dyDescent="0.25">
      <c r="A198" s="97" t="str">
        <f>'Data Vlaue (Cr)'!C193</f>
        <v>SWIGGY</v>
      </c>
      <c r="B198" s="140">
        <f>VLOOKUP($A198,'Data shares'!$C:$FB,7)</f>
        <v>293.05</v>
      </c>
      <c r="C198" s="140">
        <f>VLOOKUP($A198,'Data shares'!$C:$FB,3)</f>
        <v>292.8</v>
      </c>
      <c r="D198" s="140">
        <f>VLOOKUP($A198,'Data shares'!$C:$FB,4)</f>
        <v>294.45</v>
      </c>
      <c r="E198" s="50">
        <f t="shared" si="15"/>
        <v>-0.56036678553234076</v>
      </c>
      <c r="F198" s="49">
        <f>VLOOKUP($A198,'Data shares'!$C:$FB,98)</f>
        <v>66987700</v>
      </c>
      <c r="G198" s="49">
        <f>VLOOKUP($A198,'Data shares'!$C:$FB,99)</f>
        <v>71160700</v>
      </c>
      <c r="H198" s="50">
        <f t="shared" si="16"/>
        <v>-5.8641918924350094</v>
      </c>
      <c r="I198" s="49">
        <f>VLOOKUP($A198,'Data shares'!$C:$FB,66)</f>
        <v>80005900</v>
      </c>
      <c r="J198" s="49">
        <f>VLOOKUP($A198,'Data shares'!$C:$FB,67)</f>
        <v>56253600</v>
      </c>
      <c r="K198" s="50">
        <f t="shared" si="17"/>
        <v>29.688185496319647</v>
      </c>
      <c r="L198" s="50">
        <f>VLOOKUP($A198,'Data shares'!$C:$FB,118)</f>
        <v>0.71</v>
      </c>
      <c r="M198" s="50">
        <f>VLOOKUP($A198,'Data shares'!$C:$FB,119)</f>
        <v>0.71</v>
      </c>
      <c r="N198" s="50">
        <f>VLOOKUP($A198,'Data shares'!$C:$FB,121)*100</f>
        <v>0</v>
      </c>
      <c r="O198" s="50">
        <f>VLOOKUP($A198,'Data shares'!$C:$FB,124)</f>
        <v>0.35</v>
      </c>
      <c r="P198" s="50">
        <f>VLOOKUP($A198,'Data shares'!$C:$FB,125)</f>
        <v>0.35</v>
      </c>
      <c r="Q198" s="50">
        <f>VLOOKUP($A198,'Data shares'!$C:$FB,127)*100</f>
        <v>0</v>
      </c>
    </row>
    <row r="199" spans="1:17" x14ac:dyDescent="0.25">
      <c r="A199" s="97" t="str">
        <f>'Data Vlaue (Cr)'!C194</f>
        <v>TATACONSUM</v>
      </c>
      <c r="B199" s="140">
        <f>VLOOKUP($A199,'Data shares'!$C:$FB,7)</f>
        <v>1184.4000000000001</v>
      </c>
      <c r="C199" s="140">
        <f>VLOOKUP($A199,'Data shares'!$C:$FB,3)</f>
        <v>1182.8</v>
      </c>
      <c r="D199" s="140">
        <f>VLOOKUP($A199,'Data shares'!$C:$FB,4)</f>
        <v>1177.3</v>
      </c>
      <c r="E199" s="50">
        <f t="shared" si="15"/>
        <v>0.46717064469548969</v>
      </c>
      <c r="F199" s="49">
        <f>VLOOKUP($A199,'Data shares'!$C:$FB,98)</f>
        <v>18318850</v>
      </c>
      <c r="G199" s="49">
        <f>VLOOKUP($A199,'Data shares'!$C:$FB,99)</f>
        <v>18424450</v>
      </c>
      <c r="H199" s="50">
        <f t="shared" si="16"/>
        <v>-0.573151437356339</v>
      </c>
      <c r="I199" s="49">
        <f>VLOOKUP($A199,'Data shares'!$C:$FB,66)</f>
        <v>13362800</v>
      </c>
      <c r="J199" s="49">
        <f>VLOOKUP($A199,'Data shares'!$C:$FB,67)</f>
        <v>36215300</v>
      </c>
      <c r="K199" s="50">
        <f t="shared" si="17"/>
        <v>-171.01580507079353</v>
      </c>
      <c r="L199" s="50">
        <f>VLOOKUP($A199,'Data shares'!$C:$FB,118)</f>
        <v>1.33</v>
      </c>
      <c r="M199" s="50">
        <f>VLOOKUP($A199,'Data shares'!$C:$FB,119)</f>
        <v>1.19</v>
      </c>
      <c r="N199" s="50">
        <f>VLOOKUP($A199,'Data shares'!$C:$FB,121)*100</f>
        <v>11.76</v>
      </c>
      <c r="O199" s="50">
        <f>VLOOKUP($A199,'Data shares'!$C:$FB,124)</f>
        <v>0.73</v>
      </c>
      <c r="P199" s="50">
        <f>VLOOKUP($A199,'Data shares'!$C:$FB,125)</f>
        <v>0.41</v>
      </c>
      <c r="Q199" s="50">
        <f>VLOOKUP($A199,'Data shares'!$C:$FB,127)*100</f>
        <v>78.05</v>
      </c>
    </row>
    <row r="200" spans="1:17" x14ac:dyDescent="0.25">
      <c r="A200" s="97" t="str">
        <f>'Data Vlaue (Cr)'!C195</f>
        <v>TATAELXSI</v>
      </c>
      <c r="B200" s="140">
        <f>VLOOKUP($A200,'Data shares'!$C:$FB,7)</f>
        <v>4233.5</v>
      </c>
      <c r="C200" s="140">
        <f>VLOOKUP($A200,'Data shares'!$C:$FB,3)</f>
        <v>4226.3999999999996</v>
      </c>
      <c r="D200" s="140">
        <f>VLOOKUP($A200,'Data shares'!$C:$FB,4)</f>
        <v>4311.6000000000004</v>
      </c>
      <c r="E200" s="50">
        <f t="shared" si="15"/>
        <v>-1.9760645699972335</v>
      </c>
      <c r="F200" s="49">
        <f>VLOOKUP($A200,'Data shares'!$C:$FB,98)</f>
        <v>6591500</v>
      </c>
      <c r="G200" s="49">
        <f>VLOOKUP($A200,'Data shares'!$C:$FB,99)</f>
        <v>6532800</v>
      </c>
      <c r="H200" s="50">
        <f t="shared" si="16"/>
        <v>0.8985427381827088</v>
      </c>
      <c r="I200" s="49">
        <f>VLOOKUP($A200,'Data shares'!$C:$FB,66)</f>
        <v>13199900</v>
      </c>
      <c r="J200" s="49">
        <f>VLOOKUP($A200,'Data shares'!$C:$FB,67)</f>
        <v>20738100</v>
      </c>
      <c r="K200" s="50">
        <f t="shared" si="17"/>
        <v>-57.108008394002987</v>
      </c>
      <c r="L200" s="50">
        <f>VLOOKUP($A200,'Data shares'!$C:$FB,118)</f>
        <v>0.34</v>
      </c>
      <c r="M200" s="50">
        <f>VLOOKUP($A200,'Data shares'!$C:$FB,119)</f>
        <v>0.35</v>
      </c>
      <c r="N200" s="50">
        <f>VLOOKUP($A200,'Data shares'!$C:$FB,121)*100</f>
        <v>-2.86</v>
      </c>
      <c r="O200" s="50">
        <f>VLOOKUP($A200,'Data shares'!$C:$FB,124)</f>
        <v>0.42</v>
      </c>
      <c r="P200" s="50">
        <f>VLOOKUP($A200,'Data shares'!$C:$FB,125)</f>
        <v>0.57999999999999996</v>
      </c>
      <c r="Q200" s="50">
        <f>VLOOKUP($A200,'Data shares'!$C:$FB,127)*100</f>
        <v>-27.589999999999996</v>
      </c>
    </row>
    <row r="201" spans="1:17" x14ac:dyDescent="0.25">
      <c r="A201" s="97" t="str">
        <f>'Data Vlaue (Cr)'!C196</f>
        <v>TATAPOWER</v>
      </c>
      <c r="B201" s="140">
        <f>VLOOKUP($A201,'Data shares'!$C:$FB,7)</f>
        <v>430.3</v>
      </c>
      <c r="C201" s="140">
        <f>VLOOKUP($A201,'Data shares'!$C:$FB,3)</f>
        <v>430.75</v>
      </c>
      <c r="D201" s="140">
        <f>VLOOKUP($A201,'Data shares'!$C:$FB,4)</f>
        <v>436.6</v>
      </c>
      <c r="E201" s="50">
        <f t="shared" si="15"/>
        <v>-1.3398992212551586</v>
      </c>
      <c r="F201" s="49">
        <f>VLOOKUP($A201,'Data shares'!$C:$FB,98)</f>
        <v>125149500</v>
      </c>
      <c r="G201" s="49">
        <f>VLOOKUP($A201,'Data shares'!$C:$FB,99)</f>
        <v>124660850</v>
      </c>
      <c r="H201" s="50">
        <f t="shared" si="16"/>
        <v>0.39198352971281686</v>
      </c>
      <c r="I201" s="49">
        <f>VLOOKUP($A201,'Data shares'!$C:$FB,66)</f>
        <v>109696850</v>
      </c>
      <c r="J201" s="49">
        <f>VLOOKUP($A201,'Data shares'!$C:$FB,67)</f>
        <v>92842050</v>
      </c>
      <c r="K201" s="50">
        <f t="shared" si="17"/>
        <v>15.364889693733231</v>
      </c>
      <c r="L201" s="50">
        <f>VLOOKUP($A201,'Data shares'!$C:$FB,118)</f>
        <v>0.76</v>
      </c>
      <c r="M201" s="50">
        <f>VLOOKUP($A201,'Data shares'!$C:$FB,119)</f>
        <v>0.83</v>
      </c>
      <c r="N201" s="50">
        <f>VLOOKUP($A201,'Data shares'!$C:$FB,121)*100</f>
        <v>-8.43</v>
      </c>
      <c r="O201" s="50">
        <f>VLOOKUP($A201,'Data shares'!$C:$FB,124)</f>
        <v>0.64</v>
      </c>
      <c r="P201" s="50">
        <f>VLOOKUP($A201,'Data shares'!$C:$FB,125)</f>
        <v>0.56999999999999995</v>
      </c>
      <c r="Q201" s="50">
        <f>VLOOKUP($A201,'Data shares'!$C:$FB,127)*100</f>
        <v>12.280000000000001</v>
      </c>
    </row>
    <row r="202" spans="1:17" x14ac:dyDescent="0.25">
      <c r="A202" s="97" t="str">
        <f>'Data Vlaue (Cr)'!C197</f>
        <v>TATASTEEL</v>
      </c>
      <c r="B202" s="140">
        <f>VLOOKUP($A202,'Data shares'!$C:$FB,7)</f>
        <v>210.91</v>
      </c>
      <c r="C202" s="140">
        <f>VLOOKUP($A202,'Data shares'!$C:$FB,3)</f>
        <v>210.67</v>
      </c>
      <c r="D202" s="140">
        <f>VLOOKUP($A202,'Data shares'!$C:$FB,4)</f>
        <v>213.02</v>
      </c>
      <c r="E202" s="50">
        <f t="shared" si="15"/>
        <v>-1.1031827997371246</v>
      </c>
      <c r="F202" s="49">
        <f>VLOOKUP($A202,'Data shares'!$C:$FB,98)</f>
        <v>400785000</v>
      </c>
      <c r="G202" s="49">
        <f>VLOOKUP($A202,'Data shares'!$C:$FB,99)</f>
        <v>405388500</v>
      </c>
      <c r="H202" s="50">
        <f t="shared" si="16"/>
        <v>-1.1355773535756442</v>
      </c>
      <c r="I202" s="49">
        <f>VLOOKUP($A202,'Data shares'!$C:$FB,66)</f>
        <v>216166500</v>
      </c>
      <c r="J202" s="49">
        <f>VLOOKUP($A202,'Data shares'!$C:$FB,67)</f>
        <v>227832000</v>
      </c>
      <c r="K202" s="50">
        <f t="shared" si="17"/>
        <v>-5.3965346156781928</v>
      </c>
      <c r="L202" s="50">
        <f>VLOOKUP($A202,'Data shares'!$C:$FB,118)</f>
        <v>0.79</v>
      </c>
      <c r="M202" s="50">
        <f>VLOOKUP($A202,'Data shares'!$C:$FB,119)</f>
        <v>0.81</v>
      </c>
      <c r="N202" s="50">
        <f>VLOOKUP($A202,'Data shares'!$C:$FB,121)*100</f>
        <v>-2.4699999999999998</v>
      </c>
      <c r="O202" s="50">
        <f>VLOOKUP($A202,'Data shares'!$C:$FB,124)</f>
        <v>0.62</v>
      </c>
      <c r="P202" s="50">
        <f>VLOOKUP($A202,'Data shares'!$C:$FB,125)</f>
        <v>0.61</v>
      </c>
      <c r="Q202" s="50">
        <f>VLOOKUP($A202,'Data shares'!$C:$FB,127)*100</f>
        <v>1.6400000000000001</v>
      </c>
    </row>
    <row r="203" spans="1:17" x14ac:dyDescent="0.25">
      <c r="A203" s="97" t="str">
        <f>'Data Vlaue (Cr)'!C198</f>
        <v>TATATECH</v>
      </c>
      <c r="B203" s="140">
        <f>VLOOKUP($A203,'Data shares'!$C:$FB,7)</f>
        <v>563.5</v>
      </c>
      <c r="C203" s="140">
        <f>VLOOKUP($A203,'Data shares'!$C:$FB,3)</f>
        <v>562.70000000000005</v>
      </c>
      <c r="D203" s="140">
        <f>VLOOKUP($A203,'Data shares'!$C:$FB,4)</f>
        <v>575.4</v>
      </c>
      <c r="E203" s="50">
        <f t="shared" si="15"/>
        <v>-2.2071602363573048</v>
      </c>
      <c r="F203" s="49">
        <f>VLOOKUP($A203,'Data shares'!$C:$FB,98)</f>
        <v>9518400</v>
      </c>
      <c r="G203" s="49">
        <f>VLOOKUP($A203,'Data shares'!$C:$FB,99)</f>
        <v>10196000</v>
      </c>
      <c r="H203" s="50">
        <f t="shared" si="16"/>
        <v>-6.6457434287956056</v>
      </c>
      <c r="I203" s="49">
        <f>VLOOKUP($A203,'Data shares'!$C:$FB,66)</f>
        <v>6268800</v>
      </c>
      <c r="J203" s="49">
        <f>VLOOKUP($A203,'Data shares'!$C:$FB,67)</f>
        <v>3782400</v>
      </c>
      <c r="K203" s="50">
        <f t="shared" si="17"/>
        <v>39.663093415007658</v>
      </c>
      <c r="L203" s="50">
        <f>VLOOKUP($A203,'Data shares'!$C:$FB,118)</f>
        <v>0.78</v>
      </c>
      <c r="M203" s="50">
        <f>VLOOKUP($A203,'Data shares'!$C:$FB,119)</f>
        <v>0.77</v>
      </c>
      <c r="N203" s="50">
        <f>VLOOKUP($A203,'Data shares'!$C:$FB,121)*100</f>
        <v>1.3</v>
      </c>
      <c r="O203" s="50">
        <f>VLOOKUP($A203,'Data shares'!$C:$FB,124)</f>
        <v>0.74</v>
      </c>
      <c r="P203" s="50">
        <f>VLOOKUP($A203,'Data shares'!$C:$FB,125)</f>
        <v>0.53</v>
      </c>
      <c r="Q203" s="50">
        <f>VLOOKUP($A203,'Data shares'!$C:$FB,127)*100</f>
        <v>39.619999999999997</v>
      </c>
    </row>
    <row r="204" spans="1:17" x14ac:dyDescent="0.25">
      <c r="A204" s="97" t="str">
        <f>'Data Vlaue (Cr)'!C199</f>
        <v>TCS</v>
      </c>
      <c r="B204" s="140">
        <f>VLOOKUP($A204,'Data shares'!$C:$FB,7)</f>
        <v>2521.8000000000002</v>
      </c>
      <c r="C204" s="140">
        <f>VLOOKUP($A204,'Data shares'!$C:$FB,3)</f>
        <v>2516.9</v>
      </c>
      <c r="D204" s="140">
        <f>VLOOKUP($A204,'Data shares'!$C:$FB,4)</f>
        <v>2529.1999999999998</v>
      </c>
      <c r="E204" s="50">
        <f t="shared" si="15"/>
        <v>-0.48631978491221445</v>
      </c>
      <c r="F204" s="49">
        <f>VLOOKUP($A204,'Data shares'!$C:$FB,98)</f>
        <v>66550400</v>
      </c>
      <c r="G204" s="49">
        <f>VLOOKUP($A204,'Data shares'!$C:$FB,99)</f>
        <v>66082975</v>
      </c>
      <c r="H204" s="50">
        <f t="shared" si="16"/>
        <v>0.70733044327983119</v>
      </c>
      <c r="I204" s="49">
        <f>VLOOKUP($A204,'Data shares'!$C:$FB,66)</f>
        <v>59013850</v>
      </c>
      <c r="J204" s="49">
        <f>VLOOKUP($A204,'Data shares'!$C:$FB,67)</f>
        <v>75469625</v>
      </c>
      <c r="K204" s="50">
        <f t="shared" si="17"/>
        <v>-27.884598276506278</v>
      </c>
      <c r="L204" s="50">
        <f>VLOOKUP($A204,'Data shares'!$C:$FB,118)</f>
        <v>0.61</v>
      </c>
      <c r="M204" s="50">
        <f>VLOOKUP($A204,'Data shares'!$C:$FB,119)</f>
        <v>0.6</v>
      </c>
      <c r="N204" s="50">
        <f>VLOOKUP($A204,'Data shares'!$C:$FB,121)*100</f>
        <v>1.67</v>
      </c>
      <c r="O204" s="50">
        <f>VLOOKUP($A204,'Data shares'!$C:$FB,124)</f>
        <v>0.56999999999999995</v>
      </c>
      <c r="P204" s="50">
        <f>VLOOKUP($A204,'Data shares'!$C:$FB,125)</f>
        <v>0.6</v>
      </c>
      <c r="Q204" s="50">
        <f>VLOOKUP($A204,'Data shares'!$C:$FB,127)*100</f>
        <v>-5</v>
      </c>
    </row>
    <row r="205" spans="1:17" x14ac:dyDescent="0.25">
      <c r="A205" s="97" t="str">
        <f>'Data Vlaue (Cr)'!C200</f>
        <v>TECHM</v>
      </c>
      <c r="B205" s="140">
        <f>VLOOKUP($A205,'Data shares'!$C:$FB,7)</f>
        <v>1421.5</v>
      </c>
      <c r="C205" s="140">
        <f>VLOOKUP($A205,'Data shares'!$C:$FB,3)</f>
        <v>1424.8</v>
      </c>
      <c r="D205" s="140">
        <f>VLOOKUP($A205,'Data shares'!$C:$FB,4)</f>
        <v>1466.7</v>
      </c>
      <c r="E205" s="50">
        <f t="shared" si="15"/>
        <v>-2.8567532556078334</v>
      </c>
      <c r="F205" s="49">
        <f>VLOOKUP($A205,'Data shares'!$C:$FB,98)</f>
        <v>38566800</v>
      </c>
      <c r="G205" s="49">
        <f>VLOOKUP($A205,'Data shares'!$C:$FB,99)</f>
        <v>38723400</v>
      </c>
      <c r="H205" s="50">
        <f t="shared" si="16"/>
        <v>-0.40440663784688324</v>
      </c>
      <c r="I205" s="49">
        <f>VLOOKUP($A205,'Data shares'!$C:$FB,66)</f>
        <v>90592200</v>
      </c>
      <c r="J205" s="49">
        <f>VLOOKUP($A205,'Data shares'!$C:$FB,67)</f>
        <v>213557400</v>
      </c>
      <c r="K205" s="50">
        <f t="shared" si="17"/>
        <v>-135.73486459099126</v>
      </c>
      <c r="L205" s="50">
        <f>VLOOKUP($A205,'Data shares'!$C:$FB,118)</f>
        <v>0.48</v>
      </c>
      <c r="M205" s="50">
        <f>VLOOKUP($A205,'Data shares'!$C:$FB,119)</f>
        <v>0.7</v>
      </c>
      <c r="N205" s="50">
        <f>VLOOKUP($A205,'Data shares'!$C:$FB,121)*100</f>
        <v>-31.430000000000003</v>
      </c>
      <c r="O205" s="50">
        <f>VLOOKUP($A205,'Data shares'!$C:$FB,124)</f>
        <v>0.53</v>
      </c>
      <c r="P205" s="50">
        <f>VLOOKUP($A205,'Data shares'!$C:$FB,125)</f>
        <v>0.67</v>
      </c>
      <c r="Q205" s="50">
        <f>VLOOKUP($A205,'Data shares'!$C:$FB,127)*100</f>
        <v>-20.9</v>
      </c>
    </row>
    <row r="206" spans="1:17" x14ac:dyDescent="0.25">
      <c r="A206" s="97" t="str">
        <f>'Data Vlaue (Cr)'!C201</f>
        <v>TIINDIA</v>
      </c>
      <c r="B206" s="140">
        <f>VLOOKUP($A206,'Data shares'!$C:$FB,7)</f>
        <v>3086.8</v>
      </c>
      <c r="C206" s="140">
        <f>VLOOKUP($A206,'Data shares'!$C:$FB,3)</f>
        <v>3099</v>
      </c>
      <c r="D206" s="140">
        <f>VLOOKUP($A206,'Data shares'!$C:$FB,4)</f>
        <v>3027.7</v>
      </c>
      <c r="E206" s="50">
        <f t="shared" si="15"/>
        <v>2.3549228787528547</v>
      </c>
      <c r="F206" s="49">
        <f>VLOOKUP($A206,'Data shares'!$C:$FB,98)</f>
        <v>4085400</v>
      </c>
      <c r="G206" s="49">
        <f>VLOOKUP($A206,'Data shares'!$C:$FB,99)</f>
        <v>3876400</v>
      </c>
      <c r="H206" s="50">
        <f t="shared" si="16"/>
        <v>5.3916004540295122</v>
      </c>
      <c r="I206" s="49">
        <f>VLOOKUP($A206,'Data shares'!$C:$FB,66)</f>
        <v>7366400</v>
      </c>
      <c r="J206" s="49">
        <f>VLOOKUP($A206,'Data shares'!$C:$FB,67)</f>
        <v>6210200</v>
      </c>
      <c r="K206" s="50">
        <f t="shared" si="17"/>
        <v>15.695590790616857</v>
      </c>
      <c r="L206" s="50">
        <f>VLOOKUP($A206,'Data shares'!$C:$FB,118)</f>
        <v>0.83</v>
      </c>
      <c r="M206" s="50">
        <f>VLOOKUP($A206,'Data shares'!$C:$FB,119)</f>
        <v>0.85</v>
      </c>
      <c r="N206" s="50">
        <f>VLOOKUP($A206,'Data shares'!$C:$FB,121)*100</f>
        <v>-2.35</v>
      </c>
      <c r="O206" s="50">
        <f>VLOOKUP($A206,'Data shares'!$C:$FB,124)</f>
        <v>0.42</v>
      </c>
      <c r="P206" s="50">
        <f>VLOOKUP($A206,'Data shares'!$C:$FB,125)</f>
        <v>0.36</v>
      </c>
      <c r="Q206" s="50">
        <f>VLOOKUP($A206,'Data shares'!$C:$FB,127)*100</f>
        <v>16.669999999999998</v>
      </c>
    </row>
    <row r="207" spans="1:17" x14ac:dyDescent="0.25">
      <c r="A207" s="97" t="str">
        <f>'Data Vlaue (Cr)'!C202</f>
        <v>TITAN</v>
      </c>
      <c r="B207" s="140">
        <f>VLOOKUP($A207,'Data shares'!$C:$FB,7)</f>
        <v>4456.5</v>
      </c>
      <c r="C207" s="140">
        <f>VLOOKUP($A207,'Data shares'!$C:$FB,3)</f>
        <v>4453.5</v>
      </c>
      <c r="D207" s="140">
        <f>VLOOKUP($A207,'Data shares'!$C:$FB,4)</f>
        <v>4455.6000000000004</v>
      </c>
      <c r="E207" s="50">
        <f t="shared" si="15"/>
        <v>-4.7131699434427771E-2</v>
      </c>
      <c r="F207" s="49">
        <f>VLOOKUP($A207,'Data shares'!$C:$FB,98)</f>
        <v>15648675</v>
      </c>
      <c r="G207" s="49">
        <f>VLOOKUP($A207,'Data shares'!$C:$FB,99)</f>
        <v>15881600</v>
      </c>
      <c r="H207" s="50">
        <f t="shared" si="16"/>
        <v>-1.4666343441466854</v>
      </c>
      <c r="I207" s="49">
        <f>VLOOKUP($A207,'Data shares'!$C:$FB,66)</f>
        <v>10882200</v>
      </c>
      <c r="J207" s="49">
        <f>VLOOKUP($A207,'Data shares'!$C:$FB,67)</f>
        <v>6830775</v>
      </c>
      <c r="K207" s="50">
        <f t="shared" si="17"/>
        <v>37.229834040910845</v>
      </c>
      <c r="L207" s="50">
        <f>VLOOKUP($A207,'Data shares'!$C:$FB,118)</f>
        <v>0.76</v>
      </c>
      <c r="M207" s="50">
        <f>VLOOKUP($A207,'Data shares'!$C:$FB,119)</f>
        <v>0.79</v>
      </c>
      <c r="N207" s="50">
        <f>VLOOKUP($A207,'Data shares'!$C:$FB,121)*100</f>
        <v>-3.8</v>
      </c>
      <c r="O207" s="50">
        <f>VLOOKUP($A207,'Data shares'!$C:$FB,124)</f>
        <v>0.82</v>
      </c>
      <c r="P207" s="50">
        <f>VLOOKUP($A207,'Data shares'!$C:$FB,125)</f>
        <v>0.76</v>
      </c>
      <c r="Q207" s="50">
        <f>VLOOKUP($A207,'Data shares'!$C:$FB,127)*100</f>
        <v>7.89</v>
      </c>
    </row>
    <row r="208" spans="1:17" x14ac:dyDescent="0.25">
      <c r="A208" s="97" t="str">
        <f>'Data Vlaue (Cr)'!C203</f>
        <v>TMPV</v>
      </c>
      <c r="B208" s="140">
        <f>VLOOKUP($A208,'Data shares'!$C:$FB,7)</f>
        <v>351.95</v>
      </c>
      <c r="C208" s="140">
        <f>VLOOKUP($A208,'Data shares'!$C:$FB,3)</f>
        <v>350.95</v>
      </c>
      <c r="D208" s="140">
        <f>VLOOKUP($A208,'Data shares'!$C:$FB,4)</f>
        <v>360.5</v>
      </c>
      <c r="E208" s="50">
        <f t="shared" si="15"/>
        <v>-2.6490984743411961</v>
      </c>
      <c r="F208" s="49">
        <f>VLOOKUP($A208,'Data shares'!$C:$FB,98)</f>
        <v>129237600</v>
      </c>
      <c r="G208" s="49">
        <f>VLOOKUP($A208,'Data shares'!$C:$FB,99)</f>
        <v>128685600</v>
      </c>
      <c r="H208" s="50">
        <f t="shared" si="16"/>
        <v>0.42895242358119329</v>
      </c>
      <c r="I208" s="49">
        <f>VLOOKUP($A208,'Data shares'!$C:$FB,66)</f>
        <v>159694400</v>
      </c>
      <c r="J208" s="49">
        <f>VLOOKUP($A208,'Data shares'!$C:$FB,67)</f>
        <v>162506400</v>
      </c>
      <c r="K208" s="50">
        <f t="shared" si="17"/>
        <v>-1.7608632488052181</v>
      </c>
      <c r="L208" s="50">
        <f>VLOOKUP($A208,'Data shares'!$C:$FB,118)</f>
        <v>0.74</v>
      </c>
      <c r="M208" s="50">
        <f>VLOOKUP($A208,'Data shares'!$C:$FB,119)</f>
        <v>0.8</v>
      </c>
      <c r="N208" s="50">
        <f>VLOOKUP($A208,'Data shares'!$C:$FB,121)*100</f>
        <v>-7.5</v>
      </c>
      <c r="O208" s="50">
        <f>VLOOKUP($A208,'Data shares'!$C:$FB,124)</f>
        <v>0.73</v>
      </c>
      <c r="P208" s="50">
        <f>VLOOKUP($A208,'Data shares'!$C:$FB,125)</f>
        <v>0.6</v>
      </c>
      <c r="Q208" s="50">
        <f>VLOOKUP($A208,'Data shares'!$C:$FB,127)*100</f>
        <v>21.67</v>
      </c>
    </row>
    <row r="209" spans="1:17" x14ac:dyDescent="0.25">
      <c r="A209" s="97" t="str">
        <f>'Data Vlaue (Cr)'!C204</f>
        <v>TORNTPHARM</v>
      </c>
      <c r="B209" s="140">
        <f>VLOOKUP($A209,'Data shares'!$C:$FB,7)</f>
        <v>4147.2</v>
      </c>
      <c r="C209" s="140">
        <f>VLOOKUP($A209,'Data shares'!$C:$FB,3)</f>
        <v>4155</v>
      </c>
      <c r="D209" s="140">
        <f>VLOOKUP($A209,'Data shares'!$C:$FB,4)</f>
        <v>4068.2</v>
      </c>
      <c r="E209" s="50">
        <f t="shared" si="15"/>
        <v>2.1336217491765446</v>
      </c>
      <c r="F209" s="49">
        <f>VLOOKUP($A209,'Data shares'!$C:$FB,98)</f>
        <v>4254750</v>
      </c>
      <c r="G209" s="49">
        <f>VLOOKUP($A209,'Data shares'!$C:$FB,99)</f>
        <v>4400750</v>
      </c>
      <c r="H209" s="50">
        <f t="shared" si="16"/>
        <v>-3.3176163154007843</v>
      </c>
      <c r="I209" s="49">
        <f>VLOOKUP($A209,'Data shares'!$C:$FB,66)</f>
        <v>6022500</v>
      </c>
      <c r="J209" s="49">
        <f>VLOOKUP($A209,'Data shares'!$C:$FB,67)</f>
        <v>2213500</v>
      </c>
      <c r="K209" s="50">
        <f t="shared" si="17"/>
        <v>63.246160232461598</v>
      </c>
      <c r="L209" s="50">
        <f>VLOOKUP($A209,'Data shares'!$C:$FB,118)</f>
        <v>0.72</v>
      </c>
      <c r="M209" s="50">
        <f>VLOOKUP($A209,'Data shares'!$C:$FB,119)</f>
        <v>0.7</v>
      </c>
      <c r="N209" s="50">
        <f>VLOOKUP($A209,'Data shares'!$C:$FB,121)*100</f>
        <v>2.86</v>
      </c>
      <c r="O209" s="50">
        <f>VLOOKUP($A209,'Data shares'!$C:$FB,124)</f>
        <v>0.33</v>
      </c>
      <c r="P209" s="50">
        <f>VLOOKUP($A209,'Data shares'!$C:$FB,125)</f>
        <v>0.75</v>
      </c>
      <c r="Q209" s="50">
        <f>VLOOKUP($A209,'Data shares'!$C:$FB,127)*100</f>
        <v>-56.000000000000007</v>
      </c>
    </row>
    <row r="210" spans="1:17" x14ac:dyDescent="0.25">
      <c r="A210" s="97" t="str">
        <f>'Data Vlaue (Cr)'!C205</f>
        <v>TORNTPOWER</v>
      </c>
      <c r="B210" s="140">
        <f>VLOOKUP($A210,'Data shares'!$C:$FB,7)</f>
        <v>1737</v>
      </c>
      <c r="C210" s="140">
        <f>VLOOKUP($A210,'Data shares'!$C:$FB,3)</f>
        <v>1740.4</v>
      </c>
      <c r="D210" s="140">
        <f>VLOOKUP($A210,'Data shares'!$C:$FB,4)</f>
        <v>1657.1</v>
      </c>
      <c r="E210" s="50">
        <f t="shared" ref="E210:E217" si="18">(C210-D210)/D210*100</f>
        <v>5.0268541427795661</v>
      </c>
      <c r="F210" s="49">
        <f>VLOOKUP($A210,'Data shares'!$C:$FB,98)</f>
        <v>5952550</v>
      </c>
      <c r="G210" s="49">
        <f>VLOOKUP($A210,'Data shares'!$C:$FB,99)</f>
        <v>6019700</v>
      </c>
      <c r="H210" s="50">
        <f t="shared" ref="H210:H217" si="19">(F210-G210)/G210*100</f>
        <v>-1.1155040948884496</v>
      </c>
      <c r="I210" s="49">
        <f>VLOOKUP($A210,'Data shares'!$C:$FB,66)</f>
        <v>11896175</v>
      </c>
      <c r="J210" s="49">
        <f>VLOOKUP($A210,'Data shares'!$C:$FB,67)</f>
        <v>8576500</v>
      </c>
      <c r="K210" s="50">
        <f t="shared" ref="K210:K217" si="20">(I210-J210)/I210*100</f>
        <v>27.905398163695473</v>
      </c>
      <c r="L210" s="50">
        <f>VLOOKUP($A210,'Data shares'!$C:$FB,118)</f>
        <v>1.2</v>
      </c>
      <c r="M210" s="50">
        <f>VLOOKUP($A210,'Data shares'!$C:$FB,119)</f>
        <v>0.88</v>
      </c>
      <c r="N210" s="50">
        <f>VLOOKUP($A210,'Data shares'!$C:$FB,121)*100</f>
        <v>36.36</v>
      </c>
      <c r="O210" s="50">
        <f>VLOOKUP($A210,'Data shares'!$C:$FB,124)</f>
        <v>0.5</v>
      </c>
      <c r="P210" s="50">
        <f>VLOOKUP($A210,'Data shares'!$C:$FB,125)</f>
        <v>0.27</v>
      </c>
      <c r="Q210" s="50">
        <f>VLOOKUP($A210,'Data shares'!$C:$FB,127)*100</f>
        <v>85.19</v>
      </c>
    </row>
    <row r="211" spans="1:17" x14ac:dyDescent="0.25">
      <c r="A211" s="97" t="str">
        <f>'Data Vlaue (Cr)'!C206</f>
        <v>TRENT</v>
      </c>
      <c r="B211" s="140">
        <f>VLOOKUP($A211,'Data shares'!$C:$FB,7)</f>
        <v>4251.3999999999996</v>
      </c>
      <c r="C211" s="140">
        <f>VLOOKUP($A211,'Data shares'!$C:$FB,3)</f>
        <v>4237.8</v>
      </c>
      <c r="D211" s="140">
        <f>VLOOKUP($A211,'Data shares'!$C:$FB,4)</f>
        <v>4438.1000000000004</v>
      </c>
      <c r="E211" s="50">
        <f t="shared" si="18"/>
        <v>-4.5131925824113956</v>
      </c>
      <c r="F211" s="49">
        <f>VLOOKUP($A211,'Data shares'!$C:$FB,98)</f>
        <v>18083900</v>
      </c>
      <c r="G211" s="49">
        <f>VLOOKUP($A211,'Data shares'!$C:$FB,99)</f>
        <v>17047400</v>
      </c>
      <c r="H211" s="50">
        <f t="shared" si="19"/>
        <v>6.0801060572286678</v>
      </c>
      <c r="I211" s="49">
        <f>VLOOKUP($A211,'Data shares'!$C:$FB,66)</f>
        <v>57851800</v>
      </c>
      <c r="J211" s="49">
        <f>VLOOKUP($A211,'Data shares'!$C:$FB,67)</f>
        <v>31410900</v>
      </c>
      <c r="K211" s="50">
        <f t="shared" si="20"/>
        <v>45.704541604582744</v>
      </c>
      <c r="L211" s="50">
        <f>VLOOKUP($A211,'Data shares'!$C:$FB,118)</f>
        <v>0.56999999999999995</v>
      </c>
      <c r="M211" s="50">
        <f>VLOOKUP($A211,'Data shares'!$C:$FB,119)</f>
        <v>0.78</v>
      </c>
      <c r="N211" s="50">
        <f>VLOOKUP($A211,'Data shares'!$C:$FB,121)*100</f>
        <v>-26.919999999999998</v>
      </c>
      <c r="O211" s="50">
        <f>VLOOKUP($A211,'Data shares'!$C:$FB,124)</f>
        <v>0.56000000000000005</v>
      </c>
      <c r="P211" s="50">
        <f>VLOOKUP($A211,'Data shares'!$C:$FB,125)</f>
        <v>0.48</v>
      </c>
      <c r="Q211" s="50">
        <f>VLOOKUP($A211,'Data shares'!$C:$FB,127)*100</f>
        <v>16.669999999999998</v>
      </c>
    </row>
    <row r="212" spans="1:17" x14ac:dyDescent="0.25">
      <c r="A212" s="97" t="str">
        <f>'Data Vlaue (Cr)'!C207</f>
        <v>TVSMOTOR</v>
      </c>
      <c r="B212" s="140">
        <f>VLOOKUP($A212,'Data shares'!$C:$FB,7)</f>
        <v>3513</v>
      </c>
      <c r="C212" s="140">
        <f>VLOOKUP($A212,'Data shares'!$C:$FB,3)</f>
        <v>3513.2</v>
      </c>
      <c r="D212" s="140">
        <f>VLOOKUP($A212,'Data shares'!$C:$FB,4)</f>
        <v>3669.2</v>
      </c>
      <c r="E212" s="50">
        <f t="shared" si="18"/>
        <v>-4.2516079799411317</v>
      </c>
      <c r="F212" s="49">
        <f>VLOOKUP($A212,'Data shares'!$C:$FB,98)</f>
        <v>12668600</v>
      </c>
      <c r="G212" s="49">
        <f>VLOOKUP($A212,'Data shares'!$C:$FB,99)</f>
        <v>11799200</v>
      </c>
      <c r="H212" s="50">
        <f t="shared" si="19"/>
        <v>7.3682961556715707</v>
      </c>
      <c r="I212" s="49">
        <f>VLOOKUP($A212,'Data shares'!$C:$FB,66)</f>
        <v>14502425</v>
      </c>
      <c r="J212" s="49">
        <f>VLOOKUP($A212,'Data shares'!$C:$FB,67)</f>
        <v>4904200</v>
      </c>
      <c r="K212" s="50">
        <f t="shared" si="20"/>
        <v>66.183586538113445</v>
      </c>
      <c r="L212" s="50">
        <f>VLOOKUP($A212,'Data shares'!$C:$FB,118)</f>
        <v>0.49</v>
      </c>
      <c r="M212" s="50">
        <f>VLOOKUP($A212,'Data shares'!$C:$FB,119)</f>
        <v>0.56000000000000005</v>
      </c>
      <c r="N212" s="50">
        <f>VLOOKUP($A212,'Data shares'!$C:$FB,121)*100</f>
        <v>-12.5</v>
      </c>
      <c r="O212" s="50">
        <f>VLOOKUP($A212,'Data shares'!$C:$FB,124)</f>
        <v>0.7</v>
      </c>
      <c r="P212" s="50">
        <f>VLOOKUP($A212,'Data shares'!$C:$FB,125)</f>
        <v>0.37</v>
      </c>
      <c r="Q212" s="50">
        <f>VLOOKUP($A212,'Data shares'!$C:$FB,127)*100</f>
        <v>89.19</v>
      </c>
    </row>
    <row r="213" spans="1:17" x14ac:dyDescent="0.25">
      <c r="A213" s="97" t="str">
        <f>'Data Vlaue (Cr)'!C208</f>
        <v>ULTRACEMCO</v>
      </c>
      <c r="B213" s="140">
        <f>VLOOKUP($A213,'Data shares'!$C:$FB,7)</f>
        <v>12167</v>
      </c>
      <c r="C213" s="140">
        <f>VLOOKUP($A213,'Data shares'!$C:$FB,3)</f>
        <v>12176</v>
      </c>
      <c r="D213" s="140">
        <f>VLOOKUP($A213,'Data shares'!$C:$FB,4)</f>
        <v>12171</v>
      </c>
      <c r="E213" s="50">
        <f t="shared" si="18"/>
        <v>4.1081258729767478E-2</v>
      </c>
      <c r="F213" s="49">
        <f>VLOOKUP($A213,'Data shares'!$C:$FB,98)</f>
        <v>4346700</v>
      </c>
      <c r="G213" s="49">
        <f>VLOOKUP($A213,'Data shares'!$C:$FB,99)</f>
        <v>3951850</v>
      </c>
      <c r="H213" s="50">
        <f t="shared" si="19"/>
        <v>9.991522957602136</v>
      </c>
      <c r="I213" s="49">
        <f>VLOOKUP($A213,'Data shares'!$C:$FB,66)</f>
        <v>4624650</v>
      </c>
      <c r="J213" s="49">
        <f>VLOOKUP($A213,'Data shares'!$C:$FB,67)</f>
        <v>2796100</v>
      </c>
      <c r="K213" s="50">
        <f t="shared" si="20"/>
        <v>39.539208372525486</v>
      </c>
      <c r="L213" s="50">
        <f>VLOOKUP($A213,'Data shares'!$C:$FB,118)</f>
        <v>0.6</v>
      </c>
      <c r="M213" s="50">
        <f>VLOOKUP($A213,'Data shares'!$C:$FB,119)</f>
        <v>0.73</v>
      </c>
      <c r="N213" s="50">
        <f>VLOOKUP($A213,'Data shares'!$C:$FB,121)*100</f>
        <v>-17.810000000000002</v>
      </c>
      <c r="O213" s="50">
        <f>VLOOKUP($A213,'Data shares'!$C:$FB,124)</f>
        <v>0.9</v>
      </c>
      <c r="P213" s="50">
        <f>VLOOKUP($A213,'Data shares'!$C:$FB,125)</f>
        <v>0.54</v>
      </c>
      <c r="Q213" s="50">
        <f>VLOOKUP($A213,'Data shares'!$C:$FB,127)*100</f>
        <v>66.67</v>
      </c>
    </row>
    <row r="214" spans="1:17" x14ac:dyDescent="0.25">
      <c r="A214" s="97" t="str">
        <f>'Data Vlaue (Cr)'!C209</f>
        <v>UNIONBANK</v>
      </c>
      <c r="B214" s="140">
        <f>VLOOKUP($A214,'Data shares'!$C:$FB,7)</f>
        <v>179.71</v>
      </c>
      <c r="C214" s="140">
        <f>VLOOKUP($A214,'Data shares'!$C:$FB,3)</f>
        <v>179.4</v>
      </c>
      <c r="D214" s="140">
        <f>VLOOKUP($A214,'Data shares'!$C:$FB,4)</f>
        <v>193.31</v>
      </c>
      <c r="E214" s="50">
        <f t="shared" si="18"/>
        <v>-7.1956960322797565</v>
      </c>
      <c r="F214" s="49">
        <f>VLOOKUP($A214,'Data shares'!$C:$FB,98)</f>
        <v>242560800</v>
      </c>
      <c r="G214" s="49">
        <f>VLOOKUP($A214,'Data shares'!$C:$FB,99)</f>
        <v>209129925</v>
      </c>
      <c r="H214" s="50">
        <f t="shared" si="19"/>
        <v>15.985696451619729</v>
      </c>
      <c r="I214" s="49">
        <f>VLOOKUP($A214,'Data shares'!$C:$FB,66)</f>
        <v>853494000</v>
      </c>
      <c r="J214" s="49">
        <f>VLOOKUP($A214,'Data shares'!$C:$FB,67)</f>
        <v>236768475</v>
      </c>
      <c r="K214" s="50">
        <f t="shared" si="20"/>
        <v>72.258917461634169</v>
      </c>
      <c r="L214" s="50">
        <f>VLOOKUP($A214,'Data shares'!$C:$FB,118)</f>
        <v>0.57999999999999996</v>
      </c>
      <c r="M214" s="50">
        <f>VLOOKUP($A214,'Data shares'!$C:$FB,119)</f>
        <v>0.73</v>
      </c>
      <c r="N214" s="50">
        <f>VLOOKUP($A214,'Data shares'!$C:$FB,121)*100</f>
        <v>-20.549999999999997</v>
      </c>
      <c r="O214" s="50">
        <f>VLOOKUP($A214,'Data shares'!$C:$FB,124)</f>
        <v>0.65</v>
      </c>
      <c r="P214" s="50">
        <f>VLOOKUP($A214,'Data shares'!$C:$FB,125)</f>
        <v>0.5</v>
      </c>
      <c r="Q214" s="50">
        <f>VLOOKUP($A214,'Data shares'!$C:$FB,127)*100</f>
        <v>30</v>
      </c>
    </row>
    <row r="215" spans="1:17" x14ac:dyDescent="0.25">
      <c r="A215" s="97" t="str">
        <f>'Data Vlaue (Cr)'!C210</f>
        <v>UNITDSPR</v>
      </c>
      <c r="B215" s="140">
        <f>VLOOKUP($A215,'Data shares'!$C:$FB,7)</f>
        <v>1382.3</v>
      </c>
      <c r="C215" s="140">
        <f>VLOOKUP($A215,'Data shares'!$C:$FB,3)</f>
        <v>1380.5</v>
      </c>
      <c r="D215" s="140">
        <f>VLOOKUP($A215,'Data shares'!$C:$FB,4)</f>
        <v>1390.4</v>
      </c>
      <c r="E215" s="50">
        <f t="shared" si="18"/>
        <v>-0.71202531645570266</v>
      </c>
      <c r="F215" s="49">
        <f>VLOOKUP($A215,'Data shares'!$C:$FB,98)</f>
        <v>18763600</v>
      </c>
      <c r="G215" s="49">
        <f>VLOOKUP($A215,'Data shares'!$C:$FB,99)</f>
        <v>19058000</v>
      </c>
      <c r="H215" s="50">
        <f t="shared" si="19"/>
        <v>-1.5447581068317766</v>
      </c>
      <c r="I215" s="49">
        <f>VLOOKUP($A215,'Data shares'!$C:$FB,66)</f>
        <v>11164800</v>
      </c>
      <c r="J215" s="49">
        <f>VLOOKUP($A215,'Data shares'!$C:$FB,67)</f>
        <v>18447600</v>
      </c>
      <c r="K215" s="50">
        <f t="shared" si="20"/>
        <v>-65.230008598452287</v>
      </c>
      <c r="L215" s="50">
        <f>VLOOKUP($A215,'Data shares'!$C:$FB,118)</f>
        <v>0.93</v>
      </c>
      <c r="M215" s="50">
        <f>VLOOKUP($A215,'Data shares'!$C:$FB,119)</f>
        <v>0.9</v>
      </c>
      <c r="N215" s="50">
        <f>VLOOKUP($A215,'Data shares'!$C:$FB,121)*100</f>
        <v>3.3300000000000005</v>
      </c>
      <c r="O215" s="50">
        <f>VLOOKUP($A215,'Data shares'!$C:$FB,124)</f>
        <v>0.52</v>
      </c>
      <c r="P215" s="50">
        <f>VLOOKUP($A215,'Data shares'!$C:$FB,125)</f>
        <v>0.53</v>
      </c>
      <c r="Q215" s="50">
        <f>VLOOKUP($A215,'Data shares'!$C:$FB,127)*100</f>
        <v>-1.8900000000000001</v>
      </c>
    </row>
    <row r="216" spans="1:17" x14ac:dyDescent="0.25">
      <c r="A216" s="97" t="str">
        <f>'Data Vlaue (Cr)'!C211</f>
        <v>UNOMINDA</v>
      </c>
      <c r="B216" s="140">
        <f>VLOOKUP($A216,'Data shares'!$C:$FB,7)</f>
        <v>1130.0999999999999</v>
      </c>
      <c r="C216" s="140">
        <f>VLOOKUP($A216,'Data shares'!$C:$FB,3)</f>
        <v>1131</v>
      </c>
      <c r="D216" s="140">
        <f>VLOOKUP($A216,'Data shares'!$C:$FB,4)</f>
        <v>1149.9000000000001</v>
      </c>
      <c r="E216" s="50">
        <f t="shared" si="18"/>
        <v>-1.6436211844508295</v>
      </c>
      <c r="F216" s="49">
        <f>VLOOKUP($A216,'Data shares'!$C:$FB,98)</f>
        <v>6909100</v>
      </c>
      <c r="G216" s="49">
        <f>VLOOKUP($A216,'Data shares'!$C:$FB,99)</f>
        <v>7208300</v>
      </c>
      <c r="H216" s="50">
        <f t="shared" si="19"/>
        <v>-4.1507706394018005</v>
      </c>
      <c r="I216" s="49">
        <f>VLOOKUP($A216,'Data shares'!$C:$FB,66)</f>
        <v>5902600</v>
      </c>
      <c r="J216" s="49">
        <f>VLOOKUP($A216,'Data shares'!$C:$FB,67)</f>
        <v>2721950</v>
      </c>
      <c r="K216" s="50">
        <f t="shared" si="20"/>
        <v>53.88557584793142</v>
      </c>
      <c r="L216" s="50">
        <f>VLOOKUP($A216,'Data shares'!$C:$FB,118)</f>
        <v>0.5</v>
      </c>
      <c r="M216" s="50">
        <f>VLOOKUP($A216,'Data shares'!$C:$FB,119)</f>
        <v>0.5</v>
      </c>
      <c r="N216" s="50">
        <f>VLOOKUP($A216,'Data shares'!$C:$FB,121)*100</f>
        <v>0</v>
      </c>
      <c r="O216" s="50">
        <f>VLOOKUP($A216,'Data shares'!$C:$FB,124)</f>
        <v>0.43</v>
      </c>
      <c r="P216" s="50">
        <f>VLOOKUP($A216,'Data shares'!$C:$FB,125)</f>
        <v>0.26</v>
      </c>
      <c r="Q216" s="50">
        <f>VLOOKUP($A216,'Data shares'!$C:$FB,127)*100</f>
        <v>65.38000000000001</v>
      </c>
    </row>
    <row r="217" spans="1:17" x14ac:dyDescent="0.25">
      <c r="A217" s="97" t="str">
        <f>'Data Vlaue (Cr)'!C212</f>
        <v>UPL</v>
      </c>
      <c r="B217" s="140">
        <f>VLOOKUP($A217,'Data shares'!$C:$FB,7)</f>
        <v>642.04999999999995</v>
      </c>
      <c r="C217" s="140">
        <f>VLOOKUP($A217,'Data shares'!$C:$FB,3)</f>
        <v>641.65</v>
      </c>
      <c r="D217" s="140">
        <f>VLOOKUP($A217,'Data shares'!$C:$FB,4)</f>
        <v>655.25</v>
      </c>
      <c r="E217" s="50">
        <f t="shared" si="18"/>
        <v>-2.0755436856161804</v>
      </c>
      <c r="F217" s="49">
        <f>VLOOKUP($A217,'Data shares'!$C:$FB,98)</f>
        <v>49681075</v>
      </c>
      <c r="G217" s="49">
        <f>VLOOKUP($A217,'Data shares'!$C:$FB,99)</f>
        <v>49000865</v>
      </c>
      <c r="H217" s="50">
        <f t="shared" si="19"/>
        <v>1.388159168210602</v>
      </c>
      <c r="I217" s="49">
        <f>VLOOKUP($A217,'Data shares'!$C:$FB,66)</f>
        <v>32941405</v>
      </c>
      <c r="J217" s="49">
        <f>VLOOKUP($A217,'Data shares'!$C:$FB,67)</f>
        <v>16261355</v>
      </c>
      <c r="K217" s="50">
        <f t="shared" si="20"/>
        <v>50.635514787544736</v>
      </c>
      <c r="L217" s="50">
        <f>VLOOKUP($A217,'Data shares'!$C:$FB,118)</f>
        <v>0.77</v>
      </c>
      <c r="M217" s="50">
        <f>VLOOKUP($A217,'Data shares'!$C:$FB,119)</f>
        <v>0.75</v>
      </c>
      <c r="N217" s="50">
        <f>VLOOKUP($A217,'Data shares'!$C:$FB,121)*100</f>
        <v>2.67</v>
      </c>
      <c r="O217" s="50">
        <f>VLOOKUP($A217,'Data shares'!$C:$FB,124)</f>
        <v>0.6</v>
      </c>
      <c r="P217" s="50">
        <f>VLOOKUP($A217,'Data shares'!$C:$FB,125)</f>
        <v>0.61</v>
      </c>
      <c r="Q217" s="50">
        <f>VLOOKUP($A217,'Data shares'!$C:$FB,127)*100</f>
        <v>-1.6400000000000001</v>
      </c>
    </row>
    <row r="218" spans="1:17" x14ac:dyDescent="0.25">
      <c r="A218" s="97" t="str">
        <f>'Data Vlaue (Cr)'!C213</f>
        <v>VBL</v>
      </c>
      <c r="B218" s="140">
        <f>VLOOKUP($A218,'Data shares'!$C:$FB,7)</f>
        <v>484.25</v>
      </c>
      <c r="C218" s="140">
        <f>VLOOKUP($A218,'Data shares'!$C:$FB,3)</f>
        <v>484.85</v>
      </c>
      <c r="D218" s="140">
        <f>VLOOKUP($A218,'Data shares'!$C:$FB,4)</f>
        <v>494.25</v>
      </c>
      <c r="E218" s="50">
        <f t="shared" ref="E218:E225" si="21">(C218-D218)/D218*100</f>
        <v>-1.9018715225088472</v>
      </c>
      <c r="F218" s="49">
        <f>VLOOKUP($A218,'Data shares'!$C:$FB,98)</f>
        <v>85240125</v>
      </c>
      <c r="G218" s="49">
        <f>VLOOKUP($A218,'Data shares'!$C:$FB,99)</f>
        <v>82444500</v>
      </c>
      <c r="H218" s="50">
        <f t="shared" ref="H218:H225" si="22">(F218-G218)/G218*100</f>
        <v>3.3909175263358988</v>
      </c>
      <c r="I218" s="49">
        <f>VLOOKUP($A218,'Data shares'!$C:$FB,66)</f>
        <v>79039125</v>
      </c>
      <c r="J218" s="49">
        <f>VLOOKUP($A218,'Data shares'!$C:$FB,67)</f>
        <v>71820000</v>
      </c>
      <c r="K218" s="50">
        <f t="shared" ref="K218:K225" si="23">(I218-J218)/I218*100</f>
        <v>9.1336094624023225</v>
      </c>
      <c r="L218" s="50">
        <f>VLOOKUP($A218,'Data shares'!$C:$FB,118)</f>
        <v>0.59</v>
      </c>
      <c r="M218" s="50">
        <f>VLOOKUP($A218,'Data shares'!$C:$FB,119)</f>
        <v>0.64</v>
      </c>
      <c r="N218" s="50">
        <f>VLOOKUP($A218,'Data shares'!$C:$FB,121)*100</f>
        <v>-7.8100000000000005</v>
      </c>
      <c r="O218" s="50">
        <f>VLOOKUP($A218,'Data shares'!$C:$FB,124)</f>
        <v>0.56000000000000005</v>
      </c>
      <c r="P218" s="50">
        <f>VLOOKUP($A218,'Data shares'!$C:$FB,125)</f>
        <v>0.47</v>
      </c>
      <c r="Q218" s="50">
        <f>VLOOKUP($A218,'Data shares'!$C:$FB,127)*100</f>
        <v>19.149999999999999</v>
      </c>
    </row>
    <row r="219" spans="1:17" x14ac:dyDescent="0.25">
      <c r="A219" s="97" t="str">
        <f>'Data Vlaue (Cr)'!C214</f>
        <v>VEDL</v>
      </c>
      <c r="B219" s="140">
        <f>VLOOKUP($A219,'Data shares'!$C:$FB,7)</f>
        <v>735.6</v>
      </c>
      <c r="C219" s="140">
        <f>VLOOKUP($A219,'Data shares'!$C:$FB,3)</f>
        <v>735.5</v>
      </c>
      <c r="D219" s="140">
        <f>VLOOKUP($A219,'Data shares'!$C:$FB,4)</f>
        <v>758.65</v>
      </c>
      <c r="E219" s="50">
        <f t="shared" si="21"/>
        <v>-3.0514730112700161</v>
      </c>
      <c r="F219" s="49">
        <f>VLOOKUP($A219,'Data shares'!$C:$FB,98)</f>
        <v>136143900</v>
      </c>
      <c r="G219" s="49">
        <f>VLOOKUP($A219,'Data shares'!$C:$FB,99)</f>
        <v>134344150</v>
      </c>
      <c r="H219" s="50">
        <f t="shared" si="22"/>
        <v>1.3396563973943041</v>
      </c>
      <c r="I219" s="49">
        <f>VLOOKUP($A219,'Data shares'!$C:$FB,66)</f>
        <v>170455300</v>
      </c>
      <c r="J219" s="49">
        <f>VLOOKUP($A219,'Data shares'!$C:$FB,67)</f>
        <v>148534000</v>
      </c>
      <c r="K219" s="50">
        <f t="shared" si="23"/>
        <v>12.860439071123045</v>
      </c>
      <c r="L219" s="50">
        <f>VLOOKUP($A219,'Data shares'!$C:$FB,118)</f>
        <v>0.62</v>
      </c>
      <c r="M219" s="50">
        <f>VLOOKUP($A219,'Data shares'!$C:$FB,119)</f>
        <v>0.74</v>
      </c>
      <c r="N219" s="50">
        <f>VLOOKUP($A219,'Data shares'!$C:$FB,121)*100</f>
        <v>-16.220000000000002</v>
      </c>
      <c r="O219" s="50">
        <f>VLOOKUP($A219,'Data shares'!$C:$FB,124)</f>
        <v>0.51</v>
      </c>
      <c r="P219" s="50">
        <f>VLOOKUP($A219,'Data shares'!$C:$FB,125)</f>
        <v>0.56999999999999995</v>
      </c>
      <c r="Q219" s="50">
        <f>VLOOKUP($A219,'Data shares'!$C:$FB,127)*100</f>
        <v>-10.530000000000001</v>
      </c>
    </row>
    <row r="220" spans="1:17" x14ac:dyDescent="0.25">
      <c r="A220" s="97" t="str">
        <f>'Data Vlaue (Cr)'!C215</f>
        <v>VMM</v>
      </c>
      <c r="B220" s="140">
        <f>VLOOKUP($A220,'Data shares'!$C:$FB,7)</f>
        <v>126.16</v>
      </c>
      <c r="C220" s="140">
        <f>VLOOKUP($A220,'Data shares'!$C:$FB,3)</f>
        <v>126.22</v>
      </c>
      <c r="D220" s="140">
        <f>VLOOKUP($A220,'Data shares'!$C:$FB,4)</f>
        <v>124.35</v>
      </c>
      <c r="E220" s="50">
        <f t="shared" si="21"/>
        <v>1.5038198632891071</v>
      </c>
      <c r="F220" s="49">
        <f>VLOOKUP($A220,'Data shares'!$C:$FB,98)</f>
        <v>43281400</v>
      </c>
      <c r="G220" s="49">
        <f>VLOOKUP($A220,'Data shares'!$C:$FB,99)</f>
        <v>43325050</v>
      </c>
      <c r="H220" s="50">
        <f t="shared" si="22"/>
        <v>-0.10075002798611889</v>
      </c>
      <c r="I220" s="49">
        <f>VLOOKUP($A220,'Data shares'!$C:$FB,66)</f>
        <v>37248000</v>
      </c>
      <c r="J220" s="49">
        <f>VLOOKUP($A220,'Data shares'!$C:$FB,67)</f>
        <v>12469350</v>
      </c>
      <c r="K220" s="50">
        <f t="shared" si="23"/>
        <v>66.5234375</v>
      </c>
      <c r="L220" s="50">
        <f>VLOOKUP($A220,'Data shares'!$C:$FB,118)</f>
        <v>0.51</v>
      </c>
      <c r="M220" s="50">
        <f>VLOOKUP($A220,'Data shares'!$C:$FB,119)</f>
        <v>0.48</v>
      </c>
      <c r="N220" s="50">
        <f>VLOOKUP($A220,'Data shares'!$C:$FB,121)*100</f>
        <v>6.25</v>
      </c>
      <c r="O220" s="50">
        <f>VLOOKUP($A220,'Data shares'!$C:$FB,124)</f>
        <v>0.19</v>
      </c>
      <c r="P220" s="50">
        <f>VLOOKUP($A220,'Data shares'!$C:$FB,125)</f>
        <v>0.43</v>
      </c>
      <c r="Q220" s="50">
        <f>VLOOKUP($A220,'Data shares'!$C:$FB,127)*100</f>
        <v>-55.81</v>
      </c>
    </row>
    <row r="221" spans="1:17" x14ac:dyDescent="0.25">
      <c r="A221" s="97" t="str">
        <f>'Data Vlaue (Cr)'!C216</f>
        <v>VOLTAS</v>
      </c>
      <c r="B221" s="140">
        <f>VLOOKUP($A221,'Data shares'!$C:$FB,7)</f>
        <v>1445.5</v>
      </c>
      <c r="C221" s="140">
        <f>VLOOKUP($A221,'Data shares'!$C:$FB,3)</f>
        <v>1443.4</v>
      </c>
      <c r="D221" s="140">
        <f>VLOOKUP($A221,'Data shares'!$C:$FB,4)</f>
        <v>1477</v>
      </c>
      <c r="E221" s="50">
        <f t="shared" si="21"/>
        <v>-2.2748815165876719</v>
      </c>
      <c r="F221" s="49">
        <f>VLOOKUP($A221,'Data shares'!$C:$FB,98)</f>
        <v>19543125</v>
      </c>
      <c r="G221" s="49">
        <f>VLOOKUP($A221,'Data shares'!$C:$FB,99)</f>
        <v>21279000</v>
      </c>
      <c r="H221" s="50">
        <f t="shared" si="22"/>
        <v>-8.1576906809530509</v>
      </c>
      <c r="I221" s="49">
        <f>VLOOKUP($A221,'Data shares'!$C:$FB,66)</f>
        <v>22330875</v>
      </c>
      <c r="J221" s="49">
        <f>VLOOKUP($A221,'Data shares'!$C:$FB,67)</f>
        <v>20867625</v>
      </c>
      <c r="K221" s="50">
        <f t="shared" si="23"/>
        <v>6.5525869452047898</v>
      </c>
      <c r="L221" s="50">
        <f>VLOOKUP($A221,'Data shares'!$C:$FB,118)</f>
        <v>0.88</v>
      </c>
      <c r="M221" s="50">
        <f>VLOOKUP($A221,'Data shares'!$C:$FB,119)</f>
        <v>0.91</v>
      </c>
      <c r="N221" s="50">
        <f>VLOOKUP($A221,'Data shares'!$C:$FB,121)*100</f>
        <v>-3.3000000000000003</v>
      </c>
      <c r="O221" s="50">
        <f>VLOOKUP($A221,'Data shares'!$C:$FB,124)</f>
        <v>0.84</v>
      </c>
      <c r="P221" s="50">
        <f>VLOOKUP($A221,'Data shares'!$C:$FB,125)</f>
        <v>0.6</v>
      </c>
      <c r="Q221" s="50">
        <f>VLOOKUP($A221,'Data shares'!$C:$FB,127)*100</f>
        <v>40</v>
      </c>
    </row>
    <row r="222" spans="1:17" x14ac:dyDescent="0.25">
      <c r="A222" s="97" t="str">
        <f>'Data Vlaue (Cr)'!C217</f>
        <v>WAAREEENER</v>
      </c>
      <c r="B222" s="140">
        <f>VLOOKUP($A222,'Data shares'!$C:$FB,7)</f>
        <v>3413</v>
      </c>
      <c r="C222" s="140">
        <f>VLOOKUP($A222,'Data shares'!$C:$FB,3)</f>
        <v>3416.1</v>
      </c>
      <c r="D222" s="140">
        <f>VLOOKUP($A222,'Data shares'!$C:$FB,4)</f>
        <v>3435.8</v>
      </c>
      <c r="E222" s="50">
        <f t="shared" si="21"/>
        <v>-0.5733744688282284</v>
      </c>
      <c r="F222" s="49">
        <f>VLOOKUP($A222,'Data shares'!$C:$FB,98)</f>
        <v>8922025</v>
      </c>
      <c r="G222" s="49">
        <f>VLOOKUP($A222,'Data shares'!$C:$FB,99)</f>
        <v>8754900</v>
      </c>
      <c r="H222" s="50">
        <f t="shared" si="22"/>
        <v>1.908930998640761</v>
      </c>
      <c r="I222" s="49">
        <f>VLOOKUP($A222,'Data shares'!$C:$FB,66)</f>
        <v>9905875</v>
      </c>
      <c r="J222" s="49">
        <f>VLOOKUP($A222,'Data shares'!$C:$FB,67)</f>
        <v>8952650</v>
      </c>
      <c r="K222" s="50">
        <f t="shared" si="23"/>
        <v>9.6228248387951592</v>
      </c>
      <c r="L222" s="50">
        <f>VLOOKUP($A222,'Data shares'!$C:$FB,118)</f>
        <v>0.78</v>
      </c>
      <c r="M222" s="50">
        <f>VLOOKUP($A222,'Data shares'!$C:$FB,119)</f>
        <v>0.69</v>
      </c>
      <c r="N222" s="50">
        <f>VLOOKUP($A222,'Data shares'!$C:$FB,121)*100</f>
        <v>13.04</v>
      </c>
      <c r="O222" s="50">
        <f>VLOOKUP($A222,'Data shares'!$C:$FB,124)</f>
        <v>0.61</v>
      </c>
      <c r="P222" s="50">
        <f>VLOOKUP($A222,'Data shares'!$C:$FB,125)</f>
        <v>0.57999999999999996</v>
      </c>
      <c r="Q222" s="50">
        <f>VLOOKUP($A222,'Data shares'!$C:$FB,127)*100</f>
        <v>5.17</v>
      </c>
    </row>
    <row r="223" spans="1:17" x14ac:dyDescent="0.25">
      <c r="A223" s="97" t="str">
        <f>'Data Vlaue (Cr)'!C218</f>
        <v>WIPRO</v>
      </c>
      <c r="B223" s="140">
        <f>VLOOKUP($A223,'Data shares'!$C:$FB,7)</f>
        <v>202.76</v>
      </c>
      <c r="C223" s="140">
        <f>VLOOKUP($A223,'Data shares'!$C:$FB,3)</f>
        <v>202.85</v>
      </c>
      <c r="D223" s="140">
        <f>VLOOKUP($A223,'Data shares'!$C:$FB,4)</f>
        <v>203.81</v>
      </c>
      <c r="E223" s="50">
        <f t="shared" si="21"/>
        <v>-0.47102693685295521</v>
      </c>
      <c r="F223" s="49">
        <f>VLOOKUP($A223,'Data shares'!$C:$FB,98)</f>
        <v>552855000</v>
      </c>
      <c r="G223" s="49">
        <f>VLOOKUP($A223,'Data shares'!$C:$FB,99)</f>
        <v>586752000</v>
      </c>
      <c r="H223" s="50">
        <f t="shared" si="22"/>
        <v>-5.7770574280104716</v>
      </c>
      <c r="I223" s="49">
        <f>VLOOKUP($A223,'Data shares'!$C:$FB,66)</f>
        <v>401520000</v>
      </c>
      <c r="J223" s="49">
        <f>VLOOKUP($A223,'Data shares'!$C:$FB,67)</f>
        <v>376407000</v>
      </c>
      <c r="K223" s="50">
        <f t="shared" si="23"/>
        <v>6.2544829647340112</v>
      </c>
      <c r="L223" s="50">
        <f>VLOOKUP($A223,'Data shares'!$C:$FB,118)</f>
        <v>0.51</v>
      </c>
      <c r="M223" s="50">
        <f>VLOOKUP($A223,'Data shares'!$C:$FB,119)</f>
        <v>0.54</v>
      </c>
      <c r="N223" s="50">
        <f>VLOOKUP($A223,'Data shares'!$C:$FB,121)*100</f>
        <v>-5.56</v>
      </c>
      <c r="O223" s="50">
        <f>VLOOKUP($A223,'Data shares'!$C:$FB,124)</f>
        <v>0.59</v>
      </c>
      <c r="P223" s="50">
        <f>VLOOKUP($A223,'Data shares'!$C:$FB,125)</f>
        <v>0.57999999999999996</v>
      </c>
      <c r="Q223" s="50">
        <f>VLOOKUP($A223,'Data shares'!$C:$FB,127)*100</f>
        <v>1.72</v>
      </c>
    </row>
    <row r="224" spans="1:17" x14ac:dyDescent="0.25">
      <c r="A224" s="97" t="str">
        <f>'Data Vlaue (Cr)'!C219</f>
        <v>YESBANK</v>
      </c>
      <c r="B224" s="140">
        <f>VLOOKUP($A224,'Data shares'!$C:$FB,7)</f>
        <v>20.03</v>
      </c>
      <c r="C224" s="140">
        <f>VLOOKUP($A224,'Data shares'!$C:$FB,3)</f>
        <v>20</v>
      </c>
      <c r="D224" s="140">
        <f>VLOOKUP($A224,'Data shares'!$C:$FB,4)</f>
        <v>20</v>
      </c>
      <c r="E224" s="50">
        <f t="shared" si="21"/>
        <v>0</v>
      </c>
      <c r="F224" s="49">
        <f>VLOOKUP($A224,'Data shares'!$C:$FB,98)</f>
        <v>2299440700</v>
      </c>
      <c r="G224" s="49">
        <f>VLOOKUP($A224,'Data shares'!$C:$FB,99)</f>
        <v>2334739200</v>
      </c>
      <c r="H224" s="50">
        <f t="shared" si="22"/>
        <v>-1.5118819266837169</v>
      </c>
      <c r="I224" s="49">
        <f>VLOOKUP($A224,'Data shares'!$C:$FB,66)</f>
        <v>1221203700</v>
      </c>
      <c r="J224" s="49">
        <f>VLOOKUP($A224,'Data shares'!$C:$FB,67)</f>
        <v>1078392500</v>
      </c>
      <c r="K224" s="50">
        <f t="shared" si="23"/>
        <v>11.694298011052538</v>
      </c>
      <c r="L224" s="50">
        <f>VLOOKUP($A224,'Data shares'!$C:$FB,118)</f>
        <v>0.53</v>
      </c>
      <c r="M224" s="50">
        <f>VLOOKUP($A224,'Data shares'!$C:$FB,119)</f>
        <v>0.52</v>
      </c>
      <c r="N224" s="50">
        <f>VLOOKUP($A224,'Data shares'!$C:$FB,121)*100</f>
        <v>1.92</v>
      </c>
      <c r="O224" s="50">
        <f>VLOOKUP($A224,'Data shares'!$C:$FB,124)</f>
        <v>0.45</v>
      </c>
      <c r="P224" s="50">
        <f>VLOOKUP($A224,'Data shares'!$C:$FB,125)</f>
        <v>0.31</v>
      </c>
      <c r="Q224" s="50">
        <f>VLOOKUP($A224,'Data shares'!$C:$FB,127)*100</f>
        <v>45.16</v>
      </c>
    </row>
    <row r="225" spans="1:17" x14ac:dyDescent="0.25">
      <c r="A225" s="97" t="str">
        <f>'Data Vlaue (Cr)'!C220</f>
        <v>ZYDUSLIFE</v>
      </c>
      <c r="B225" s="140">
        <f>VLOOKUP($A225,'Data shares'!$C:$FB,7)</f>
        <v>946.35</v>
      </c>
      <c r="C225" s="140">
        <f>VLOOKUP($A225,'Data shares'!$C:$FB,3)</f>
        <v>946.55</v>
      </c>
      <c r="D225" s="140">
        <f>VLOOKUP($A225,'Data shares'!$C:$FB,4)</f>
        <v>930.55</v>
      </c>
      <c r="E225" s="50">
        <f t="shared" si="21"/>
        <v>1.7194132502283597</v>
      </c>
      <c r="F225" s="49">
        <f>VLOOKUP($A225,'Data shares'!$C:$FB,98)</f>
        <v>16158600</v>
      </c>
      <c r="G225" s="49">
        <f>VLOOKUP($A225,'Data shares'!$C:$FB,99)</f>
        <v>15008400</v>
      </c>
      <c r="H225" s="50">
        <f t="shared" si="22"/>
        <v>7.6637083233389305</v>
      </c>
      <c r="I225" s="49">
        <f>VLOOKUP($A225,'Data shares'!$C:$FB,66)</f>
        <v>31648500</v>
      </c>
      <c r="J225" s="49">
        <f>VLOOKUP($A225,'Data shares'!$C:$FB,67)</f>
        <v>5025600</v>
      </c>
      <c r="K225" s="50">
        <f t="shared" si="23"/>
        <v>84.120574434807338</v>
      </c>
      <c r="L225" s="50">
        <f>VLOOKUP($A225,'Data shares'!$C:$FB,118)</f>
        <v>0.79</v>
      </c>
      <c r="M225" s="50">
        <f>VLOOKUP($A225,'Data shares'!$C:$FB,119)</f>
        <v>0.74</v>
      </c>
      <c r="N225" s="50">
        <f>VLOOKUP($A225,'Data shares'!$C:$FB,121)*100</f>
        <v>6.76</v>
      </c>
      <c r="O225" s="50">
        <f>VLOOKUP($A225,'Data shares'!$C:$FB,124)</f>
        <v>0.25</v>
      </c>
      <c r="P225" s="50">
        <f>VLOOKUP($A225,'Data shares'!$C:$FB,125)</f>
        <v>0.26</v>
      </c>
      <c r="Q225" s="50">
        <f>VLOOKUP($A225,'Data shares'!$C:$FB,127)*100</f>
        <v>-3.85</v>
      </c>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7"/>
      <c r="B230" s="140"/>
      <c r="C230" s="140"/>
      <c r="D230" s="140"/>
      <c r="E230" s="50"/>
      <c r="F230" s="49"/>
      <c r="G230" s="49"/>
      <c r="H230" s="50"/>
      <c r="I230" s="49"/>
      <c r="J230" s="49"/>
      <c r="K230" s="50"/>
      <c r="L230" s="50"/>
      <c r="M230" s="50"/>
      <c r="N230" s="50"/>
      <c r="O230" s="50"/>
      <c r="P230" s="50"/>
      <c r="Q230" s="50"/>
    </row>
    <row r="231" spans="1:17" x14ac:dyDescent="0.25">
      <c r="A231" s="97"/>
      <c r="B231" s="140"/>
      <c r="C231" s="140"/>
      <c r="D231" s="140"/>
      <c r="E231" s="50"/>
      <c r="F231" s="49"/>
      <c r="G231" s="49"/>
      <c r="H231" s="50"/>
      <c r="I231" s="49"/>
      <c r="J231" s="49"/>
      <c r="K231" s="50"/>
      <c r="L231" s="50"/>
      <c r="M231" s="50"/>
      <c r="N231" s="50"/>
      <c r="O231" s="50"/>
      <c r="P231" s="50"/>
      <c r="Q231" s="50"/>
    </row>
    <row r="232" spans="1:17" x14ac:dyDescent="0.25">
      <c r="A232" s="97"/>
      <c r="B232" s="140"/>
      <c r="C232" s="140"/>
      <c r="D232" s="140"/>
      <c r="E232" s="50"/>
      <c r="F232" s="49"/>
      <c r="G232" s="49"/>
      <c r="H232" s="50"/>
      <c r="I232" s="49"/>
      <c r="J232" s="49"/>
      <c r="K232" s="50"/>
      <c r="L232" s="50"/>
      <c r="M232" s="50"/>
      <c r="N232" s="50"/>
      <c r="O232" s="50"/>
      <c r="P232" s="50"/>
      <c r="Q232" s="50"/>
    </row>
    <row r="233" spans="1:17" x14ac:dyDescent="0.25">
      <c r="A233" s="97"/>
      <c r="B233" s="140"/>
      <c r="C233" s="140"/>
      <c r="D233" s="140"/>
      <c r="E233" s="50"/>
      <c r="F233" s="49"/>
      <c r="G233" s="49"/>
      <c r="H233" s="50"/>
      <c r="I233" s="49"/>
      <c r="J233" s="49"/>
      <c r="K233" s="50"/>
      <c r="L233" s="50"/>
      <c r="M233" s="50"/>
      <c r="N233" s="50"/>
      <c r="O233" s="50"/>
      <c r="P233" s="50"/>
      <c r="Q233" s="50"/>
    </row>
    <row r="234" spans="1:17" x14ac:dyDescent="0.25">
      <c r="A234" s="97"/>
      <c r="B234" s="140"/>
      <c r="C234" s="140"/>
      <c r="D234" s="140"/>
      <c r="E234" s="50"/>
      <c r="F234" s="49"/>
      <c r="G234" s="49"/>
      <c r="H234" s="50"/>
      <c r="I234" s="49"/>
      <c r="J234" s="49"/>
      <c r="K234" s="50"/>
      <c r="L234" s="50"/>
      <c r="M234" s="50"/>
      <c r="N234" s="50"/>
      <c r="O234" s="50"/>
      <c r="P234" s="50"/>
      <c r="Q234" s="50"/>
    </row>
    <row r="235" spans="1:17" x14ac:dyDescent="0.25">
      <c r="A235" s="98"/>
      <c r="B235" s="17"/>
      <c r="C235" s="17"/>
      <c r="D235" s="17"/>
      <c r="E235" s="17"/>
      <c r="F235" s="17"/>
      <c r="G235" s="17"/>
      <c r="H235" s="17"/>
      <c r="I235" s="17"/>
      <c r="J235" s="17"/>
      <c r="K235" s="17"/>
      <c r="L235" s="17"/>
      <c r="M235" s="17"/>
      <c r="N235" s="17"/>
      <c r="O235" s="17"/>
      <c r="P235" s="17"/>
      <c r="Q235" s="17"/>
    </row>
    <row r="236" spans="1:17" s="64" customFormat="1" x14ac:dyDescent="0.25">
      <c r="A236" s="264" t="s">
        <v>391</v>
      </c>
      <c r="B236" s="264"/>
      <c r="C236" s="264"/>
      <c r="D236" s="264"/>
      <c r="E236" s="264"/>
      <c r="F236" s="113">
        <f>SUM(F7:F221)</f>
        <v>25042581976</v>
      </c>
      <c r="G236" s="113">
        <f>SUM(G7:G223)</f>
        <v>25507421579</v>
      </c>
      <c r="H236" s="114">
        <f>(F236-G236)/G236*100</f>
        <v>-1.8223700171353177</v>
      </c>
      <c r="I236" s="113">
        <f>SUM(I7:I222)</f>
        <v>20295796259</v>
      </c>
      <c r="J236" s="113">
        <f>SUM(J7:J223)</f>
        <v>17343121180</v>
      </c>
      <c r="K236" s="114">
        <f>(I236-J236)/J236*100</f>
        <v>17.025050153054401</v>
      </c>
      <c r="L236" s="113"/>
      <c r="M236" s="113"/>
      <c r="N236" s="113"/>
      <c r="O236" s="113"/>
      <c r="P236" s="264"/>
      <c r="Q236" s="264"/>
    </row>
    <row r="237" spans="1:17" s="64" customFormat="1" x14ac:dyDescent="0.25">
      <c r="A237" s="264" t="s">
        <v>398</v>
      </c>
      <c r="B237" s="264"/>
      <c r="C237" s="264"/>
      <c r="D237" s="264"/>
      <c r="E237" s="264"/>
      <c r="F237" s="113">
        <f>F236/10000000</f>
        <v>2504.2581976000001</v>
      </c>
      <c r="G237" s="113">
        <f>G236/10000000</f>
        <v>2550.7421579000002</v>
      </c>
      <c r="H237" s="114">
        <f>(F237-G237)/G237*100</f>
        <v>-1.8223700171353188</v>
      </c>
      <c r="I237" s="113">
        <f>I236/10000000</f>
        <v>2029.5796259000001</v>
      </c>
      <c r="J237" s="113">
        <f>J236/10000000</f>
        <v>1734.3121180000001</v>
      </c>
      <c r="K237" s="114">
        <f>(I237-J237)/J237*100</f>
        <v>17.025050153054401</v>
      </c>
      <c r="L237" s="113"/>
      <c r="M237" s="113"/>
      <c r="N237" s="113"/>
      <c r="O237" s="113"/>
      <c r="P237" s="264"/>
      <c r="Q237" s="264"/>
    </row>
  </sheetData>
  <mergeCells count="15">
    <mergeCell ref="A237:E237"/>
    <mergeCell ref="P236:Q236"/>
    <mergeCell ref="P237:Q237"/>
    <mergeCell ref="A236:E236"/>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N14" sqref="N14"/>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(Value)'!H155</f>
        <v>1105967</v>
      </c>
      <c r="C3" s="159">
        <f>'OI(Volume)'!G151</f>
        <v>-2E-3</v>
      </c>
      <c r="D3" s="153">
        <f>'Snapshot (Value)'!P151</f>
        <v>0.54</v>
      </c>
      <c r="E3" s="153">
        <f>'Snapshot (Value)'!R151</f>
        <v>0.63</v>
      </c>
      <c r="F3" s="153">
        <f>IV!E151</f>
        <v>17.66</v>
      </c>
      <c r="G3" s="153">
        <f>IV!B151</f>
        <v>18.309999999999999</v>
      </c>
      <c r="H3" s="153">
        <f>'Snapshot (Value)'!C155</f>
        <v>24173.05</v>
      </c>
      <c r="I3" s="153">
        <f>'Snapshot (Value)'!D155</f>
        <v>24163</v>
      </c>
      <c r="J3" s="153">
        <f>'Snapshot (Value)'!E155</f>
        <v>24381.200000000001</v>
      </c>
      <c r="K3" s="153">
        <f>(I3-H3)</f>
        <v>-10.049999999999272</v>
      </c>
      <c r="L3" s="232">
        <f>'Data Vlaue (Cr)'!V146</f>
        <v>24410.6</v>
      </c>
    </row>
    <row r="4" spans="1:12" x14ac:dyDescent="0.25">
      <c r="A4" t="s">
        <v>464</v>
      </c>
      <c r="B4" s="154">
        <f>'Snapshot (Value)'!H38</f>
        <v>254366</v>
      </c>
      <c r="C4" s="159">
        <f>'OI(Volume)'!G34</f>
        <v>3.0300000000000001E-2</v>
      </c>
      <c r="D4" s="153">
        <f>'Snapshot (Value)'!P38</f>
        <v>0.91</v>
      </c>
      <c r="E4" s="153">
        <f>'Snapshot (Value)'!R38</f>
        <v>0.89</v>
      </c>
      <c r="F4" s="153">
        <f>IV!E34</f>
        <v>21.34</v>
      </c>
      <c r="G4" s="153">
        <f>IV!B34</f>
        <v>19.52</v>
      </c>
      <c r="H4" s="153">
        <f>'Snapshot (Value)'!C38</f>
        <v>56305</v>
      </c>
      <c r="I4" s="153">
        <f>'Snapshot (Value)'!D38</f>
        <v>56344.2</v>
      </c>
      <c r="J4" s="153">
        <f>'Snapshot (Value)'!E38</f>
        <v>57147</v>
      </c>
      <c r="K4" s="153">
        <f>(I4-H4)</f>
        <v>39.19999999999709</v>
      </c>
      <c r="L4" s="232">
        <f>'Data Vlaue (Cr)'!V29</f>
        <v>56810.2</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559</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8" t="s">
        <v>393</v>
      </c>
      <c r="B1" s="330" t="s">
        <v>631</v>
      </c>
      <c r="C1" s="331"/>
      <c r="D1" s="332"/>
      <c r="E1" s="333" t="s">
        <v>632</v>
      </c>
      <c r="F1" s="334"/>
      <c r="G1" s="335"/>
      <c r="H1" s="336" t="s">
        <v>633</v>
      </c>
      <c r="I1" s="337"/>
      <c r="J1" s="338"/>
      <c r="K1" s="339" t="s">
        <v>634</v>
      </c>
      <c r="L1" s="340"/>
      <c r="M1" s="341"/>
    </row>
    <row r="2" spans="1:13" ht="26.25" thickBot="1" x14ac:dyDescent="0.25">
      <c r="A2" s="329"/>
      <c r="B2" s="201" t="s">
        <v>635</v>
      </c>
      <c r="C2" s="201" t="s">
        <v>636</v>
      </c>
      <c r="D2" s="201" t="s">
        <v>369</v>
      </c>
      <c r="E2" s="202" t="s">
        <v>635</v>
      </c>
      <c r="F2" s="202" t="s">
        <v>636</v>
      </c>
      <c r="G2" s="202" t="s">
        <v>369</v>
      </c>
      <c r="H2" s="203" t="s">
        <v>635</v>
      </c>
      <c r="I2" s="203" t="s">
        <v>636</v>
      </c>
      <c r="J2" s="203" t="s">
        <v>369</v>
      </c>
      <c r="K2" s="204" t="s">
        <v>635</v>
      </c>
      <c r="L2" s="204" t="s">
        <v>636</v>
      </c>
      <c r="M2" s="204" t="s">
        <v>369</v>
      </c>
    </row>
    <row r="3" spans="1:13" x14ac:dyDescent="0.2">
      <c r="A3" s="205" t="s">
        <v>637</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638</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639</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8" t="s">
        <v>640</v>
      </c>
      <c r="B6" s="330" t="s">
        <v>631</v>
      </c>
      <c r="C6" s="331"/>
      <c r="D6" s="332"/>
      <c r="E6" s="333" t="s">
        <v>632</v>
      </c>
      <c r="F6" s="334"/>
      <c r="G6" s="335"/>
      <c r="H6" s="336" t="s">
        <v>633</v>
      </c>
      <c r="I6" s="337"/>
      <c r="J6" s="338"/>
      <c r="K6" s="339" t="s">
        <v>634</v>
      </c>
      <c r="L6" s="340"/>
      <c r="M6" s="341"/>
    </row>
    <row r="7" spans="1:13" ht="26.25" thickBot="1" x14ac:dyDescent="0.25">
      <c r="A7" s="329"/>
      <c r="B7" s="201" t="s">
        <v>635</v>
      </c>
      <c r="C7" s="201" t="s">
        <v>636</v>
      </c>
      <c r="D7" s="201" t="s">
        <v>369</v>
      </c>
      <c r="E7" s="202" t="s">
        <v>635</v>
      </c>
      <c r="F7" s="202" t="s">
        <v>636</v>
      </c>
      <c r="G7" s="202" t="s">
        <v>369</v>
      </c>
      <c r="H7" s="203" t="s">
        <v>635</v>
      </c>
      <c r="I7" s="203" t="s">
        <v>636</v>
      </c>
      <c r="J7" s="203" t="s">
        <v>369</v>
      </c>
      <c r="K7" s="204" t="s">
        <v>635</v>
      </c>
      <c r="L7" s="204" t="s">
        <v>636</v>
      </c>
      <c r="M7" s="204" t="s">
        <v>369</v>
      </c>
    </row>
    <row r="8" spans="1:13" x14ac:dyDescent="0.2">
      <c r="A8" s="205" t="s">
        <v>637</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638</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639</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8" t="s">
        <v>641</v>
      </c>
      <c r="B11" s="330" t="s">
        <v>631</v>
      </c>
      <c r="C11" s="331"/>
      <c r="D11" s="332"/>
      <c r="E11" s="333" t="s">
        <v>632</v>
      </c>
      <c r="F11" s="334"/>
      <c r="G11" s="335"/>
      <c r="H11" s="336" t="s">
        <v>633</v>
      </c>
      <c r="I11" s="337"/>
      <c r="J11" s="338"/>
      <c r="K11" s="339" t="s">
        <v>634</v>
      </c>
      <c r="L11" s="340"/>
      <c r="M11" s="341"/>
    </row>
    <row r="12" spans="1:13" ht="26.25" thickBot="1" x14ac:dyDescent="0.25">
      <c r="A12" s="329"/>
      <c r="B12" s="201" t="s">
        <v>635</v>
      </c>
      <c r="C12" s="201" t="s">
        <v>636</v>
      </c>
      <c r="D12" s="201" t="s">
        <v>369</v>
      </c>
      <c r="E12" s="202" t="s">
        <v>635</v>
      </c>
      <c r="F12" s="202" t="s">
        <v>636</v>
      </c>
      <c r="G12" s="202" t="s">
        <v>369</v>
      </c>
      <c r="H12" s="203" t="s">
        <v>635</v>
      </c>
      <c r="I12" s="203" t="s">
        <v>636</v>
      </c>
      <c r="J12" s="203" t="s">
        <v>369</v>
      </c>
      <c r="K12" s="204" t="s">
        <v>635</v>
      </c>
      <c r="L12" s="204" t="s">
        <v>636</v>
      </c>
      <c r="M12" s="204" t="s">
        <v>369</v>
      </c>
    </row>
    <row r="13" spans="1:13" x14ac:dyDescent="0.2">
      <c r="A13" s="205" t="s">
        <v>637</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638</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639</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8" t="s">
        <v>395</v>
      </c>
      <c r="B16" s="330" t="s">
        <v>631</v>
      </c>
      <c r="C16" s="331"/>
      <c r="D16" s="332"/>
      <c r="E16" s="333" t="s">
        <v>632</v>
      </c>
      <c r="F16" s="334"/>
      <c r="G16" s="335"/>
      <c r="H16" s="336" t="s">
        <v>633</v>
      </c>
      <c r="I16" s="337"/>
      <c r="J16" s="338"/>
      <c r="K16" s="339" t="s">
        <v>634</v>
      </c>
      <c r="L16" s="340"/>
      <c r="M16" s="341"/>
    </row>
    <row r="17" spans="1:13" ht="26.25" thickBot="1" x14ac:dyDescent="0.25">
      <c r="A17" s="329"/>
      <c r="B17" s="201" t="s">
        <v>635</v>
      </c>
      <c r="C17" s="201" t="s">
        <v>636</v>
      </c>
      <c r="D17" s="201" t="s">
        <v>369</v>
      </c>
      <c r="E17" s="202" t="s">
        <v>635</v>
      </c>
      <c r="F17" s="202" t="s">
        <v>636</v>
      </c>
      <c r="G17" s="202" t="s">
        <v>369</v>
      </c>
      <c r="H17" s="203" t="s">
        <v>635</v>
      </c>
      <c r="I17" s="203" t="s">
        <v>636</v>
      </c>
      <c r="J17" s="203" t="s">
        <v>369</v>
      </c>
      <c r="K17" s="204" t="s">
        <v>635</v>
      </c>
      <c r="L17" s="204" t="s">
        <v>636</v>
      </c>
      <c r="M17" s="204" t="s">
        <v>369</v>
      </c>
    </row>
    <row r="18" spans="1:13" x14ac:dyDescent="0.2">
      <c r="A18" s="205" t="s">
        <v>637</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638</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639</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8" t="s">
        <v>642</v>
      </c>
      <c r="B21" s="330" t="s">
        <v>631</v>
      </c>
      <c r="C21" s="331"/>
      <c r="D21" s="332"/>
      <c r="E21" s="333" t="s">
        <v>632</v>
      </c>
      <c r="F21" s="334"/>
      <c r="G21" s="335"/>
      <c r="H21" s="336" t="s">
        <v>633</v>
      </c>
      <c r="I21" s="337"/>
      <c r="J21" s="338"/>
      <c r="K21" s="339" t="s">
        <v>634</v>
      </c>
      <c r="L21" s="340"/>
      <c r="M21" s="341"/>
    </row>
    <row r="22" spans="1:13" ht="26.25" thickBot="1" x14ac:dyDescent="0.25">
      <c r="A22" s="329"/>
      <c r="B22" s="201" t="s">
        <v>635</v>
      </c>
      <c r="C22" s="201" t="s">
        <v>636</v>
      </c>
      <c r="D22" s="201" t="s">
        <v>369</v>
      </c>
      <c r="E22" s="202" t="s">
        <v>635</v>
      </c>
      <c r="F22" s="202" t="s">
        <v>636</v>
      </c>
      <c r="G22" s="202" t="s">
        <v>369</v>
      </c>
      <c r="H22" s="203" t="s">
        <v>635</v>
      </c>
      <c r="I22" s="203" t="s">
        <v>636</v>
      </c>
      <c r="J22" s="203" t="s">
        <v>369</v>
      </c>
      <c r="K22" s="204" t="s">
        <v>635</v>
      </c>
      <c r="L22" s="204" t="s">
        <v>636</v>
      </c>
      <c r="M22" s="204" t="s">
        <v>369</v>
      </c>
    </row>
    <row r="23" spans="1:13" x14ac:dyDescent="0.2">
      <c r="A23" s="205" t="s">
        <v>637</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638</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639</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8" t="s">
        <v>643</v>
      </c>
      <c r="B26" s="330" t="s">
        <v>631</v>
      </c>
      <c r="C26" s="331"/>
      <c r="D26" s="332"/>
      <c r="E26" s="333" t="s">
        <v>632</v>
      </c>
      <c r="F26" s="334"/>
      <c r="G26" s="335"/>
      <c r="H26" s="336" t="s">
        <v>633</v>
      </c>
      <c r="I26" s="337"/>
      <c r="J26" s="338"/>
      <c r="K26" s="339" t="s">
        <v>634</v>
      </c>
      <c r="L26" s="340"/>
      <c r="M26" s="341"/>
    </row>
    <row r="27" spans="1:13" ht="26.25" thickBot="1" x14ac:dyDescent="0.25">
      <c r="A27" s="329"/>
      <c r="B27" s="201" t="s">
        <v>635</v>
      </c>
      <c r="C27" s="201" t="s">
        <v>636</v>
      </c>
      <c r="D27" s="201" t="s">
        <v>369</v>
      </c>
      <c r="E27" s="202" t="s">
        <v>635</v>
      </c>
      <c r="F27" s="202" t="s">
        <v>636</v>
      </c>
      <c r="G27" s="202" t="s">
        <v>369</v>
      </c>
      <c r="H27" s="203" t="s">
        <v>635</v>
      </c>
      <c r="I27" s="203" t="s">
        <v>636</v>
      </c>
      <c r="J27" s="203" t="s">
        <v>369</v>
      </c>
      <c r="K27" s="204" t="s">
        <v>635</v>
      </c>
      <c r="L27" s="204" t="s">
        <v>636</v>
      </c>
      <c r="M27" s="204" t="s">
        <v>369</v>
      </c>
    </row>
    <row r="28" spans="1:13" x14ac:dyDescent="0.2">
      <c r="A28" s="205" t="s">
        <v>637</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638</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639</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646</v>
      </c>
      <c r="B1" s="216" t="s">
        <v>249</v>
      </c>
      <c r="C1" s="200"/>
      <c r="D1" s="200"/>
    </row>
    <row r="2" spans="1:4" x14ac:dyDescent="0.25">
      <c r="A2" s="217" t="s">
        <v>647</v>
      </c>
      <c r="B2" s="218">
        <f>VLOOKUP($B$1,'Snapshot (Value)'!$A:$S,2,0)</f>
        <v>175</v>
      </c>
      <c r="C2" s="200"/>
      <c r="D2" s="200"/>
    </row>
    <row r="3" spans="1:4" x14ac:dyDescent="0.25">
      <c r="A3" s="217" t="s">
        <v>312</v>
      </c>
      <c r="B3" s="219">
        <f>VLOOKUP($B$1,'Snapshot (Value)'!$A:$S,3,0)</f>
        <v>4054.1</v>
      </c>
      <c r="C3" s="200"/>
      <c r="D3" s="200"/>
    </row>
    <row r="4" spans="1:4" x14ac:dyDescent="0.25">
      <c r="A4" s="217" t="s">
        <v>320</v>
      </c>
      <c r="B4" s="220">
        <f>VLOOKUP($B$1,'Snapshot (Value)'!$A:$S,6,0)</f>
        <v>3.5</v>
      </c>
      <c r="C4" s="200"/>
      <c r="D4" s="200"/>
    </row>
    <row r="5" spans="1:4" x14ac:dyDescent="0.25">
      <c r="A5" s="221"/>
      <c r="B5" s="222" t="s">
        <v>648</v>
      </c>
      <c r="C5" s="222" t="s">
        <v>649</v>
      </c>
      <c r="D5" s="222" t="s">
        <v>650</v>
      </c>
    </row>
    <row r="6" spans="1:4" x14ac:dyDescent="0.25">
      <c r="A6" s="217" t="s">
        <v>651</v>
      </c>
      <c r="B6" s="219">
        <f>VLOOKUP($B$1,'Snapshot (Value)'!$A:$S,4,0)</f>
        <v>4057.6</v>
      </c>
      <c r="C6" s="219">
        <f>VLOOKUP($B$1,'Snapshot (Value)'!$A:$S,5,0)</f>
        <v>4025.4</v>
      </c>
      <c r="D6" s="219">
        <f>+(B6/C6-1)*100</f>
        <v>0.79992050479456012</v>
      </c>
    </row>
    <row r="7" spans="1:4" x14ac:dyDescent="0.25">
      <c r="A7" s="217" t="s">
        <v>316</v>
      </c>
      <c r="B7" s="219">
        <f>VLOOKUP($B$1,'Snapshot (Volume)'!$A:$S,12,0)</f>
        <v>0.81</v>
      </c>
      <c r="C7" s="219">
        <f>VLOOKUP($B$1,'Snapshot (Volume)'!$A:$S,13,0)</f>
        <v>0.77</v>
      </c>
      <c r="D7" s="219">
        <f>+(B7/C7-1)*100</f>
        <v>5.1948051948051965</v>
      </c>
    </row>
    <row r="8" spans="1:4" x14ac:dyDescent="0.25">
      <c r="A8" s="217" t="s">
        <v>652</v>
      </c>
      <c r="B8" s="219">
        <f>VLOOKUP($B$1,'Snapshot (Volume)'!$A:$S,15,0)</f>
        <v>0.63</v>
      </c>
      <c r="C8" s="219">
        <f>VLOOKUP($B$1,'Snapshot (Volume)'!$A:$S,16,0)</f>
        <v>0.54</v>
      </c>
      <c r="D8" s="219">
        <f>+(B8/C8-1)*100</f>
        <v>16.66666666666665</v>
      </c>
    </row>
    <row r="9" spans="1:4" x14ac:dyDescent="0.25">
      <c r="A9" s="215" t="s">
        <v>653</v>
      </c>
      <c r="B9" s="222" t="s">
        <v>654</v>
      </c>
      <c r="C9" s="222" t="s">
        <v>369</v>
      </c>
      <c r="D9" s="222" t="s">
        <v>650</v>
      </c>
    </row>
    <row r="10" spans="1:4" x14ac:dyDescent="0.25">
      <c r="A10" s="217" t="s">
        <v>655</v>
      </c>
      <c r="B10" s="219">
        <f>VLOOKUP($B$1,'OI(Value)'!$A:$O,5,0)</f>
        <v>6298</v>
      </c>
      <c r="C10" s="219">
        <f>VLOOKUP($B$1,'OI(Value)'!$A:$O,6,0)</f>
        <v>126</v>
      </c>
      <c r="D10" s="219">
        <f>VLOOKUP($B$1,'OI(Value)'!$A:$O,7,0)*100</f>
        <v>2.04</v>
      </c>
    </row>
    <row r="11" spans="1:4" x14ac:dyDescent="0.25">
      <c r="A11" s="217" t="s">
        <v>656</v>
      </c>
      <c r="B11" s="219">
        <f>VLOOKUP($B$1,'OI(Value)'!$A:$O,8,0)</f>
        <v>4058</v>
      </c>
      <c r="C11" s="219">
        <f>VLOOKUP($B$1,'OI(Value)'!$A:$O,9,0)</f>
        <v>-143</v>
      </c>
      <c r="D11" s="219">
        <f>VLOOKUP($B$1,'OI(Value)'!$A:$O,10,0)*100</f>
        <v>-3.4000000000000004</v>
      </c>
    </row>
    <row r="12" spans="1:4" x14ac:dyDescent="0.25">
      <c r="A12" s="217" t="s">
        <v>657</v>
      </c>
      <c r="B12" s="219">
        <f>VLOOKUP($B$1,'OI(Value)'!$A:$O,11,0)</f>
        <v>3271</v>
      </c>
      <c r="C12" s="219">
        <f>VLOOKUP($B$1,'OI(Value)'!$A:$O,12,0)</f>
        <v>46</v>
      </c>
      <c r="D12" s="219">
        <f>VLOOKUP($B$1,'OI(Value)'!$A:$O,13,0)*100</f>
        <v>1.44</v>
      </c>
    </row>
    <row r="13" spans="1:4" x14ac:dyDescent="0.25">
      <c r="A13" s="215" t="s">
        <v>658</v>
      </c>
      <c r="B13" s="223">
        <f>VLOOKUP($B$1,'OI(Value)'!$A:$O,2,0)</f>
        <v>13627</v>
      </c>
      <c r="C13" s="223">
        <f>VLOOKUP($B$1,'OI(Value)'!$A:$O,3,0)</f>
        <v>29</v>
      </c>
      <c r="D13" s="223">
        <f>VLOOKUP($B$1,'OI(Value)'!$A:$O,4,0)*100</f>
        <v>0.22</v>
      </c>
    </row>
    <row r="14" spans="1:4" x14ac:dyDescent="0.25">
      <c r="A14" s="215" t="s">
        <v>659</v>
      </c>
      <c r="B14" s="222" t="s">
        <v>660</v>
      </c>
      <c r="C14" s="222" t="s">
        <v>369</v>
      </c>
      <c r="D14" s="222" t="s">
        <v>650</v>
      </c>
    </row>
    <row r="15" spans="1:4" x14ac:dyDescent="0.25">
      <c r="A15" s="217" t="s">
        <v>655</v>
      </c>
      <c r="B15" s="219">
        <f>VLOOKUP($B$1,'OI(Volume)'!$A:$O,5,0)/10^5</f>
        <v>155.21100000000001</v>
      </c>
      <c r="C15" s="219">
        <f>VLOOKUP($B$1,'OI(Volume)'!$A:$O,6,0)/10^5</f>
        <v>3.1044999999999998</v>
      </c>
      <c r="D15" s="219">
        <f>(VLOOKUP($B$1,'OI(Volume)'!$A:$O,7,0))*100</f>
        <v>2.04</v>
      </c>
    </row>
    <row r="16" spans="1:4" x14ac:dyDescent="0.25">
      <c r="A16" s="217" t="s">
        <v>656</v>
      </c>
      <c r="B16" s="219">
        <f>VLOOKUP($B$1,'OI(Volume)'!$A:$O,8,0)/10^5</f>
        <v>100.01600000000001</v>
      </c>
      <c r="C16" s="219">
        <f>VLOOKUP($B$1,'OI(Volume)'!$A:$O,9,0)/10^5</f>
        <v>-3.5227499999999998</v>
      </c>
      <c r="D16" s="219">
        <f>(VLOOKUP($B$1,'OI(Volume)'!$A:$O,10,0))*100</f>
        <v>-3.4000000000000004</v>
      </c>
    </row>
    <row r="17" spans="1:4" x14ac:dyDescent="0.25">
      <c r="A17" s="217" t="s">
        <v>657</v>
      </c>
      <c r="B17" s="219">
        <f>VLOOKUP($B$1,'OI(Volume)'!$A:$O,11,0)/10^5</f>
        <v>80.617249999999999</v>
      </c>
      <c r="C17" s="219">
        <f>VLOOKUP($B$1,'OI(Volume)'!$A:$O,12,0)/10^5</f>
        <v>1.1427499999999999</v>
      </c>
      <c r="D17" s="219">
        <f>(VLOOKUP($B$1,'OI(Volume)'!$A:$O,13,0))*100</f>
        <v>1.44</v>
      </c>
    </row>
    <row r="18" spans="1:4" x14ac:dyDescent="0.25">
      <c r="A18" s="215" t="s">
        <v>661</v>
      </c>
      <c r="B18" s="223">
        <f>VLOOKUP($B$1,'OI(Volume)'!$A:$O,2,0)/10^5</f>
        <v>335.84424999999999</v>
      </c>
      <c r="C18" s="223">
        <f>VLOOKUP($B$1,'OI(Volume)'!$A:$O,3,0)/10^5</f>
        <v>0.72450000000000003</v>
      </c>
      <c r="D18" s="223">
        <f>(VLOOKUP($B$1,'OI(Volume)'!$A:$O,4,0))*100</f>
        <v>0.22</v>
      </c>
    </row>
    <row r="20" spans="1:4" x14ac:dyDescent="0.25">
      <c r="A20" s="17" t="s">
        <v>417</v>
      </c>
      <c r="B20" s="224">
        <f>VLOOKUP($B$1,'Open Interest Position'!$A:$F,2,0)/10^5</f>
        <v>1360.99497</v>
      </c>
    </row>
    <row r="21" spans="1:4" x14ac:dyDescent="0.25">
      <c r="A21" s="17" t="s">
        <v>412</v>
      </c>
      <c r="B21" s="224">
        <f>VLOOKUP($B$1,'Open Interest Position'!$A:$F,3,0)/10^5</f>
        <v>328.63425000000001</v>
      </c>
    </row>
    <row r="22" spans="1:4" x14ac:dyDescent="0.25">
      <c r="A22" s="17" t="s">
        <v>418</v>
      </c>
      <c r="B22" s="224">
        <f>VLOOKUP($B$1,'Open Interest Position'!$A:$F,4,0)/10^5</f>
        <v>155.915714705222</v>
      </c>
    </row>
    <row r="23" spans="1:4" x14ac:dyDescent="0.25">
      <c r="A23" s="17" t="s">
        <v>419</v>
      </c>
      <c r="B23" s="225">
        <f>VLOOKUP($B$1,'Open Interest Position'!$A:$F,6,0)</f>
        <v>0.24146617529379993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6" t="s">
        <v>329</v>
      </c>
      <c r="B3" s="267"/>
      <c r="C3" s="267"/>
      <c r="D3" s="267"/>
      <c r="E3" s="267"/>
      <c r="F3" s="267"/>
      <c r="G3" s="267"/>
      <c r="H3" s="267"/>
      <c r="I3" s="268"/>
      <c r="J3" s="268"/>
      <c r="K3" s="268"/>
      <c r="L3" s="268"/>
      <c r="M3" s="268"/>
      <c r="N3" s="268"/>
      <c r="O3" s="268"/>
      <c r="P3" s="269"/>
    </row>
    <row r="4" spans="1:36" x14ac:dyDescent="0.25">
      <c r="A4" s="270" t="s">
        <v>330</v>
      </c>
      <c r="B4" s="270"/>
      <c r="C4" s="77" t="s">
        <v>308</v>
      </c>
      <c r="D4" s="272" t="s">
        <v>326</v>
      </c>
      <c r="E4" s="272"/>
      <c r="F4" s="272"/>
      <c r="G4" s="272"/>
      <c r="H4" s="272" t="s">
        <v>457</v>
      </c>
      <c r="I4" s="272"/>
      <c r="J4" s="272"/>
      <c r="K4" s="270" t="s">
        <v>309</v>
      </c>
      <c r="L4" s="270"/>
      <c r="M4" s="270"/>
      <c r="N4" s="270" t="s">
        <v>331</v>
      </c>
      <c r="O4" s="270"/>
      <c r="P4" s="270"/>
    </row>
    <row r="5" spans="1:36" x14ac:dyDescent="0.25">
      <c r="A5" s="271"/>
      <c r="B5" s="271"/>
      <c r="C5" s="65" t="s">
        <v>312</v>
      </c>
      <c r="D5" s="273" t="s">
        <v>314</v>
      </c>
      <c r="E5" s="273"/>
      <c r="F5" s="273"/>
      <c r="G5" s="273"/>
      <c r="H5" s="273" t="s">
        <v>315</v>
      </c>
      <c r="I5" s="273"/>
      <c r="J5" s="273"/>
      <c r="K5" s="271" t="s">
        <v>314</v>
      </c>
      <c r="L5" s="271"/>
      <c r="M5" s="271"/>
      <c r="N5" s="271" t="s">
        <v>315</v>
      </c>
      <c r="O5" s="271"/>
      <c r="P5" s="271"/>
    </row>
    <row r="6" spans="1:36" x14ac:dyDescent="0.25">
      <c r="A6" s="78" t="s">
        <v>332</v>
      </c>
      <c r="B6" s="78" t="s">
        <v>318</v>
      </c>
      <c r="C6" s="65" t="s">
        <v>328</v>
      </c>
      <c r="D6" s="66">
        <f>'Snapshot (Volume)'!B6</f>
        <v>46135</v>
      </c>
      <c r="E6" s="66" t="s">
        <v>368</v>
      </c>
      <c r="F6" s="71" t="s">
        <v>333</v>
      </c>
      <c r="G6" s="71" t="s">
        <v>328</v>
      </c>
      <c r="H6" s="66">
        <f>D6</f>
        <v>46135</v>
      </c>
      <c r="I6" s="71" t="s">
        <v>322</v>
      </c>
      <c r="J6" s="71" t="s">
        <v>328</v>
      </c>
      <c r="K6" s="66">
        <f>D6</f>
        <v>46135</v>
      </c>
      <c r="L6" s="78" t="s">
        <v>333</v>
      </c>
      <c r="M6" s="78" t="s">
        <v>328</v>
      </c>
      <c r="N6" s="66">
        <f>D6</f>
        <v>46135</v>
      </c>
      <c r="O6" s="78" t="s">
        <v>322</v>
      </c>
      <c r="P6" s="78" t="s">
        <v>328</v>
      </c>
    </row>
    <row r="7" spans="1:36" x14ac:dyDescent="0.25">
      <c r="A7" s="79" t="str">
        <f>'Data shares'!B2</f>
        <v>Finance</v>
      </c>
      <c r="B7" s="79" t="str">
        <f>'Data shares'!C2</f>
        <v>360ONE</v>
      </c>
      <c r="C7" s="79">
        <f>VLOOKUP($B7,'Data shares'!$C:$FB,7)</f>
        <v>1052.25</v>
      </c>
      <c r="D7" s="165">
        <f>VLOOKUP($B7,'Data shares'!$C:$FB,98)</f>
        <v>13753000</v>
      </c>
      <c r="E7" s="165">
        <f>VLOOKUP(B7,'Snapshot (Volume)'!$A$7:$G$168,7,0)</f>
        <v>14822500</v>
      </c>
      <c r="F7" s="165">
        <f>D7-E7</f>
        <v>-1069500</v>
      </c>
      <c r="G7" s="166">
        <f>F7/E7</f>
        <v>-7.2153820205768257E-2</v>
      </c>
      <c r="H7" s="165">
        <f>VLOOKUP($B7,'Data shares'!$C:$FB,66)</f>
        <v>12505000</v>
      </c>
      <c r="I7" s="165">
        <f>VLOOKUP($B7,'Data shares'!$C:$FB,67)</f>
        <v>43919500</v>
      </c>
      <c r="J7" s="81">
        <f>(H7-I7)/I7*100</f>
        <v>-71.527453636767262</v>
      </c>
      <c r="K7" s="81">
        <f>VLOOKUP($B7,'Data Vlaue (Cr)'!$C:$FB,99)</f>
        <v>1437</v>
      </c>
      <c r="L7" s="81">
        <f>VLOOKUP(B7,'OI(Value)'!$A$7:$C$232,3,0)</f>
        <v>-112</v>
      </c>
      <c r="M7" s="81">
        <f t="shared" ref="M7:M36" si="0">L7/K7*100</f>
        <v>-7.7940153096729308</v>
      </c>
      <c r="N7" s="81">
        <f>VLOOKUP($B7,'Data Vlaue (Cr)'!$C:$FB,67)</f>
        <v>1306</v>
      </c>
      <c r="O7" s="81">
        <f>VLOOKUP($B7,'Data Vlaue (Cr)'!$C:$FB,68)</f>
        <v>4588</v>
      </c>
      <c r="P7" s="81">
        <f t="shared" ref="P7:P23" si="1">(N7-O7)/N7*100</f>
        <v>-251.30168453292495</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7575.5</v>
      </c>
      <c r="D8" s="165">
        <f>VLOOKUP($B8,'Data shares'!$C:$FB,98)</f>
        <v>6245250</v>
      </c>
      <c r="E8" s="165">
        <f>VLOOKUP(B8,'Snapshot (Volume)'!$A$7:$G$168,7,0)</f>
        <v>6432000</v>
      </c>
      <c r="F8" s="165">
        <f t="shared" ref="F8:F23" si="2">D8-E8</f>
        <v>-186750</v>
      </c>
      <c r="G8" s="166">
        <f t="shared" ref="G8:G23" si="3">F8/E8</f>
        <v>-2.9034514925373133E-2</v>
      </c>
      <c r="H8" s="165">
        <f>VLOOKUP($B8,'Data shares'!$C:$FB,66)</f>
        <v>8476375</v>
      </c>
      <c r="I8" s="165">
        <f>VLOOKUP($B8,'Data shares'!$C:$FB,67)</f>
        <v>40244125</v>
      </c>
      <c r="J8" s="81">
        <f t="shared" ref="J8:J22" si="4">(H8-I8)/I8*100</f>
        <v>-78.937608905647721</v>
      </c>
      <c r="K8" s="81">
        <f>VLOOKUP($B8,'Data Vlaue (Cr)'!$C:$FB,99)</f>
        <v>4741</v>
      </c>
      <c r="L8" s="81">
        <f>VLOOKUP(B8,'OI(Value)'!$A$7:$C$232,3,0)</f>
        <v>-142</v>
      </c>
      <c r="M8" s="81">
        <f t="shared" si="0"/>
        <v>-2.9951487028053152</v>
      </c>
      <c r="N8" s="81">
        <f>VLOOKUP($B8,'Data Vlaue (Cr)'!$C:$FB,67)</f>
        <v>6435</v>
      </c>
      <c r="O8" s="81">
        <f>VLOOKUP($B8,'Data Vlaue (Cr)'!$C:$FB,68)</f>
        <v>30553</v>
      </c>
      <c r="P8" s="81">
        <f t="shared" si="1"/>
        <v>-374.7940947940948</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349.75</v>
      </c>
      <c r="D9" s="165">
        <f>VLOOKUP($B9,'Data shares'!$C:$FB,98)</f>
        <v>65162000</v>
      </c>
      <c r="E9" s="165">
        <f>VLOOKUP(B9,'Snapshot (Volume)'!$A$7:$G$168,7,0)</f>
        <v>65338700</v>
      </c>
      <c r="F9" s="165">
        <f t="shared" si="2"/>
        <v>-176700</v>
      </c>
      <c r="G9" s="166">
        <f t="shared" si="3"/>
        <v>-2.7043696920814159E-3</v>
      </c>
      <c r="H9" s="165">
        <f>VLOOKUP($B9,'Data shares'!$C:$FB,66)</f>
        <v>56444800</v>
      </c>
      <c r="I9" s="165">
        <f>VLOOKUP($B9,'Data shares'!$C:$FB,67)</f>
        <v>59120100</v>
      </c>
      <c r="J9" s="81">
        <f t="shared" si="4"/>
        <v>-4.5251953227413351</v>
      </c>
      <c r="K9" s="81">
        <f>VLOOKUP($B9,'Data Vlaue (Cr)'!$C:$FB,99)</f>
        <v>2278</v>
      </c>
      <c r="L9" s="81">
        <f>VLOOKUP(B9,'OI(Value)'!$A$7:$C$232,3,0)</f>
        <v>-6</v>
      </c>
      <c r="M9" s="81">
        <f t="shared" si="0"/>
        <v>-0.26338893766461807</v>
      </c>
      <c r="N9" s="81">
        <f>VLOOKUP($B9,'Data Vlaue (Cr)'!$C:$FB,67)</f>
        <v>1974</v>
      </c>
      <c r="O9" s="81">
        <f>VLOOKUP($B9,'Data Vlaue (Cr)'!$C:$FB,68)</f>
        <v>2067</v>
      </c>
      <c r="P9" s="81">
        <f t="shared" si="1"/>
        <v>-4.7112462006079028</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1361.25</v>
      </c>
      <c r="D10" s="82">
        <f>VLOOKUP($B10,'Data shares'!$C:$FB,98)</f>
        <v>34359525</v>
      </c>
      <c r="E10" s="165">
        <f>VLOOKUP(B10,'Snapshot (Volume)'!$A$7:$G$168,7,0)</f>
        <v>31702725</v>
      </c>
      <c r="F10" s="165">
        <f t="shared" si="2"/>
        <v>2656800</v>
      </c>
      <c r="G10" s="166">
        <f t="shared" si="3"/>
        <v>8.3803521621564084E-2</v>
      </c>
      <c r="H10" s="165">
        <f>VLOOKUP($B10,'Data shares'!$C:$FB,66)</f>
        <v>42749775</v>
      </c>
      <c r="I10" s="165">
        <f>VLOOKUP($B10,'Data shares'!$C:$FB,67)</f>
        <v>56144475</v>
      </c>
      <c r="J10" s="81">
        <f t="shared" si="4"/>
        <v>-23.857556776512737</v>
      </c>
      <c r="K10" s="5">
        <f>VLOOKUP($B10,'Data Vlaue (Cr)'!$C:$FB,99)</f>
        <v>4688</v>
      </c>
      <c r="L10" s="81">
        <f>VLOOKUP(B10,'OI(Value)'!$A$7:$C$232,3,0)</f>
        <v>363</v>
      </c>
      <c r="M10" s="33">
        <f t="shared" si="0"/>
        <v>7.7431740614334474</v>
      </c>
      <c r="N10" s="5">
        <f>VLOOKUP($B10,'Data Vlaue (Cr)'!$C:$FB,67)</f>
        <v>5833</v>
      </c>
      <c r="O10" s="5">
        <f>VLOOKUP($B10,'Data Vlaue (Cr)'!$C:$FB,68)</f>
        <v>7661</v>
      </c>
      <c r="P10" s="5">
        <f t="shared" si="1"/>
        <v>-31.338933653351621</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2300</v>
      </c>
      <c r="D11" s="82">
        <f>VLOOKUP($B11,'Data shares'!$C:$FB,98)</f>
        <v>34910511</v>
      </c>
      <c r="E11" s="165">
        <f>VLOOKUP(B11,'Snapshot (Volume)'!$A$7:$G$168,7,0)</f>
        <v>33482004</v>
      </c>
      <c r="F11" s="165">
        <f t="shared" si="2"/>
        <v>1428507</v>
      </c>
      <c r="G11" s="166">
        <f t="shared" si="3"/>
        <v>4.2664919339953485E-2</v>
      </c>
      <c r="H11" s="165">
        <f>VLOOKUP($B11,'Data shares'!$C:$FB,66)</f>
        <v>45176109</v>
      </c>
      <c r="I11" s="165">
        <f>VLOOKUP($B11,'Data shares'!$C:$FB,67)</f>
        <v>28128270</v>
      </c>
      <c r="J11" s="81">
        <f t="shared" si="4"/>
        <v>60.607492035592657</v>
      </c>
      <c r="K11" s="5">
        <f>VLOOKUP($B11,'Data Vlaue (Cr)'!$C:$FB,99)</f>
        <v>8055</v>
      </c>
      <c r="L11" s="81">
        <f>VLOOKUP(B11,'OI(Value)'!$A$7:$C$232,3,0)</f>
        <v>330</v>
      </c>
      <c r="M11" s="33">
        <f t="shared" si="0"/>
        <v>4.0968342644320295</v>
      </c>
      <c r="N11" s="5">
        <f>VLOOKUP($B11,'Data Vlaue (Cr)'!$C:$FB,67)</f>
        <v>10423</v>
      </c>
      <c r="O11" s="5">
        <f>VLOOKUP($B11,'Data Vlaue (Cr)'!$C:$FB,68)</f>
        <v>6490</v>
      </c>
      <c r="P11" s="5">
        <f t="shared" si="1"/>
        <v>37.733857814448811</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1214.1500000000001</v>
      </c>
      <c r="D12" s="82">
        <f>VLOOKUP($B12,'Data shares'!$C:$FB,98)</f>
        <v>42630000</v>
      </c>
      <c r="E12" s="165">
        <f>VLOOKUP(B12,'Snapshot (Volume)'!$A$7:$G$168,7,0)</f>
        <v>39336600</v>
      </c>
      <c r="F12" s="165">
        <f t="shared" si="2"/>
        <v>3293400</v>
      </c>
      <c r="G12" s="166">
        <f t="shared" si="3"/>
        <v>8.3723555162367874E-2</v>
      </c>
      <c r="H12" s="165">
        <f>VLOOKUP($B12,'Data shares'!$C:$FB,66)</f>
        <v>70604400</v>
      </c>
      <c r="I12" s="165">
        <f>VLOOKUP($B12,'Data shares'!$C:$FB,67)</f>
        <v>49089000</v>
      </c>
      <c r="J12" s="81">
        <f t="shared" si="4"/>
        <v>43.829371142211087</v>
      </c>
      <c r="K12" s="5">
        <f>VLOOKUP($B12,'Data Vlaue (Cr)'!$C:$FB,99)</f>
        <v>5172</v>
      </c>
      <c r="L12" s="81">
        <f>VLOOKUP(B12,'OI(Value)'!$A$7:$C$232,3,0)</f>
        <v>400</v>
      </c>
      <c r="M12" s="33">
        <f t="shared" si="0"/>
        <v>7.7339520494972929</v>
      </c>
      <c r="N12" s="5">
        <f>VLOOKUP($B12,'Data Vlaue (Cr)'!$C:$FB,67)</f>
        <v>8566</v>
      </c>
      <c r="O12" s="5">
        <f>VLOOKUP($B12,'Data Vlaue (Cr)'!$C:$FB,68)</f>
        <v>5955</v>
      </c>
      <c r="P12" s="5">
        <f t="shared" si="1"/>
        <v>30.480971281811815</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1602.9</v>
      </c>
      <c r="D13" s="82">
        <f>VLOOKUP($B13,'Data shares'!$C:$FB,98)</f>
        <v>39292475</v>
      </c>
      <c r="E13" s="165">
        <f>VLOOKUP(B13,'Snapshot (Volume)'!$A$7:$G$168,7,0)</f>
        <v>39542325</v>
      </c>
      <c r="F13" s="165">
        <f t="shared" si="2"/>
        <v>-249850</v>
      </c>
      <c r="G13" s="166">
        <f t="shared" si="3"/>
        <v>-6.3185460136701626E-3</v>
      </c>
      <c r="H13" s="165">
        <f>VLOOKUP($B13,'Data shares'!$C:$FB,66)</f>
        <v>34626550</v>
      </c>
      <c r="I13" s="165">
        <f>VLOOKUP($B13,'Data shares'!$C:$FB,67)</f>
        <v>23136775</v>
      </c>
      <c r="J13" s="81">
        <f t="shared" si="4"/>
        <v>49.660227062760477</v>
      </c>
      <c r="K13" s="5">
        <f>VLOOKUP($B13,'Data Vlaue (Cr)'!$C:$FB,99)</f>
        <v>6286</v>
      </c>
      <c r="L13" s="81">
        <f>VLOOKUP(B13,'OI(Value)'!$A$7:$C$232,3,0)</f>
        <v>-40</v>
      </c>
      <c r="M13" s="33">
        <f t="shared" si="0"/>
        <v>-0.63633471205854275</v>
      </c>
      <c r="N13" s="5">
        <f>VLOOKUP($B13,'Data Vlaue (Cr)'!$C:$FB,67)</f>
        <v>5540</v>
      </c>
      <c r="O13" s="5">
        <f>VLOOKUP($B13,'Data Vlaue (Cr)'!$C:$FB,68)</f>
        <v>3701</v>
      </c>
      <c r="P13" s="5">
        <f t="shared" si="1"/>
        <v>33.194945848375454</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Power</v>
      </c>
      <c r="B14" s="79" t="str">
        <f>'Data shares'!C9</f>
        <v>ADANIPOWER</v>
      </c>
      <c r="C14" s="4">
        <f>VLOOKUP($B14,'Data shares'!$C:$FB,7)</f>
        <v>214.18</v>
      </c>
      <c r="D14" s="82">
        <f>VLOOKUP($B14,'Data shares'!$C:$FB,98)</f>
        <v>154684150</v>
      </c>
      <c r="E14" s="165">
        <f>VLOOKUP(B14,'Snapshot (Volume)'!$A$7:$G$168,7,0)</f>
        <v>152863000</v>
      </c>
      <c r="F14" s="165">
        <f t="shared" si="2"/>
        <v>1821150</v>
      </c>
      <c r="G14" s="166">
        <f t="shared" si="3"/>
        <v>1.1913608917789132E-2</v>
      </c>
      <c r="H14" s="165">
        <f>VLOOKUP($B14,'Data shares'!$C:$FB,66)</f>
        <v>161475300</v>
      </c>
      <c r="I14" s="165">
        <f>VLOOKUP($B14,'Data shares'!$C:$FB,67)</f>
        <v>327281600</v>
      </c>
      <c r="J14" s="81">
        <f t="shared" si="4"/>
        <v>-50.661662617146817</v>
      </c>
      <c r="K14" s="5">
        <f>VLOOKUP($B14,'Data Vlaue (Cr)'!$C:$FB,99)</f>
        <v>3314</v>
      </c>
      <c r="L14" s="81">
        <f>VLOOKUP(B14,'OI(Value)'!$A$7:$C$232,3,0)</f>
        <v>39</v>
      </c>
      <c r="M14" s="33">
        <f t="shared" si="0"/>
        <v>1.1768255884127943</v>
      </c>
      <c r="N14" s="5">
        <f>VLOOKUP($B14,'Data Vlaue (Cr)'!$C:$FB,67)</f>
        <v>3459</v>
      </c>
      <c r="O14" s="5">
        <f>VLOOKUP($B14,'Data Vlaue (Cr)'!$C:$FB,68)</f>
        <v>7011</v>
      </c>
      <c r="P14" s="5">
        <f t="shared" si="1"/>
        <v>-102.68863833477883</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Pharma</v>
      </c>
      <c r="B15" s="79" t="str">
        <f>'Data shares'!C10</f>
        <v>ALKEM</v>
      </c>
      <c r="C15" s="4">
        <f>VLOOKUP($B15,'Data shares'!$C:$FB,7)</f>
        <v>5520.5</v>
      </c>
      <c r="D15" s="82">
        <f>VLOOKUP($B15,'Data shares'!$C:$FB,98)</f>
        <v>1786750</v>
      </c>
      <c r="E15" s="165">
        <f>VLOOKUP(B15,'Snapshot (Volume)'!$A$7:$G$168,7,0)</f>
        <v>1748125</v>
      </c>
      <c r="F15" s="165">
        <f t="shared" si="2"/>
        <v>38625</v>
      </c>
      <c r="G15" s="166">
        <f t="shared" si="3"/>
        <v>2.2095101894887378E-2</v>
      </c>
      <c r="H15" s="165">
        <f>VLOOKUP($B15,'Data shares'!$C:$FB,66)</f>
        <v>2437250</v>
      </c>
      <c r="I15" s="165">
        <f>VLOOKUP($B15,'Data shares'!$C:$FB,67)</f>
        <v>1374625</v>
      </c>
      <c r="J15" s="81">
        <f t="shared" si="4"/>
        <v>77.302900791124856</v>
      </c>
      <c r="K15" s="5">
        <f>VLOOKUP($B15,'Data Vlaue (Cr)'!$C:$FB,99)</f>
        <v>985</v>
      </c>
      <c r="L15" s="81">
        <f>VLOOKUP(B15,'OI(Value)'!$A$7:$C$232,3,0)</f>
        <v>21</v>
      </c>
      <c r="M15" s="33">
        <f t="shared" si="0"/>
        <v>2.1319796954314718</v>
      </c>
      <c r="N15" s="5">
        <f>VLOOKUP($B15,'Data Vlaue (Cr)'!$C:$FB,67)</f>
        <v>1343</v>
      </c>
      <c r="O15" s="5">
        <f>VLOOKUP($B15,'Data Vlaue (Cr)'!$C:$FB,68)</f>
        <v>758</v>
      </c>
      <c r="P15" s="5">
        <f t="shared" si="1"/>
        <v>43.559195830230827</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Capital_Goods</v>
      </c>
      <c r="B16" s="79" t="str">
        <f>'Data shares'!C11</f>
        <v>AMBER</v>
      </c>
      <c r="C16" s="4">
        <f>VLOOKUP($B16,'Data shares'!$C:$FB,7)</f>
        <v>7795</v>
      </c>
      <c r="D16" s="82">
        <f>VLOOKUP($B16,'Data shares'!$C:$FB,98)</f>
        <v>2873800</v>
      </c>
      <c r="E16" s="165">
        <f>VLOOKUP(B16,'Snapshot (Volume)'!$A$7:$G$168,7,0)</f>
        <v>2966300</v>
      </c>
      <c r="F16" s="165">
        <f t="shared" si="2"/>
        <v>-92500</v>
      </c>
      <c r="G16" s="166">
        <f t="shared" si="3"/>
        <v>-3.1183629437346188E-2</v>
      </c>
      <c r="H16" s="165">
        <f>VLOOKUP($B16,'Data shares'!$C:$FB,66)</f>
        <v>3194000</v>
      </c>
      <c r="I16" s="165">
        <f>VLOOKUP($B16,'Data shares'!$C:$FB,67)</f>
        <v>2343800</v>
      </c>
      <c r="J16" s="81">
        <f t="shared" si="4"/>
        <v>36.274426145575561</v>
      </c>
      <c r="K16" s="5">
        <f>VLOOKUP($B16,'Data Vlaue (Cr)'!$C:$FB,99)</f>
        <v>2246</v>
      </c>
      <c r="L16" s="81">
        <f>VLOOKUP(B16,'OI(Value)'!$A$7:$C$232,3,0)</f>
        <v>-72</v>
      </c>
      <c r="M16" s="33">
        <f t="shared" si="0"/>
        <v>-3.2056990204808544</v>
      </c>
      <c r="N16" s="5">
        <f>VLOOKUP($B16,'Data Vlaue (Cr)'!$C:$FB,67)</f>
        <v>2497</v>
      </c>
      <c r="O16" s="5">
        <f>VLOOKUP($B16,'Data Vlaue (Cr)'!$C:$FB,68)</f>
        <v>1832</v>
      </c>
      <c r="P16" s="5">
        <f t="shared" si="1"/>
        <v>26.631958350020025</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Cement</v>
      </c>
      <c r="B17" s="79" t="str">
        <f>'Data shares'!C12</f>
        <v>AMBUJACEM</v>
      </c>
      <c r="C17" s="4">
        <f>VLOOKUP($B17,'Data shares'!$C:$FB,7)</f>
        <v>450.4</v>
      </c>
      <c r="D17" s="82">
        <f>VLOOKUP($B17,'Data shares'!$C:$FB,98)</f>
        <v>80059350</v>
      </c>
      <c r="E17" s="165">
        <f>VLOOKUP(B17,'Snapshot (Volume)'!$A$7:$G$168,7,0)</f>
        <v>79242450</v>
      </c>
      <c r="F17" s="165">
        <f t="shared" si="2"/>
        <v>816900</v>
      </c>
      <c r="G17" s="166">
        <f t="shared" si="3"/>
        <v>1.0308868542050379E-2</v>
      </c>
      <c r="H17" s="165">
        <f>VLOOKUP($B17,'Data shares'!$C:$FB,66)</f>
        <v>40111050</v>
      </c>
      <c r="I17" s="165">
        <f>VLOOKUP($B17,'Data shares'!$C:$FB,67)</f>
        <v>41352150</v>
      </c>
      <c r="J17" s="81">
        <f t="shared" si="4"/>
        <v>-3.0012949749892086</v>
      </c>
      <c r="K17" s="5">
        <f>VLOOKUP($B17,'Data Vlaue (Cr)'!$C:$FB,99)</f>
        <v>3601</v>
      </c>
      <c r="L17" s="81">
        <f>VLOOKUP(B17,'OI(Value)'!$A$7:$C$232,3,0)</f>
        <v>37</v>
      </c>
      <c r="M17" s="33">
        <f t="shared" si="0"/>
        <v>1.0274923632324355</v>
      </c>
      <c r="N17" s="5">
        <f>VLOOKUP($B17,'Data Vlaue (Cr)'!$C:$FB,67)</f>
        <v>1804</v>
      </c>
      <c r="O17" s="5">
        <f>VLOOKUP($B17,'Data Vlaue (Cr)'!$C:$FB,68)</f>
        <v>1860</v>
      </c>
      <c r="P17" s="5">
        <f t="shared" si="1"/>
        <v>-3.1042128603104215</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Finance</v>
      </c>
      <c r="B18" s="79" t="str">
        <f>'Data shares'!C13</f>
        <v>ANGELONE</v>
      </c>
      <c r="C18" s="4">
        <f>VLOOKUP($B18,'Data shares'!$C:$FB,7)</f>
        <v>321.20999999999998</v>
      </c>
      <c r="D18" s="82">
        <f>VLOOKUP($B18,'Data shares'!$C:$FB,98)</f>
        <v>87907500</v>
      </c>
      <c r="E18" s="165">
        <f>VLOOKUP(B18,'Snapshot (Volume)'!$A$7:$G$168,7,0)</f>
        <v>94730000</v>
      </c>
      <c r="F18" s="165">
        <f t="shared" si="2"/>
        <v>-6822500</v>
      </c>
      <c r="G18" s="166">
        <f t="shared" si="3"/>
        <v>-7.2020479256835218E-2</v>
      </c>
      <c r="H18" s="165">
        <f>VLOOKUP($B18,'Data shares'!$C:$FB,66)</f>
        <v>93875000</v>
      </c>
      <c r="I18" s="165">
        <f>VLOOKUP($B18,'Data shares'!$C:$FB,67)</f>
        <v>98360000</v>
      </c>
      <c r="J18" s="81">
        <f t="shared" si="4"/>
        <v>-4.5597803985359908</v>
      </c>
      <c r="K18" s="5">
        <f>VLOOKUP($B18,'Data Vlaue (Cr)'!$C:$FB,99)</f>
        <v>2829</v>
      </c>
      <c r="L18" s="81">
        <f>VLOOKUP(B18,'OI(Value)'!$A$7:$C$232,3,0)</f>
        <v>-220</v>
      </c>
      <c r="M18" s="33">
        <f t="shared" si="0"/>
        <v>-7.7765995051254864</v>
      </c>
      <c r="N18" s="5">
        <f>VLOOKUP($B18,'Data Vlaue (Cr)'!$C:$FB,67)</f>
        <v>3022</v>
      </c>
      <c r="O18" s="5">
        <f>VLOOKUP($B18,'Data Vlaue (Cr)'!$C:$FB,68)</f>
        <v>3166</v>
      </c>
      <c r="P18" s="5">
        <f t="shared" si="1"/>
        <v>-4.7650562541363337</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Metals</v>
      </c>
      <c r="B19" s="79" t="str">
        <f>'Data shares'!C14</f>
        <v>APLAPOLLO</v>
      </c>
      <c r="C19" s="4">
        <f>VLOOKUP($B19,'Data shares'!$C:$FB,7)</f>
        <v>2022.9</v>
      </c>
      <c r="D19" s="82">
        <f>VLOOKUP($B19,'Data shares'!$C:$FB,98)</f>
        <v>7261100</v>
      </c>
      <c r="E19" s="165">
        <f>VLOOKUP(B19,'Snapshot (Volume)'!$A$7:$G$168,7,0)</f>
        <v>6946100</v>
      </c>
      <c r="F19" s="165">
        <f t="shared" si="2"/>
        <v>315000</v>
      </c>
      <c r="G19" s="166">
        <f t="shared" si="3"/>
        <v>4.5349188753401187E-2</v>
      </c>
      <c r="H19" s="165">
        <f>VLOOKUP($B19,'Data shares'!$C:$FB,66)</f>
        <v>9625000</v>
      </c>
      <c r="I19" s="165">
        <f>VLOOKUP($B19,'Data shares'!$C:$FB,67)</f>
        <v>1945300</v>
      </c>
      <c r="J19" s="81">
        <f t="shared" si="4"/>
        <v>394.78229578985247</v>
      </c>
      <c r="K19" s="5">
        <f>VLOOKUP($B19,'Data Vlaue (Cr)'!$C:$FB,99)</f>
        <v>1471</v>
      </c>
      <c r="L19" s="81">
        <f>VLOOKUP(B19,'OI(Value)'!$A$7:$C$232,3,0)</f>
        <v>64</v>
      </c>
      <c r="M19" s="33">
        <f t="shared" si="0"/>
        <v>4.3507817811012917</v>
      </c>
      <c r="N19" s="5">
        <f>VLOOKUP($B19,'Data Vlaue (Cr)'!$C:$FB,67)</f>
        <v>1950</v>
      </c>
      <c r="O19" s="5">
        <f>VLOOKUP($B19,'Data Vlaue (Cr)'!$C:$FB,68)</f>
        <v>394</v>
      </c>
      <c r="P19" s="5">
        <f t="shared" si="1"/>
        <v>79.794871794871796</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Pharma</v>
      </c>
      <c r="B20" s="79" t="str">
        <f>'Data shares'!C15</f>
        <v>APOLLOHOSP</v>
      </c>
      <c r="C20" s="4">
        <f>VLOOKUP($B20,'Data shares'!$C:$FB,7)</f>
        <v>7781</v>
      </c>
      <c r="D20" s="82">
        <f>VLOOKUP($B20,'Data shares'!$C:$FB,98)</f>
        <v>3907500</v>
      </c>
      <c r="E20" s="165">
        <f>VLOOKUP(B20,'Snapshot (Volume)'!$A$7:$G$168,7,0)</f>
        <v>3941125</v>
      </c>
      <c r="F20" s="165">
        <f t="shared" si="2"/>
        <v>-33625</v>
      </c>
      <c r="G20" s="166">
        <f t="shared" si="3"/>
        <v>-8.5318278410352368E-3</v>
      </c>
      <c r="H20" s="165">
        <f>VLOOKUP($B20,'Data shares'!$C:$FB,66)</f>
        <v>5993125</v>
      </c>
      <c r="I20" s="165">
        <f>VLOOKUP($B20,'Data shares'!$C:$FB,67)</f>
        <v>7299250</v>
      </c>
      <c r="J20" s="81">
        <f t="shared" si="4"/>
        <v>-17.893961708394698</v>
      </c>
      <c r="K20" s="5">
        <f>VLOOKUP($B20,'Data Vlaue (Cr)'!$C:$FB,99)</f>
        <v>3035</v>
      </c>
      <c r="L20" s="81">
        <f>VLOOKUP(B20,'OI(Value)'!$A$7:$C$232,3,0)</f>
        <v>-26</v>
      </c>
      <c r="M20" s="33">
        <f t="shared" si="0"/>
        <v>-0.85667215815485998</v>
      </c>
      <c r="N20" s="5">
        <f>VLOOKUP($B20,'Data Vlaue (Cr)'!$C:$FB,67)</f>
        <v>4655</v>
      </c>
      <c r="O20" s="5">
        <f>VLOOKUP($B20,'Data Vlaue (Cr)'!$C:$FB,68)</f>
        <v>5669</v>
      </c>
      <c r="P20" s="5">
        <f t="shared" si="1"/>
        <v>-21.783029001074112</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Automobile</v>
      </c>
      <c r="B21" s="79" t="str">
        <f>'Data shares'!C16</f>
        <v>ASHOKLEY</v>
      </c>
      <c r="C21" s="4">
        <f>VLOOKUP($B21,'Data shares'!$C:$FB,7)</f>
        <v>170.63</v>
      </c>
      <c r="D21" s="82">
        <f>VLOOKUP($B21,'Data shares'!$C:$FB,98)</f>
        <v>328660000</v>
      </c>
      <c r="E21" s="165">
        <f>VLOOKUP(B21,'Snapshot (Volume)'!$A$7:$G$168,7,0)</f>
        <v>312935000</v>
      </c>
      <c r="F21" s="165">
        <f t="shared" si="2"/>
        <v>15725000</v>
      </c>
      <c r="G21" s="166">
        <f t="shared" si="3"/>
        <v>5.0250051927716616E-2</v>
      </c>
      <c r="H21" s="165">
        <f>VLOOKUP($B21,'Data shares'!$C:$FB,66)</f>
        <v>381725000</v>
      </c>
      <c r="I21" s="165">
        <f>VLOOKUP($B21,'Data shares'!$C:$FB,67)</f>
        <v>333355000</v>
      </c>
      <c r="J21" s="81">
        <f t="shared" si="4"/>
        <v>14.510056846304989</v>
      </c>
      <c r="K21" s="5">
        <f>VLOOKUP($B21,'Data Vlaue (Cr)'!$C:$FB,99)</f>
        <v>5617</v>
      </c>
      <c r="L21" s="81">
        <f>VLOOKUP(B21,'OI(Value)'!$A$7:$C$232,3,0)</f>
        <v>269</v>
      </c>
      <c r="M21" s="33">
        <f t="shared" si="0"/>
        <v>4.789033291792772</v>
      </c>
      <c r="N21" s="5">
        <f>VLOOKUP($B21,'Data Vlaue (Cr)'!$C:$FB,67)</f>
        <v>6524</v>
      </c>
      <c r="O21" s="5">
        <f>VLOOKUP($B21,'Data Vlaue (Cr)'!$C:$FB,68)</f>
        <v>5698</v>
      </c>
      <c r="P21" s="5">
        <f t="shared" si="1"/>
        <v>12.660944206008583</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FMCG</v>
      </c>
      <c r="B22" s="79" t="str">
        <f>'Data shares'!C17</f>
        <v>ASIANPAINT</v>
      </c>
      <c r="C22" s="4">
        <f>VLOOKUP($B22,'Data shares'!$C:$FB,7)</f>
        <v>2521.4</v>
      </c>
      <c r="D22" s="82">
        <f>VLOOKUP($B22,'Data shares'!$C:$FB,98)</f>
        <v>25227750</v>
      </c>
      <c r="E22" s="165">
        <f>VLOOKUP(B22,'Snapshot (Volume)'!$A$7:$G$168,7,0)</f>
        <v>25841000</v>
      </c>
      <c r="F22" s="165">
        <f t="shared" si="2"/>
        <v>-613250</v>
      </c>
      <c r="G22" s="166">
        <f t="shared" si="3"/>
        <v>-2.3731666731163656E-2</v>
      </c>
      <c r="H22" s="165">
        <f>VLOOKUP($B22,'Data shares'!$C:$FB,66)</f>
        <v>20498750</v>
      </c>
      <c r="I22" s="165">
        <f>VLOOKUP($B22,'Data shares'!$C:$FB,67)</f>
        <v>15981000</v>
      </c>
      <c r="J22" s="81">
        <f t="shared" si="4"/>
        <v>28.269507540203993</v>
      </c>
      <c r="K22" s="5">
        <f>VLOOKUP($B22,'Data Vlaue (Cr)'!$C:$FB,99)</f>
        <v>6349</v>
      </c>
      <c r="L22" s="81">
        <f>VLOOKUP(B22,'OI(Value)'!$A$7:$C$232,3,0)</f>
        <v>-154</v>
      </c>
      <c r="M22" s="33">
        <f t="shared" si="0"/>
        <v>-2.4255788313120177</v>
      </c>
      <c r="N22" s="5">
        <f>VLOOKUP($B22,'Data Vlaue (Cr)'!$C:$FB,67)</f>
        <v>5159</v>
      </c>
      <c r="O22" s="5">
        <f>VLOOKUP($B22,'Data Vlaue (Cr)'!$C:$FB,68)</f>
        <v>4022</v>
      </c>
      <c r="P22" s="5">
        <f t="shared" si="1"/>
        <v>22.039154874975768</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Capital_Goods</v>
      </c>
      <c r="B23" s="79" t="str">
        <f>'Data shares'!C18</f>
        <v>ASTRAL</v>
      </c>
      <c r="C23" s="4">
        <f>VLOOKUP($B23,'Data shares'!$C:$FB,7)</f>
        <v>1574.9</v>
      </c>
      <c r="D23" s="82">
        <f>VLOOKUP($B23,'Data shares'!$C:$FB,98)</f>
        <v>18219325</v>
      </c>
      <c r="E23" s="165">
        <f>VLOOKUP(B23,'Snapshot (Volume)'!$A$7:$G$168,7,0)</f>
        <v>20626525</v>
      </c>
      <c r="F23" s="165">
        <f t="shared" si="2"/>
        <v>-2407200</v>
      </c>
      <c r="G23" s="166">
        <f t="shared" si="3"/>
        <v>-0.11670409824243298</v>
      </c>
      <c r="H23" s="165">
        <f>VLOOKUP($B23,'Data shares'!$C:$FB,66)</f>
        <v>15847825</v>
      </c>
      <c r="I23" s="165">
        <f>VLOOKUP($B23,'Data shares'!$C:$FB,67)</f>
        <v>6998050</v>
      </c>
      <c r="J23" s="81">
        <f>(H23-I23)/I23*100</f>
        <v>126.46058544880358</v>
      </c>
      <c r="K23" s="5">
        <f>VLOOKUP($B23,'Data Vlaue (Cr)'!$C:$FB,99)</f>
        <v>2870</v>
      </c>
      <c r="L23" s="81">
        <f>VLOOKUP(B23,'OI(Value)'!$A$7:$C$232,3,0)</f>
        <v>-379</v>
      </c>
      <c r="M23" s="33">
        <f t="shared" si="0"/>
        <v>-13.205574912891985</v>
      </c>
      <c r="N23" s="5">
        <f>VLOOKUP($B23,'Data Vlaue (Cr)'!$C:$FB,67)</f>
        <v>2497</v>
      </c>
      <c r="O23" s="5">
        <f>VLOOKUP($B23,'Data Vlaue (Cr)'!$C:$FB,68)</f>
        <v>1102</v>
      </c>
      <c r="P23" s="5">
        <f t="shared" si="1"/>
        <v>55.867040448538241</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Banking</v>
      </c>
      <c r="B24" s="79" t="str">
        <f>'Data shares'!C19</f>
        <v>AUBANK</v>
      </c>
      <c r="C24" s="79">
        <f>VLOOKUP($B24,'Data shares'!$C:$FB,7)</f>
        <v>1056.25</v>
      </c>
      <c r="D24" s="80">
        <f>VLOOKUP($B24,'Data shares'!$C:$FB,98)</f>
        <v>44555000</v>
      </c>
      <c r="E24" s="165">
        <f>VLOOKUP(B24,'Snapshot (Volume)'!$A$7:$G$168,7,0)</f>
        <v>42087000</v>
      </c>
      <c r="F24" s="165">
        <f t="shared" ref="F24:F36" si="5">D24-E24</f>
        <v>2468000</v>
      </c>
      <c r="G24" s="166">
        <f t="shared" ref="G24:G36" si="6">F24/E24</f>
        <v>5.8640435288806518E-2</v>
      </c>
      <c r="H24" s="165">
        <f>VLOOKUP($B24,'Data shares'!$C:$FB,66)</f>
        <v>43214000</v>
      </c>
      <c r="I24" s="165">
        <f>VLOOKUP($B24,'Data shares'!$C:$FB,67)</f>
        <v>35495000</v>
      </c>
      <c r="J24" s="81">
        <f t="shared" ref="J24:J36" si="7">(H24-I24)/I24*100</f>
        <v>21.746724890829693</v>
      </c>
      <c r="K24" s="81">
        <f>VLOOKUP($B24,'Data Vlaue (Cr)'!$C:$FB,99)</f>
        <v>4712</v>
      </c>
      <c r="L24" s="81">
        <f>VLOOKUP(B24,'OI(Value)'!$A$7:$C$232,3,0)</f>
        <v>261</v>
      </c>
      <c r="M24" s="81">
        <f t="shared" si="0"/>
        <v>5.5390492359932093</v>
      </c>
      <c r="N24" s="81">
        <f>VLOOKUP($B24,'Data Vlaue (Cr)'!$C:$FB,67)</f>
        <v>4570</v>
      </c>
      <c r="O24" s="81">
        <f>VLOOKUP($B24,'Data Vlaue (Cr)'!$C:$FB,68)</f>
        <v>3754</v>
      </c>
      <c r="P24" s="81">
        <f t="shared" ref="P24:P36" si="8">(N24-O24)/N24*100</f>
        <v>17.855579868708972</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Pharma</v>
      </c>
      <c r="B25" s="79" t="str">
        <f>'Data shares'!C20</f>
        <v>AUROPHARMA</v>
      </c>
      <c r="C25" s="4">
        <f>VLOOKUP($B25,'Data shares'!$C:$FB,7)</f>
        <v>1435.4</v>
      </c>
      <c r="D25" s="82">
        <f>VLOOKUP($B25,'Data shares'!$C:$FB,98)</f>
        <v>30328100</v>
      </c>
      <c r="E25" s="165">
        <f>VLOOKUP(B25,'Snapshot (Volume)'!$A$7:$G$168,7,0)</f>
        <v>29419500</v>
      </c>
      <c r="F25" s="165">
        <f t="shared" si="5"/>
        <v>908600</v>
      </c>
      <c r="G25" s="166">
        <f t="shared" si="6"/>
        <v>3.0884277435034586E-2</v>
      </c>
      <c r="H25" s="165">
        <f>VLOOKUP($B25,'Data shares'!$C:$FB,66)</f>
        <v>23829300</v>
      </c>
      <c r="I25" s="165">
        <f>VLOOKUP($B25,'Data shares'!$C:$FB,67)</f>
        <v>13724700</v>
      </c>
      <c r="J25" s="81">
        <f t="shared" si="7"/>
        <v>73.623467179610486</v>
      </c>
      <c r="K25" s="5">
        <f>VLOOKUP($B25,'Data Vlaue (Cr)'!$C:$FB,99)</f>
        <v>4360</v>
      </c>
      <c r="L25" s="81">
        <f>VLOOKUP(B25,'OI(Value)'!$A$7:$C$232,3,0)</f>
        <v>131</v>
      </c>
      <c r="M25" s="33">
        <f t="shared" si="0"/>
        <v>3.0045871559633031</v>
      </c>
      <c r="N25" s="5">
        <f>VLOOKUP($B25,'Data Vlaue (Cr)'!$C:$FB,67)</f>
        <v>3426</v>
      </c>
      <c r="O25" s="5">
        <f>VLOOKUP($B25,'Data Vlaue (Cr)'!$C:$FB,68)</f>
        <v>1973</v>
      </c>
      <c r="P25" s="5">
        <f t="shared" si="8"/>
        <v>42.410974897840049</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Banking</v>
      </c>
      <c r="B26" s="79" t="str">
        <f>'Data shares'!C21</f>
        <v>AXISBANK</v>
      </c>
      <c r="C26" s="4">
        <f>VLOOKUP($B26,'Data shares'!$C:$FB,7)</f>
        <v>1369.6</v>
      </c>
      <c r="D26" s="82">
        <f>VLOOKUP($B26,'Data shares'!$C:$FB,98)</f>
        <v>99314375</v>
      </c>
      <c r="E26" s="165">
        <f>VLOOKUP(B26,'Snapshot (Volume)'!$A$7:$G$168,7,0)</f>
        <v>95924375</v>
      </c>
      <c r="F26" s="165">
        <f t="shared" si="5"/>
        <v>3390000</v>
      </c>
      <c r="G26" s="166">
        <f t="shared" si="6"/>
        <v>3.5340339720743554E-2</v>
      </c>
      <c r="H26" s="165">
        <f>VLOOKUP($B26,'Data shares'!$C:$FB,66)</f>
        <v>70062500</v>
      </c>
      <c r="I26" s="165">
        <f>VLOOKUP($B26,'Data shares'!$C:$FB,67)</f>
        <v>47274375</v>
      </c>
      <c r="J26" s="81">
        <f t="shared" si="7"/>
        <v>48.203968852047225</v>
      </c>
      <c r="K26" s="5">
        <f>VLOOKUP($B26,'Data Vlaue (Cr)'!$C:$FB,99)</f>
        <v>13579</v>
      </c>
      <c r="L26" s="81">
        <f>VLOOKUP(B26,'OI(Value)'!$A$7:$C$232,3,0)</f>
        <v>464</v>
      </c>
      <c r="M26" s="33">
        <f t="shared" si="0"/>
        <v>3.4170410192208558</v>
      </c>
      <c r="N26" s="5">
        <f>VLOOKUP($B26,'Data Vlaue (Cr)'!$C:$FB,67)</f>
        <v>9580</v>
      </c>
      <c r="O26" s="5">
        <f>VLOOKUP($B26,'Data Vlaue (Cr)'!$C:$FB,68)</f>
        <v>6464</v>
      </c>
      <c r="P26" s="5">
        <f t="shared" si="8"/>
        <v>32.526096033402922</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Automobile</v>
      </c>
      <c r="B27" s="79" t="str">
        <f>'Data shares'!C22</f>
        <v>BAJAJ-AUTO</v>
      </c>
      <c r="C27" s="4">
        <f>VLOOKUP($B27,'Data shares'!$C:$FB,7)</f>
        <v>9550.5</v>
      </c>
      <c r="D27" s="82">
        <f>VLOOKUP($B27,'Data shares'!$C:$FB,98)</f>
        <v>5352075</v>
      </c>
      <c r="E27" s="165">
        <f>VLOOKUP(B27,'Snapshot (Volume)'!$A$7:$G$168,7,0)</f>
        <v>5524125</v>
      </c>
      <c r="F27" s="165">
        <f t="shared" si="5"/>
        <v>-172050</v>
      </c>
      <c r="G27" s="166">
        <f t="shared" si="6"/>
        <v>-3.1145203991582378E-2</v>
      </c>
      <c r="H27" s="165">
        <f>VLOOKUP($B27,'Data shares'!$C:$FB,66)</f>
        <v>5561025</v>
      </c>
      <c r="I27" s="165">
        <f>VLOOKUP($B27,'Data shares'!$C:$FB,67)</f>
        <v>3412950</v>
      </c>
      <c r="J27" s="81">
        <f t="shared" si="7"/>
        <v>62.938953105085048</v>
      </c>
      <c r="K27" s="5">
        <f>VLOOKUP($B27,'Data Vlaue (Cr)'!$C:$FB,99)</f>
        <v>5124</v>
      </c>
      <c r="L27" s="81">
        <f>VLOOKUP(B27,'OI(Value)'!$A$7:$C$232,3,0)</f>
        <v>-165</v>
      </c>
      <c r="M27" s="33">
        <f t="shared" si="0"/>
        <v>-3.2201405152224827</v>
      </c>
      <c r="N27" s="5">
        <f>VLOOKUP($B27,'Data Vlaue (Cr)'!$C:$FB,67)</f>
        <v>5324</v>
      </c>
      <c r="O27" s="5">
        <f>VLOOKUP($B27,'Data Vlaue (Cr)'!$C:$FB,68)</f>
        <v>3268</v>
      </c>
      <c r="P27" s="5">
        <f t="shared" si="8"/>
        <v>38.617580766341099</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BAJAJFINSV</v>
      </c>
      <c r="C28" s="4">
        <f>VLOOKUP($B28,'Data shares'!$C:$FB,7)</f>
        <v>1792.6</v>
      </c>
      <c r="D28" s="82">
        <f>VLOOKUP($B28,'Data shares'!$C:$FB,98)</f>
        <v>18712500</v>
      </c>
      <c r="E28" s="165">
        <f>VLOOKUP(B28,'Snapshot (Volume)'!$A$7:$G$168,7,0)</f>
        <v>18208750</v>
      </c>
      <c r="F28" s="165">
        <f t="shared" si="5"/>
        <v>503750</v>
      </c>
      <c r="G28" s="166">
        <f t="shared" si="6"/>
        <v>2.7665270817601426E-2</v>
      </c>
      <c r="H28" s="165">
        <f>VLOOKUP($B28,'Data shares'!$C:$FB,66)</f>
        <v>15312250</v>
      </c>
      <c r="I28" s="165">
        <f>VLOOKUP($B28,'Data shares'!$C:$FB,67)</f>
        <v>6788000</v>
      </c>
      <c r="J28" s="81">
        <f t="shared" si="7"/>
        <v>125.57822628167355</v>
      </c>
      <c r="K28" s="5">
        <f>VLOOKUP($B28,'Data Vlaue (Cr)'!$C:$FB,99)</f>
        <v>3348</v>
      </c>
      <c r="L28" s="81">
        <f>VLOOKUP(B28,'OI(Value)'!$A$7:$C$232,3,0)</f>
        <v>90</v>
      </c>
      <c r="M28" s="33">
        <f t="shared" si="0"/>
        <v>2.6881720430107525</v>
      </c>
      <c r="N28" s="5">
        <f>VLOOKUP($B28,'Data Vlaue (Cr)'!$C:$FB,67)</f>
        <v>2740</v>
      </c>
      <c r="O28" s="5">
        <f>VLOOKUP($B28,'Data Vlaue (Cr)'!$C:$FB,68)</f>
        <v>1215</v>
      </c>
      <c r="P28" s="5">
        <f t="shared" si="8"/>
        <v>55.65693430656934</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BAJAJHLDNG</v>
      </c>
      <c r="C29" s="4">
        <f>VLOOKUP($B29,'Data shares'!$C:$FB,7)</f>
        <v>10376.5</v>
      </c>
      <c r="D29" s="82">
        <f>VLOOKUP($B29,'Data shares'!$C:$FB,98)</f>
        <v>402250</v>
      </c>
      <c r="E29" s="165">
        <f>VLOOKUP(B29,'Snapshot (Volume)'!$A$7:$G$168,7,0)</f>
        <v>416250</v>
      </c>
      <c r="F29" s="165">
        <f t="shared" si="5"/>
        <v>-14000</v>
      </c>
      <c r="G29" s="166">
        <f t="shared" si="6"/>
        <v>-3.3633633633633635E-2</v>
      </c>
      <c r="H29" s="165">
        <f>VLOOKUP($B29,'Data shares'!$C:$FB,66)</f>
        <v>449200</v>
      </c>
      <c r="I29" s="165">
        <f>VLOOKUP($B29,'Data shares'!$C:$FB,67)</f>
        <v>343100</v>
      </c>
      <c r="J29" s="81">
        <f t="shared" si="7"/>
        <v>30.923928883707376</v>
      </c>
      <c r="K29" s="5">
        <f>VLOOKUP($B29,'Data Vlaue (Cr)'!$C:$FB,99)</f>
        <v>417</v>
      </c>
      <c r="L29" s="81">
        <f>VLOOKUP(B29,'OI(Value)'!$A$7:$C$232,3,0)</f>
        <v>-15</v>
      </c>
      <c r="M29" s="33">
        <f t="shared" si="0"/>
        <v>-3.5971223021582732</v>
      </c>
      <c r="N29" s="5">
        <f>VLOOKUP($B29,'Data Vlaue (Cr)'!$C:$FB,67)</f>
        <v>466</v>
      </c>
      <c r="O29" s="5">
        <f>VLOOKUP($B29,'Data Vlaue (Cr)'!$C:$FB,68)</f>
        <v>356</v>
      </c>
      <c r="P29" s="5">
        <f t="shared" si="8"/>
        <v>23.605150214592275</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Finance</v>
      </c>
      <c r="B30" s="79" t="str">
        <f>'Data shares'!C25</f>
        <v>BAJFINANCE</v>
      </c>
      <c r="C30" s="4">
        <f>VLOOKUP($B30,'Data shares'!$C:$FB,7)</f>
        <v>918.35</v>
      </c>
      <c r="D30" s="82">
        <f>VLOOKUP($B30,'Data shares'!$C:$FB,98)</f>
        <v>112378500</v>
      </c>
      <c r="E30" s="165">
        <f>VLOOKUP(B30,'Snapshot (Volume)'!$A$7:$G$168,7,0)</f>
        <v>111276000</v>
      </c>
      <c r="F30" s="165">
        <f t="shared" si="5"/>
        <v>1102500</v>
      </c>
      <c r="G30" s="166">
        <f t="shared" si="6"/>
        <v>9.907796829505015E-3</v>
      </c>
      <c r="H30" s="165">
        <f>VLOOKUP($B30,'Data shares'!$C:$FB,66)</f>
        <v>100338750</v>
      </c>
      <c r="I30" s="165">
        <f>VLOOKUP($B30,'Data shares'!$C:$FB,67)</f>
        <v>71716500</v>
      </c>
      <c r="J30" s="81">
        <f t="shared" si="7"/>
        <v>39.910271694798269</v>
      </c>
      <c r="K30" s="5">
        <f>VLOOKUP($B30,'Data Vlaue (Cr)'!$C:$FB,99)</f>
        <v>10302</v>
      </c>
      <c r="L30" s="81">
        <f>VLOOKUP(B30,'OI(Value)'!$A$7:$C$232,3,0)</f>
        <v>101</v>
      </c>
      <c r="M30" s="33">
        <f t="shared" si="0"/>
        <v>0.98039215686274506</v>
      </c>
      <c r="N30" s="5">
        <f>VLOOKUP($B30,'Data Vlaue (Cr)'!$C:$FB,67)</f>
        <v>9199</v>
      </c>
      <c r="O30" s="5">
        <f>VLOOKUP($B30,'Data Vlaue (Cr)'!$C:$FB,68)</f>
        <v>6575</v>
      </c>
      <c r="P30" s="5">
        <f t="shared" si="8"/>
        <v>28.524839656484403</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BANDHANBNK</v>
      </c>
      <c r="C31" s="4">
        <f>VLOOKUP($B31,'Data shares'!$C:$FB,7)</f>
        <v>173.9</v>
      </c>
      <c r="D31" s="82">
        <f>VLOOKUP($B31,'Data shares'!$C:$FB,98)</f>
        <v>138225600</v>
      </c>
      <c r="E31" s="165">
        <f>VLOOKUP(B31,'Snapshot (Volume)'!$A$7:$G$168,7,0)</f>
        <v>137844000</v>
      </c>
      <c r="F31" s="165">
        <f t="shared" si="5"/>
        <v>381600</v>
      </c>
      <c r="G31" s="166">
        <f t="shared" si="6"/>
        <v>2.768346826847741E-3</v>
      </c>
      <c r="H31" s="165">
        <f>VLOOKUP($B31,'Data shares'!$C:$FB,66)</f>
        <v>73861200</v>
      </c>
      <c r="I31" s="165">
        <f>VLOOKUP($B31,'Data shares'!$C:$FB,67)</f>
        <v>56296800</v>
      </c>
      <c r="J31" s="81">
        <f t="shared" si="7"/>
        <v>31.199641897940911</v>
      </c>
      <c r="K31" s="5">
        <f>VLOOKUP($B31,'Data Vlaue (Cr)'!$C:$FB,99)</f>
        <v>2401</v>
      </c>
      <c r="L31" s="81">
        <f>VLOOKUP(B31,'OI(Value)'!$A$7:$C$232,3,0)</f>
        <v>7</v>
      </c>
      <c r="M31" s="33">
        <f t="shared" si="0"/>
        <v>0.29154518950437319</v>
      </c>
      <c r="N31" s="5">
        <f>VLOOKUP($B31,'Data Vlaue (Cr)'!$C:$FB,67)</f>
        <v>1283</v>
      </c>
      <c r="O31" s="5">
        <f>VLOOKUP($B31,'Data Vlaue (Cr)'!$C:$FB,68)</f>
        <v>978</v>
      </c>
      <c r="P31" s="5">
        <f t="shared" si="8"/>
        <v>23.772408417770848</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BANKBARODA</v>
      </c>
      <c r="C32" s="4">
        <f>VLOOKUP($B32,'Data shares'!$C:$FB,7)</f>
        <v>276.33999999999997</v>
      </c>
      <c r="D32" s="82">
        <f>VLOOKUP($B32,'Data shares'!$C:$FB,98)</f>
        <v>204516000</v>
      </c>
      <c r="E32" s="165">
        <f>VLOOKUP(B32,'Snapshot (Volume)'!$A$7:$G$168,7,0)</f>
        <v>192365550</v>
      </c>
      <c r="F32" s="165">
        <f t="shared" si="5"/>
        <v>12150450</v>
      </c>
      <c r="G32" s="166">
        <f t="shared" si="6"/>
        <v>6.3163336678526902E-2</v>
      </c>
      <c r="H32" s="165">
        <f>VLOOKUP($B32,'Data shares'!$C:$FB,66)</f>
        <v>174309525</v>
      </c>
      <c r="I32" s="165">
        <f>VLOOKUP($B32,'Data shares'!$C:$FB,67)</f>
        <v>78407550</v>
      </c>
      <c r="J32" s="81">
        <f t="shared" si="7"/>
        <v>122.31216891740655</v>
      </c>
      <c r="K32" s="5">
        <f>VLOOKUP($B32,'Data Vlaue (Cr)'!$C:$FB,99)</f>
        <v>5655</v>
      </c>
      <c r="L32" s="81">
        <f>VLOOKUP(B32,'OI(Value)'!$A$7:$C$232,3,0)</f>
        <v>336</v>
      </c>
      <c r="M32" s="33">
        <f t="shared" si="0"/>
        <v>5.9416445623342176</v>
      </c>
      <c r="N32" s="5">
        <f>VLOOKUP($B32,'Data Vlaue (Cr)'!$C:$FB,67)</f>
        <v>4820</v>
      </c>
      <c r="O32" s="5">
        <f>VLOOKUP($B32,'Data Vlaue (Cr)'!$C:$FB,68)</f>
        <v>2168</v>
      </c>
      <c r="P32" s="5">
        <f t="shared" si="8"/>
        <v>55.020746887966808</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Banking</v>
      </c>
      <c r="B33" s="79" t="str">
        <f>'Data shares'!C28</f>
        <v>BANKINDIA</v>
      </c>
      <c r="C33" s="4">
        <f>VLOOKUP($B33,'Data shares'!$C:$FB,7)</f>
        <v>150.86000000000001</v>
      </c>
      <c r="D33" s="82">
        <f>VLOOKUP($B33,'Data shares'!$C:$FB,98)</f>
        <v>105840800</v>
      </c>
      <c r="E33" s="165">
        <f>VLOOKUP(B33,'Snapshot (Volume)'!$A$7:$G$168,7,0)</f>
        <v>109761600</v>
      </c>
      <c r="F33" s="165">
        <f t="shared" si="5"/>
        <v>-3920800</v>
      </c>
      <c r="G33" s="166">
        <f t="shared" si="6"/>
        <v>-3.5721053628955848E-2</v>
      </c>
      <c r="H33" s="165">
        <f>VLOOKUP($B33,'Data shares'!$C:$FB,66)</f>
        <v>114275200</v>
      </c>
      <c r="I33" s="165">
        <f>VLOOKUP($B33,'Data shares'!$C:$FB,67)</f>
        <v>100219600</v>
      </c>
      <c r="J33" s="81">
        <f t="shared" si="7"/>
        <v>14.024801535827322</v>
      </c>
      <c r="K33" s="5">
        <f>VLOOKUP($B33,'Data Vlaue (Cr)'!$C:$FB,99)</f>
        <v>1594</v>
      </c>
      <c r="L33" s="81">
        <f>VLOOKUP(B33,'OI(Value)'!$A$7:$C$232,3,0)</f>
        <v>-59</v>
      </c>
      <c r="M33" s="33">
        <f t="shared" si="0"/>
        <v>-3.7013801756587204</v>
      </c>
      <c r="N33" s="5">
        <f>VLOOKUP($B33,'Data Vlaue (Cr)'!$C:$FB,67)</f>
        <v>1721</v>
      </c>
      <c r="O33" s="5">
        <f>VLOOKUP($B33,'Data Vlaue (Cr)'!$C:$FB,68)</f>
        <v>1509</v>
      </c>
      <c r="P33" s="5">
        <f t="shared" si="8"/>
        <v>12.31841952353283</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Index</v>
      </c>
      <c r="B34" s="79" t="str">
        <f>'Data shares'!C29</f>
        <v>BANKNIFTY</v>
      </c>
      <c r="C34" s="4">
        <f>VLOOKUP($B34,'Data shares'!$C:$FB,7)</f>
        <v>56305</v>
      </c>
      <c r="D34" s="82">
        <f>VLOOKUP($B34,'Data shares'!$C:$FB,98)</f>
        <v>45145020</v>
      </c>
      <c r="E34" s="165">
        <f>VLOOKUP(B34,'Snapshot (Volume)'!$A$7:$G$168,7,0)</f>
        <v>44003130</v>
      </c>
      <c r="F34" s="165">
        <f t="shared" si="5"/>
        <v>1141890</v>
      </c>
      <c r="G34" s="166">
        <f t="shared" si="6"/>
        <v>2.5950199451720821E-2</v>
      </c>
      <c r="H34" s="165">
        <f>VLOOKUP($B34,'Data shares'!$C:$FB,66)</f>
        <v>127968450</v>
      </c>
      <c r="I34" s="165">
        <f>VLOOKUP($B34,'Data shares'!$C:$FB,67)</f>
        <v>116476470</v>
      </c>
      <c r="J34" s="81">
        <f t="shared" si="7"/>
        <v>9.866353264311666</v>
      </c>
      <c r="K34" s="5">
        <f>VLOOKUP($B34,'Data Vlaue (Cr)'!$C:$FB,99)</f>
        <v>254366</v>
      </c>
      <c r="L34" s="81">
        <f>VLOOKUP(B34,'OI(Value)'!$A$7:$C$232,3,0)</f>
        <v>6434</v>
      </c>
      <c r="M34" s="33">
        <f t="shared" si="0"/>
        <v>2.5294261025451514</v>
      </c>
      <c r="N34" s="5">
        <f>VLOOKUP($B34,'Data Vlaue (Cr)'!$C:$FB,67)</f>
        <v>721028</v>
      </c>
      <c r="O34" s="5">
        <f>VLOOKUP($B34,'Data Vlaue (Cr)'!$C:$FB,68)</f>
        <v>656277</v>
      </c>
      <c r="P34" s="5">
        <f t="shared" si="8"/>
        <v>8.9803724681981834</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BDL</v>
      </c>
      <c r="C35" s="4">
        <f>VLOOKUP($B35,'Data shares'!$C:$FB,7)</f>
        <v>1423.3</v>
      </c>
      <c r="D35" s="82">
        <f>VLOOKUP($B35,'Data shares'!$C:$FB,98)</f>
        <v>11016950</v>
      </c>
      <c r="E35" s="165">
        <f>VLOOKUP(B35,'Snapshot (Volume)'!$A$7:$G$168,7,0)</f>
        <v>10586450</v>
      </c>
      <c r="F35" s="165">
        <f t="shared" si="5"/>
        <v>430500</v>
      </c>
      <c r="G35" s="166">
        <f t="shared" si="6"/>
        <v>4.0665189936192017E-2</v>
      </c>
      <c r="H35" s="165">
        <f>VLOOKUP($B35,'Data shares'!$C:$FB,66)</f>
        <v>17820600</v>
      </c>
      <c r="I35" s="165">
        <f>VLOOKUP($B35,'Data shares'!$C:$FB,67)</f>
        <v>6240150</v>
      </c>
      <c r="J35" s="81">
        <f t="shared" si="7"/>
        <v>185.57967356553928</v>
      </c>
      <c r="K35" s="5">
        <f>VLOOKUP($B35,'Data Vlaue (Cr)'!$C:$FB,99)</f>
        <v>1569</v>
      </c>
      <c r="L35" s="81">
        <f>VLOOKUP(B35,'OI(Value)'!$A$7:$C$232,3,0)</f>
        <v>61</v>
      </c>
      <c r="M35" s="33">
        <f t="shared" si="0"/>
        <v>3.8878266411727216</v>
      </c>
      <c r="N35" s="5">
        <f>VLOOKUP($B35,'Data Vlaue (Cr)'!$C:$FB,67)</f>
        <v>2539</v>
      </c>
      <c r="O35" s="5">
        <f>VLOOKUP($B35,'Data Vlaue (Cr)'!$C:$FB,68)</f>
        <v>889</v>
      </c>
      <c r="P35" s="5">
        <f t="shared" si="8"/>
        <v>64.98621504529342</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Capital_Goods</v>
      </c>
      <c r="B36" s="79" t="str">
        <f>'Data shares'!C31</f>
        <v>BEL</v>
      </c>
      <c r="C36" s="4">
        <f>VLOOKUP($B36,'Data shares'!$C:$FB,7)</f>
        <v>449.95</v>
      </c>
      <c r="D36" s="82">
        <f>VLOOKUP($B36,'Data shares'!$C:$FB,98)</f>
        <v>188080050</v>
      </c>
      <c r="E36" s="165">
        <f>VLOOKUP(B36,'Snapshot (Volume)'!$A$7:$G$168,7,0)</f>
        <v>187679625</v>
      </c>
      <c r="F36" s="165">
        <f t="shared" si="5"/>
        <v>400425</v>
      </c>
      <c r="G36" s="166">
        <f t="shared" si="6"/>
        <v>2.1335560533009379E-3</v>
      </c>
      <c r="H36" s="165">
        <f>VLOOKUP($B36,'Data shares'!$C:$FB,66)</f>
        <v>162901725</v>
      </c>
      <c r="I36" s="165">
        <f>VLOOKUP($B36,'Data shares'!$C:$FB,67)</f>
        <v>120914100</v>
      </c>
      <c r="J36" s="81">
        <f t="shared" si="7"/>
        <v>34.725168528732382</v>
      </c>
      <c r="K36" s="5">
        <f>VLOOKUP($B36,'Data Vlaue (Cr)'!$C:$FB,99)</f>
        <v>8469</v>
      </c>
      <c r="L36" s="81">
        <f>VLOOKUP(B36,'OI(Value)'!$A$7:$C$232,3,0)</f>
        <v>18</v>
      </c>
      <c r="M36" s="33">
        <f t="shared" si="0"/>
        <v>0.21253985122210414</v>
      </c>
      <c r="N36" s="5">
        <f>VLOOKUP($B36,'Data Vlaue (Cr)'!$C:$FB,67)</f>
        <v>7335</v>
      </c>
      <c r="O36" s="5">
        <f>VLOOKUP($B36,'Data Vlaue (Cr)'!$C:$FB,68)</f>
        <v>5445</v>
      </c>
      <c r="P36" s="5">
        <f t="shared" si="8"/>
        <v>25.766871165644172</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Automobile</v>
      </c>
      <c r="B37" s="79" t="str">
        <f>'Data shares'!C32</f>
        <v>BHARATFORG</v>
      </c>
      <c r="C37" s="4">
        <f>VLOOKUP($B37,'Data shares'!$C:$FB,7)</f>
        <v>1874.1</v>
      </c>
      <c r="D37" s="82">
        <f>VLOOKUP($B37,'Data shares'!$C:$FB,98)</f>
        <v>16088000</v>
      </c>
      <c r="E37" s="165">
        <f>VLOOKUP(B37,'Snapshot (Volume)'!$A$7:$G$168,7,0)</f>
        <v>14917500</v>
      </c>
      <c r="F37" s="165">
        <f t="shared" ref="F37:F43" si="9">D37-E37</f>
        <v>1170500</v>
      </c>
      <c r="G37" s="166">
        <f t="shared" ref="G37:G43" si="10">F37/E37</f>
        <v>7.8464890229596115E-2</v>
      </c>
      <c r="H37" s="165">
        <f>VLOOKUP($B37,'Data shares'!$C:$FB,66)</f>
        <v>17452500</v>
      </c>
      <c r="I37" s="165">
        <f>VLOOKUP($B37,'Data shares'!$C:$FB,67)</f>
        <v>10284500</v>
      </c>
      <c r="J37" s="81">
        <f t="shared" ref="J37:J43" si="11">(H37-I37)/I37*100</f>
        <v>69.697117020759393</v>
      </c>
      <c r="K37" s="5">
        <f>VLOOKUP($B37,'Data Vlaue (Cr)'!$C:$FB,99)</f>
        <v>2993</v>
      </c>
      <c r="L37" s="81">
        <f>VLOOKUP(B37,'OI(Value)'!$A$7:$C$232,3,0)</f>
        <v>218</v>
      </c>
      <c r="M37" s="33">
        <f t="shared" ref="M37:M65" si="12">L37/K37*100</f>
        <v>7.2836618777146676</v>
      </c>
      <c r="N37" s="5">
        <f>VLOOKUP($B37,'Data Vlaue (Cr)'!$C:$FB,67)</f>
        <v>3247</v>
      </c>
      <c r="O37" s="5">
        <f>VLOOKUP($B37,'Data Vlaue (Cr)'!$C:$FB,68)</f>
        <v>1914</v>
      </c>
      <c r="P37" s="5">
        <f t="shared" ref="P37:P43" si="13">(N37-O37)/N37*100</f>
        <v>41.053279950723741</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Telecom</v>
      </c>
      <c r="B38" s="79" t="str">
        <f>'Data shares'!C33</f>
        <v>BHARTIARTL</v>
      </c>
      <c r="C38" s="4">
        <f>VLOOKUP($B38,'Data shares'!$C:$FB,7)</f>
        <v>1841.2</v>
      </c>
      <c r="D38" s="82">
        <f>VLOOKUP($B38,'Data shares'!$C:$FB,98)</f>
        <v>84268800</v>
      </c>
      <c r="E38" s="165">
        <f>VLOOKUP(B38,'Snapshot (Volume)'!$A$7:$G$168,7,0)</f>
        <v>84977025</v>
      </c>
      <c r="F38" s="165">
        <f t="shared" si="9"/>
        <v>-708225</v>
      </c>
      <c r="G38" s="166">
        <f t="shared" si="10"/>
        <v>-8.3343115389130171E-3</v>
      </c>
      <c r="H38" s="165">
        <f>VLOOKUP($B38,'Data shares'!$C:$FB,66)</f>
        <v>54242150</v>
      </c>
      <c r="I38" s="165">
        <f>VLOOKUP($B38,'Data shares'!$C:$FB,67)</f>
        <v>38645050</v>
      </c>
      <c r="J38" s="81">
        <f t="shared" si="11"/>
        <v>40.359890852774157</v>
      </c>
      <c r="K38" s="5">
        <f>VLOOKUP($B38,'Data Vlaue (Cr)'!$C:$FB,99)</f>
        <v>15493</v>
      </c>
      <c r="L38" s="81">
        <f>VLOOKUP(B38,'OI(Value)'!$A$7:$C$232,3,0)</f>
        <v>-130</v>
      </c>
      <c r="M38" s="33">
        <f t="shared" si="12"/>
        <v>-0.8390886206673982</v>
      </c>
      <c r="N38" s="5">
        <f>VLOOKUP($B38,'Data Vlaue (Cr)'!$C:$FB,67)</f>
        <v>9972</v>
      </c>
      <c r="O38" s="5">
        <f>VLOOKUP($B38,'Data Vlaue (Cr)'!$C:$FB,68)</f>
        <v>7105</v>
      </c>
      <c r="P38" s="5">
        <f t="shared" si="13"/>
        <v>28.750501403931004</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BHEL</v>
      </c>
      <c r="C39" s="4">
        <f>VLOOKUP($B39,'Data shares'!$C:$FB,7)</f>
        <v>337.6</v>
      </c>
      <c r="D39" s="82">
        <f>VLOOKUP($B39,'Data shares'!$C:$FB,98)</f>
        <v>210228375</v>
      </c>
      <c r="E39" s="165">
        <f>VLOOKUP(B39,'Snapshot (Volume)'!$A$7:$G$168,7,0)</f>
        <v>211393875</v>
      </c>
      <c r="F39" s="165">
        <f t="shared" si="9"/>
        <v>-1165500</v>
      </c>
      <c r="G39" s="166">
        <f t="shared" si="10"/>
        <v>-5.5134047758006238E-3</v>
      </c>
      <c r="H39" s="165">
        <f>VLOOKUP($B39,'Data shares'!$C:$FB,66)</f>
        <v>252950250</v>
      </c>
      <c r="I39" s="165">
        <f>VLOOKUP($B39,'Data shares'!$C:$FB,67)</f>
        <v>205723875</v>
      </c>
      <c r="J39" s="81">
        <f t="shared" si="11"/>
        <v>22.956195531510378</v>
      </c>
      <c r="K39" s="5">
        <f>VLOOKUP($B39,'Data Vlaue (Cr)'!$C:$FB,99)</f>
        <v>7110</v>
      </c>
      <c r="L39" s="81">
        <f>VLOOKUP(B39,'OI(Value)'!$A$7:$C$232,3,0)</f>
        <v>-39</v>
      </c>
      <c r="M39" s="33">
        <f t="shared" si="12"/>
        <v>-0.54852320675105493</v>
      </c>
      <c r="N39" s="5">
        <f>VLOOKUP($B39,'Data Vlaue (Cr)'!$C:$FB,67)</f>
        <v>8555</v>
      </c>
      <c r="O39" s="5">
        <f>VLOOKUP($B39,'Data Vlaue (Cr)'!$C:$FB,68)</f>
        <v>6958</v>
      </c>
      <c r="P39" s="5">
        <f t="shared" si="13"/>
        <v>18.667445938047926</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Pharma</v>
      </c>
      <c r="B40" s="79" t="str">
        <f>'Data shares'!C35</f>
        <v>BIOCON</v>
      </c>
      <c r="C40" s="4">
        <f>VLOOKUP($B40,'Data shares'!$C:$FB,7)</f>
        <v>358</v>
      </c>
      <c r="D40" s="82">
        <f>VLOOKUP($B40,'Data shares'!$C:$FB,98)</f>
        <v>75197500</v>
      </c>
      <c r="E40" s="165">
        <f>VLOOKUP(B40,'Snapshot (Volume)'!$A$7:$G$168,7,0)</f>
        <v>73425000</v>
      </c>
      <c r="F40" s="165">
        <f t="shared" si="9"/>
        <v>1772500</v>
      </c>
      <c r="G40" s="166">
        <f t="shared" si="10"/>
        <v>2.4140279196458971E-2</v>
      </c>
      <c r="H40" s="165">
        <f>VLOOKUP($B40,'Data shares'!$C:$FB,66)</f>
        <v>68695000</v>
      </c>
      <c r="I40" s="165">
        <f>VLOOKUP($B40,'Data shares'!$C:$FB,67)</f>
        <v>35492500</v>
      </c>
      <c r="J40" s="81">
        <f t="shared" si="11"/>
        <v>93.547932661829975</v>
      </c>
      <c r="K40" s="5">
        <f>VLOOKUP($B40,'Data Vlaue (Cr)'!$C:$FB,99)</f>
        <v>2697</v>
      </c>
      <c r="L40" s="81">
        <f>VLOOKUP(B40,'OI(Value)'!$A$7:$C$232,3,0)</f>
        <v>64</v>
      </c>
      <c r="M40" s="33">
        <f t="shared" si="12"/>
        <v>2.3730070448646643</v>
      </c>
      <c r="N40" s="5">
        <f>VLOOKUP($B40,'Data Vlaue (Cr)'!$C:$FB,67)</f>
        <v>2463</v>
      </c>
      <c r="O40" s="5">
        <f>VLOOKUP($B40,'Data Vlaue (Cr)'!$C:$FB,68)</f>
        <v>1273</v>
      </c>
      <c r="P40" s="5">
        <f t="shared" si="13"/>
        <v>48.315062931384489</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Capital_Goods</v>
      </c>
      <c r="B41" s="79" t="str">
        <f>'Data shares'!C36</f>
        <v>BLUESTARCO</v>
      </c>
      <c r="C41" s="4">
        <f>VLOOKUP($B41,'Data shares'!$C:$FB,7)</f>
        <v>1829.8</v>
      </c>
      <c r="D41" s="82">
        <f>VLOOKUP($B41,'Data shares'!$C:$FB,98)</f>
        <v>6435000</v>
      </c>
      <c r="E41" s="165">
        <f>VLOOKUP(B41,'Snapshot (Volume)'!$A$7:$G$168,7,0)</f>
        <v>7024875</v>
      </c>
      <c r="F41" s="165">
        <f t="shared" si="9"/>
        <v>-589875</v>
      </c>
      <c r="G41" s="166">
        <f t="shared" si="10"/>
        <v>-8.3969465648854963E-2</v>
      </c>
      <c r="H41" s="165">
        <f>VLOOKUP($B41,'Data shares'!$C:$FB,66)</f>
        <v>6028425</v>
      </c>
      <c r="I41" s="165">
        <f>VLOOKUP($B41,'Data shares'!$C:$FB,67)</f>
        <v>3202875</v>
      </c>
      <c r="J41" s="81">
        <f t="shared" si="11"/>
        <v>88.219178082191789</v>
      </c>
      <c r="K41" s="5">
        <f>VLOOKUP($B41,'Data Vlaue (Cr)'!$C:$FB,99)</f>
        <v>1181</v>
      </c>
      <c r="L41" s="81">
        <f>VLOOKUP(B41,'OI(Value)'!$A$7:$C$232,3,0)</f>
        <v>-108</v>
      </c>
      <c r="M41" s="33">
        <f t="shared" si="12"/>
        <v>-9.144792548687553</v>
      </c>
      <c r="N41" s="5">
        <f>VLOOKUP($B41,'Data Vlaue (Cr)'!$C:$FB,67)</f>
        <v>1106</v>
      </c>
      <c r="O41" s="5">
        <f>VLOOKUP($B41,'Data Vlaue (Cr)'!$C:$FB,68)</f>
        <v>588</v>
      </c>
      <c r="P41" s="5">
        <f t="shared" si="13"/>
        <v>46.835443037974684</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Automobile</v>
      </c>
      <c r="B42" s="79" t="str">
        <f>'Data shares'!C37</f>
        <v>BOSCHLTD</v>
      </c>
      <c r="C42" s="4">
        <f>VLOOKUP($B42,'Data shares'!$C:$FB,7)</f>
        <v>37380</v>
      </c>
      <c r="D42" s="82">
        <f>VLOOKUP($B42,'Data shares'!$C:$FB,98)</f>
        <v>707125</v>
      </c>
      <c r="E42" s="165">
        <f>VLOOKUP(B42,'Snapshot (Volume)'!$A$7:$G$168,7,0)</f>
        <v>744400</v>
      </c>
      <c r="F42" s="165">
        <f t="shared" si="9"/>
        <v>-37275</v>
      </c>
      <c r="G42" s="166">
        <f t="shared" si="10"/>
        <v>-5.0073885008060183E-2</v>
      </c>
      <c r="H42" s="165">
        <f>VLOOKUP($B42,'Data shares'!$C:$FB,66)</f>
        <v>1819900</v>
      </c>
      <c r="I42" s="165">
        <f>VLOOKUP($B42,'Data shares'!$C:$FB,67)</f>
        <v>1396175</v>
      </c>
      <c r="J42" s="81">
        <f t="shared" si="11"/>
        <v>30.348989202642933</v>
      </c>
      <c r="K42" s="5">
        <f>VLOOKUP($B42,'Data Vlaue (Cr)'!$C:$FB,99)</f>
        <v>2641</v>
      </c>
      <c r="L42" s="81">
        <f>VLOOKUP(B42,'OI(Value)'!$A$7:$C$232,3,0)</f>
        <v>-139</v>
      </c>
      <c r="M42" s="33">
        <f t="shared" si="12"/>
        <v>-5.2631578947368416</v>
      </c>
      <c r="N42" s="5">
        <f>VLOOKUP($B42,'Data Vlaue (Cr)'!$C:$FB,67)</f>
        <v>6797</v>
      </c>
      <c r="O42" s="5">
        <f>VLOOKUP($B42,'Data Vlaue (Cr)'!$C:$FB,68)</f>
        <v>5215</v>
      </c>
      <c r="P42" s="5">
        <f t="shared" si="13"/>
        <v>23.274974253347064</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Oil_Gas</v>
      </c>
      <c r="B43" s="79" t="str">
        <f>'Data shares'!C38</f>
        <v>BPCL</v>
      </c>
      <c r="C43" s="4">
        <f>VLOOKUP($B43,'Data shares'!$C:$FB,7)</f>
        <v>309.8</v>
      </c>
      <c r="D43" s="82">
        <f>VLOOKUP($B43,'Data shares'!$C:$FB,98)</f>
        <v>107979175</v>
      </c>
      <c r="E43" s="165">
        <f>VLOOKUP(B43,'Snapshot (Volume)'!$A$7:$G$168,7,0)</f>
        <v>107929800</v>
      </c>
      <c r="F43" s="165">
        <f t="shared" si="9"/>
        <v>49375</v>
      </c>
      <c r="G43" s="166">
        <f t="shared" si="10"/>
        <v>4.5747328356024008E-4</v>
      </c>
      <c r="H43" s="165">
        <f>VLOOKUP($B43,'Data shares'!$C:$FB,66)</f>
        <v>70468000</v>
      </c>
      <c r="I43" s="165">
        <f>VLOOKUP($B43,'Data shares'!$C:$FB,67)</f>
        <v>50868100</v>
      </c>
      <c r="J43" s="81">
        <f t="shared" si="11"/>
        <v>38.530827768287004</v>
      </c>
      <c r="K43" s="5">
        <f>VLOOKUP($B43,'Data Vlaue (Cr)'!$C:$FB,99)</f>
        <v>3353</v>
      </c>
      <c r="L43" s="81">
        <f>VLOOKUP(B43,'OI(Value)'!$A$7:$C$232,3,0)</f>
        <v>2</v>
      </c>
      <c r="M43" s="33">
        <f t="shared" si="12"/>
        <v>5.9648076349537733E-2</v>
      </c>
      <c r="N43" s="5">
        <f>VLOOKUP($B43,'Data Vlaue (Cr)'!$C:$FB,67)</f>
        <v>2188</v>
      </c>
      <c r="O43" s="5">
        <f>VLOOKUP($B43,'Data Vlaue (Cr)'!$C:$FB,68)</f>
        <v>1579</v>
      </c>
      <c r="P43" s="5">
        <f t="shared" si="13"/>
        <v>27.833638025594148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FMCG</v>
      </c>
      <c r="B44" s="79" t="str">
        <f>'Data shares'!C39</f>
        <v>BRITANNIA</v>
      </c>
      <c r="C44" s="79">
        <f>VLOOKUP($B44,'Data shares'!$C:$FB,7)</f>
        <v>5671.5</v>
      </c>
      <c r="D44" s="165">
        <f>VLOOKUP($B44,'Data shares'!$C:$FB,98)</f>
        <v>4713500</v>
      </c>
      <c r="E44" s="165">
        <f>VLOOKUP(B44,'Snapshot (Volume)'!$A$7:$G$168,7,0)</f>
        <v>4755625</v>
      </c>
      <c r="F44" s="165">
        <f t="shared" ref="F44:F49" si="14">D44-E44</f>
        <v>-42125</v>
      </c>
      <c r="G44" s="166">
        <f t="shared" ref="G44:G49" si="15">F44/E44</f>
        <v>-8.8579313970298338E-3</v>
      </c>
      <c r="H44" s="165">
        <f>VLOOKUP($B44,'Data shares'!$C:$FB,66)</f>
        <v>4593875</v>
      </c>
      <c r="I44" s="165">
        <f>VLOOKUP($B44,'Data shares'!$C:$FB,67)</f>
        <v>7204250</v>
      </c>
      <c r="J44" s="81">
        <f t="shared" ref="J44:J49" si="16">(H44-I44)/I44*100</f>
        <v>-36.233820314397754</v>
      </c>
      <c r="K44" s="81">
        <f>VLOOKUP($B44,'Data Vlaue (Cr)'!$C:$FB,99)</f>
        <v>2675</v>
      </c>
      <c r="L44" s="81">
        <f>VLOOKUP(B44,'OI(Value)'!$A$7:$C$232,3,0)</f>
        <v>-24</v>
      </c>
      <c r="M44" s="81">
        <f t="shared" si="12"/>
        <v>-0.89719626168224298</v>
      </c>
      <c r="N44" s="81">
        <f>VLOOKUP($B44,'Data Vlaue (Cr)'!$C:$FB,67)</f>
        <v>2607</v>
      </c>
      <c r="O44" s="81">
        <f>VLOOKUP($B44,'Data Vlaue (Cr)'!$C:$FB,68)</f>
        <v>4089</v>
      </c>
      <c r="P44" s="81">
        <f t="shared" ref="P44:P49" si="17">(N44-O44)/N44*100</f>
        <v>-56.846950517836589</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BSE</v>
      </c>
      <c r="C45" s="4">
        <f>VLOOKUP($B45,'Data shares'!$C:$FB,7)</f>
        <v>3463</v>
      </c>
      <c r="D45" s="82">
        <f>VLOOKUP($B45,'Data shares'!$C:$FB,98)</f>
        <v>25542750</v>
      </c>
      <c r="E45" s="165">
        <f>VLOOKUP(B45,'Snapshot (Volume)'!$A$7:$G$168,7,0)</f>
        <v>26313375</v>
      </c>
      <c r="F45" s="165">
        <f t="shared" si="14"/>
        <v>-770625</v>
      </c>
      <c r="G45" s="166">
        <f t="shared" si="15"/>
        <v>-2.9286437030597558E-2</v>
      </c>
      <c r="H45" s="165">
        <f>VLOOKUP($B45,'Data shares'!$C:$FB,66)</f>
        <v>26989500</v>
      </c>
      <c r="I45" s="165">
        <f>VLOOKUP($B45,'Data shares'!$C:$FB,67)</f>
        <v>21563250</v>
      </c>
      <c r="J45" s="81">
        <f t="shared" si="16"/>
        <v>25.164342109839659</v>
      </c>
      <c r="K45" s="5">
        <f>VLOOKUP($B45,'Data Vlaue (Cr)'!$C:$FB,99)</f>
        <v>8867</v>
      </c>
      <c r="L45" s="81">
        <f>VLOOKUP(B45,'OI(Value)'!$A$7:$C$232,3,0)</f>
        <v>-268</v>
      </c>
      <c r="M45" s="33">
        <f t="shared" si="12"/>
        <v>-3.0224427653095751</v>
      </c>
      <c r="N45" s="5">
        <f>VLOOKUP($B45,'Data Vlaue (Cr)'!$C:$FB,67)</f>
        <v>9369</v>
      </c>
      <c r="O45" s="5">
        <f>VLOOKUP($B45,'Data Vlaue (Cr)'!$C:$FB,68)</f>
        <v>7486</v>
      </c>
      <c r="P45" s="5">
        <f t="shared" si="17"/>
        <v>20.098196178887822</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CAMS</v>
      </c>
      <c r="C46" s="4">
        <f>VLOOKUP($B46,'Data shares'!$C:$FB,7)</f>
        <v>770.4</v>
      </c>
      <c r="D46" s="82">
        <f>VLOOKUP($B46,'Data shares'!$C:$FB,98)</f>
        <v>14578500</v>
      </c>
      <c r="E46" s="165">
        <f>VLOOKUP(B46,'Snapshot (Volume)'!$A$7:$G$168,7,0)</f>
        <v>13869750</v>
      </c>
      <c r="F46" s="165">
        <f t="shared" si="14"/>
        <v>708750</v>
      </c>
      <c r="G46" s="166">
        <f t="shared" si="15"/>
        <v>5.1100416373763044E-2</v>
      </c>
      <c r="H46" s="165">
        <f>VLOOKUP($B46,'Data shares'!$C:$FB,66)</f>
        <v>19564500</v>
      </c>
      <c r="I46" s="165">
        <f>VLOOKUP($B46,'Data shares'!$C:$FB,67)</f>
        <v>4685250</v>
      </c>
      <c r="J46" s="81">
        <f t="shared" si="16"/>
        <v>317.576436689611</v>
      </c>
      <c r="K46" s="5">
        <f>VLOOKUP($B46,'Data Vlaue (Cr)'!$C:$FB,99)</f>
        <v>1112</v>
      </c>
      <c r="L46" s="81">
        <f>VLOOKUP(B46,'OI(Value)'!$A$7:$C$232,3,0)</f>
        <v>54</v>
      </c>
      <c r="M46" s="33">
        <f t="shared" si="12"/>
        <v>4.8561151079136691</v>
      </c>
      <c r="N46" s="5">
        <f>VLOOKUP($B46,'Data Vlaue (Cr)'!$C:$FB,67)</f>
        <v>1492</v>
      </c>
      <c r="O46" s="5">
        <f>VLOOKUP($B46,'Data Vlaue (Cr)'!$C:$FB,68)</f>
        <v>357</v>
      </c>
      <c r="P46" s="5">
        <f t="shared" si="17"/>
        <v>76.072386058981238</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Banking</v>
      </c>
      <c r="B47" s="79" t="str">
        <f>'Data shares'!C42</f>
        <v>CANBK</v>
      </c>
      <c r="C47" s="4">
        <f>VLOOKUP($B47,'Data shares'!$C:$FB,7)</f>
        <v>140.87</v>
      </c>
      <c r="D47" s="82">
        <f>VLOOKUP($B47,'Data shares'!$C:$FB,98)</f>
        <v>376913250</v>
      </c>
      <c r="E47" s="165">
        <f>VLOOKUP(B47,'Snapshot (Volume)'!$A$7:$G$168,7,0)</f>
        <v>368118000</v>
      </c>
      <c r="F47" s="165">
        <f t="shared" si="14"/>
        <v>8795250</v>
      </c>
      <c r="G47" s="166">
        <f t="shared" si="15"/>
        <v>2.3892474695613907E-2</v>
      </c>
      <c r="H47" s="165">
        <f>VLOOKUP($B47,'Data shares'!$C:$FB,66)</f>
        <v>394065000</v>
      </c>
      <c r="I47" s="165">
        <f>VLOOKUP($B47,'Data shares'!$C:$FB,67)</f>
        <v>261353250</v>
      </c>
      <c r="J47" s="81">
        <f t="shared" si="16"/>
        <v>50.778687466101914</v>
      </c>
      <c r="K47" s="5">
        <f>VLOOKUP($B47,'Data Vlaue (Cr)'!$C:$FB,99)</f>
        <v>5312</v>
      </c>
      <c r="L47" s="81">
        <f>VLOOKUP(B47,'OI(Value)'!$A$7:$C$232,3,0)</f>
        <v>124</v>
      </c>
      <c r="M47" s="33">
        <f t="shared" si="12"/>
        <v>2.3343373493975901</v>
      </c>
      <c r="N47" s="5">
        <f>VLOOKUP($B47,'Data Vlaue (Cr)'!$C:$FB,67)</f>
        <v>5554</v>
      </c>
      <c r="O47" s="5">
        <f>VLOOKUP($B47,'Data Vlaue (Cr)'!$C:$FB,68)</f>
        <v>3683</v>
      </c>
      <c r="P47" s="5">
        <f t="shared" si="17"/>
        <v>33.68743248109471</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CDSL</v>
      </c>
      <c r="C48" s="4">
        <f>VLOOKUP($B48,'Data shares'!$C:$FB,7)</f>
        <v>1323.6</v>
      </c>
      <c r="D48" s="82">
        <f>VLOOKUP($B48,'Data shares'!$C:$FB,98)</f>
        <v>23892975</v>
      </c>
      <c r="E48" s="165">
        <f>VLOOKUP(B48,'Snapshot (Volume)'!$A$7:$G$168,7,0)</f>
        <v>25622450</v>
      </c>
      <c r="F48" s="165">
        <f t="shared" si="14"/>
        <v>-1729475</v>
      </c>
      <c r="G48" s="166">
        <f t="shared" si="15"/>
        <v>-6.7498424233435911E-2</v>
      </c>
      <c r="H48" s="165">
        <f>VLOOKUP($B48,'Data shares'!$C:$FB,66)</f>
        <v>21428200</v>
      </c>
      <c r="I48" s="165">
        <f>VLOOKUP($B48,'Data shares'!$C:$FB,67)</f>
        <v>28914675</v>
      </c>
      <c r="J48" s="81">
        <f t="shared" si="16"/>
        <v>-25.891610401984462</v>
      </c>
      <c r="K48" s="5">
        <f>VLOOKUP($B48,'Data Vlaue (Cr)'!$C:$FB,99)</f>
        <v>3158</v>
      </c>
      <c r="L48" s="81">
        <f>VLOOKUP(B48,'OI(Value)'!$A$7:$C$232,3,0)</f>
        <v>-229</v>
      </c>
      <c r="M48" s="33">
        <f t="shared" si="12"/>
        <v>-7.2514249525015835</v>
      </c>
      <c r="N48" s="5">
        <f>VLOOKUP($B48,'Data Vlaue (Cr)'!$C:$FB,67)</f>
        <v>2832</v>
      </c>
      <c r="O48" s="5">
        <f>VLOOKUP($B48,'Data Vlaue (Cr)'!$C:$FB,68)</f>
        <v>3821</v>
      </c>
      <c r="P48" s="5">
        <f t="shared" si="17"/>
        <v>-34.922316384180789</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Power</v>
      </c>
      <c r="B49" s="79" t="str">
        <f>'Data shares'!C44</f>
        <v>CGPOWER</v>
      </c>
      <c r="C49" s="4">
        <f>VLOOKUP($B49,'Data shares'!$C:$FB,7)</f>
        <v>837.8</v>
      </c>
      <c r="D49" s="82">
        <f>VLOOKUP($B49,'Data shares'!$C:$FB,98)</f>
        <v>31773000</v>
      </c>
      <c r="E49" s="165">
        <f>VLOOKUP(B49,'Snapshot (Volume)'!$A$7:$G$168,7,0)</f>
        <v>31248550</v>
      </c>
      <c r="F49" s="165">
        <f t="shared" si="14"/>
        <v>524450</v>
      </c>
      <c r="G49" s="166">
        <f t="shared" si="15"/>
        <v>1.6783178739493511E-2</v>
      </c>
      <c r="H49" s="165">
        <f>VLOOKUP($B49,'Data shares'!$C:$FB,66)</f>
        <v>45567650</v>
      </c>
      <c r="I49" s="165">
        <f>VLOOKUP($B49,'Data shares'!$C:$FB,67)</f>
        <v>38799950</v>
      </c>
      <c r="J49" s="81">
        <f t="shared" si="16"/>
        <v>17.442548250706508</v>
      </c>
      <c r="K49" s="5">
        <f>VLOOKUP($B49,'Data Vlaue (Cr)'!$C:$FB,99)</f>
        <v>2659</v>
      </c>
      <c r="L49" s="81">
        <f>VLOOKUP(B49,'OI(Value)'!$A$7:$C$232,3,0)</f>
        <v>44</v>
      </c>
      <c r="M49" s="33">
        <f t="shared" si="12"/>
        <v>1.6547574276043624</v>
      </c>
      <c r="N49" s="5">
        <f>VLOOKUP($B49,'Data Vlaue (Cr)'!$C:$FB,67)</f>
        <v>3814</v>
      </c>
      <c r="O49" s="5">
        <f>VLOOKUP($B49,'Data Vlaue (Cr)'!$C:$FB,68)</f>
        <v>3248</v>
      </c>
      <c r="P49" s="5">
        <f t="shared" si="17"/>
        <v>14.840062926061877</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Finance</v>
      </c>
      <c r="B50" s="79" t="str">
        <f>'Data shares'!C45</f>
        <v>CHOLAFIN</v>
      </c>
      <c r="C50" s="4">
        <f>VLOOKUP($B50,'Data shares'!$C:$FB,7)</f>
        <v>1543.4</v>
      </c>
      <c r="D50" s="82">
        <f>VLOOKUP($B50,'Data shares'!$C:$FB,98)</f>
        <v>28812500</v>
      </c>
      <c r="E50" s="165">
        <f>VLOOKUP(B50,'Snapshot (Volume)'!$A$7:$G$168,7,0)</f>
        <v>29204375</v>
      </c>
      <c r="F50" s="165">
        <f>D50-E50</f>
        <v>-391875</v>
      </c>
      <c r="G50" s="166">
        <f>F50/E50</f>
        <v>-1.3418366255055963E-2</v>
      </c>
      <c r="H50" s="165">
        <f>VLOOKUP($B50,'Data shares'!$C:$FB,66)</f>
        <v>23923125</v>
      </c>
      <c r="I50" s="165">
        <f>VLOOKUP($B50,'Data shares'!$C:$FB,67)</f>
        <v>13853125</v>
      </c>
      <c r="J50" s="81">
        <f>(H50-I50)/I50*100</f>
        <v>72.691179787953985</v>
      </c>
      <c r="K50" s="5">
        <f>VLOOKUP($B50,'Data Vlaue (Cr)'!$C:$FB,99)</f>
        <v>4441</v>
      </c>
      <c r="L50" s="81">
        <f>VLOOKUP(B50,'OI(Value)'!$A$7:$C$232,3,0)</f>
        <v>-60</v>
      </c>
      <c r="M50" s="33">
        <f t="shared" si="12"/>
        <v>-1.3510470614726413</v>
      </c>
      <c r="N50" s="5">
        <f>VLOOKUP($B50,'Data Vlaue (Cr)'!$C:$FB,67)</f>
        <v>3687</v>
      </c>
      <c r="O50" s="5">
        <f>VLOOKUP($B50,'Data Vlaue (Cr)'!$C:$FB,68)</f>
        <v>2135</v>
      </c>
      <c r="P50" s="5">
        <f>(N50-O50)/N50*100</f>
        <v>42.093843232980745</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Pharma</v>
      </c>
      <c r="B51" s="79" t="str">
        <f>'Data shares'!C46</f>
        <v>CIPLA</v>
      </c>
      <c r="C51" s="4">
        <f>VLOOKUP($B51,'Data shares'!$C:$FB,7)</f>
        <v>1305.9000000000001</v>
      </c>
      <c r="D51" s="82">
        <f>VLOOKUP($B51,'Data shares'!$C:$FB,98)</f>
        <v>25907250</v>
      </c>
      <c r="E51" s="165">
        <f>VLOOKUP(B51,'Snapshot (Volume)'!$A$7:$G$168,7,0)</f>
        <v>24688125</v>
      </c>
      <c r="F51" s="165">
        <f>D51-E51</f>
        <v>1219125</v>
      </c>
      <c r="G51" s="166">
        <f>F51/E51</f>
        <v>4.9381028328396748E-2</v>
      </c>
      <c r="H51" s="165">
        <f>VLOOKUP($B51,'Data shares'!$C:$FB,66)</f>
        <v>82903125</v>
      </c>
      <c r="I51" s="165">
        <f>VLOOKUP($B51,'Data shares'!$C:$FB,67)</f>
        <v>7527375</v>
      </c>
      <c r="J51" s="81">
        <f>(H51-I51)/I51*100</f>
        <v>1001.3550540527076</v>
      </c>
      <c r="K51" s="5">
        <f>VLOOKUP($B51,'Data Vlaue (Cr)'!$C:$FB,99)</f>
        <v>3380</v>
      </c>
      <c r="L51" s="81">
        <f>VLOOKUP(B51,'OI(Value)'!$A$7:$C$232,3,0)</f>
        <v>159</v>
      </c>
      <c r="M51" s="33">
        <f t="shared" si="12"/>
        <v>4.7041420118343193</v>
      </c>
      <c r="N51" s="5">
        <f>VLOOKUP($B51,'Data Vlaue (Cr)'!$C:$FB,67)</f>
        <v>10816</v>
      </c>
      <c r="O51" s="5">
        <f>VLOOKUP($B51,'Data Vlaue (Cr)'!$C:$FB,68)</f>
        <v>982</v>
      </c>
      <c r="P51" s="5">
        <f>(N51-O51)/N51*100</f>
        <v>90.920857988165679</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Metals</v>
      </c>
      <c r="B52" s="79" t="str">
        <f>'Data shares'!C47</f>
        <v>COALINDIA</v>
      </c>
      <c r="C52" s="79">
        <f>VLOOKUP($B52,'Data shares'!$C:$FB,7)</f>
        <v>450.65</v>
      </c>
      <c r="D52" s="80">
        <f>VLOOKUP($B52,'Data shares'!$C:$FB,98)</f>
        <v>130376250</v>
      </c>
      <c r="E52" s="165">
        <f>VLOOKUP(B52,'Snapshot (Volume)'!$A$7:$G$168,7,0)</f>
        <v>142519500</v>
      </c>
      <c r="F52" s="165">
        <f t="shared" ref="F52:F68" si="18">D52-E52</f>
        <v>-12143250</v>
      </c>
      <c r="G52" s="166">
        <f t="shared" ref="G52:G68" si="19">F52/E52</f>
        <v>-8.5204129961163208E-2</v>
      </c>
      <c r="H52" s="165">
        <f>VLOOKUP($B52,'Data shares'!$C:$FB,66)</f>
        <v>158515650</v>
      </c>
      <c r="I52" s="165">
        <f>VLOOKUP($B52,'Data shares'!$C:$FB,67)</f>
        <v>101960100</v>
      </c>
      <c r="J52" s="81">
        <f t="shared" ref="J52:J68" si="20">(H52-I52)/I52*100</f>
        <v>55.468315546963964</v>
      </c>
      <c r="K52" s="81">
        <f>VLOOKUP($B52,'Data Vlaue (Cr)'!$C:$FB,99)</f>
        <v>5896</v>
      </c>
      <c r="L52" s="81">
        <f>VLOOKUP(B52,'OI(Value)'!$A$7:$C$232,3,0)</f>
        <v>-549</v>
      </c>
      <c r="M52" s="81">
        <f t="shared" si="12"/>
        <v>-9.3113975576662149</v>
      </c>
      <c r="N52" s="81">
        <f>VLOOKUP($B52,'Data Vlaue (Cr)'!$C:$FB,67)</f>
        <v>7168</v>
      </c>
      <c r="O52" s="81">
        <f>VLOOKUP($B52,'Data Vlaue (Cr)'!$C:$FB,68)</f>
        <v>4611</v>
      </c>
      <c r="P52" s="81">
        <f t="shared" ref="P52:P68" si="21">(N52-O52)/N52*100</f>
        <v>35.672433035714285</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COCHINSHIP</v>
      </c>
      <c r="C53" s="4">
        <f>VLOOKUP($B53,'Data shares'!$C:$FB,7)</f>
        <v>1592.8</v>
      </c>
      <c r="D53" s="82">
        <f>VLOOKUP($B53,'Data shares'!$C:$FB,98)</f>
        <v>3881600</v>
      </c>
      <c r="E53" s="165">
        <f>VLOOKUP(B53,'Snapshot (Volume)'!$A$7:$G$168,7,0)</f>
        <v>3982400</v>
      </c>
      <c r="F53" s="165">
        <f t="shared" si="18"/>
        <v>-100800</v>
      </c>
      <c r="G53" s="166">
        <f t="shared" si="19"/>
        <v>-2.5311370028123746E-2</v>
      </c>
      <c r="H53" s="165">
        <f>VLOOKUP($B53,'Data shares'!$C:$FB,66)</f>
        <v>6248400</v>
      </c>
      <c r="I53" s="165">
        <f>VLOOKUP($B53,'Data shares'!$C:$FB,67)</f>
        <v>3752800</v>
      </c>
      <c r="J53" s="81">
        <f t="shared" si="20"/>
        <v>66.499680238755062</v>
      </c>
      <c r="K53" s="5">
        <f>VLOOKUP($B53,'Data Vlaue (Cr)'!$C:$FB,99)</f>
        <v>619</v>
      </c>
      <c r="L53" s="81">
        <f>VLOOKUP(B53,'OI(Value)'!$A$7:$C$232,3,0)</f>
        <v>-16</v>
      </c>
      <c r="M53" s="33">
        <f t="shared" si="12"/>
        <v>-2.5848142164781907</v>
      </c>
      <c r="N53" s="5">
        <f>VLOOKUP($B53,'Data Vlaue (Cr)'!$C:$FB,67)</f>
        <v>996</v>
      </c>
      <c r="O53" s="5">
        <f>VLOOKUP($B53,'Data Vlaue (Cr)'!$C:$FB,68)</f>
        <v>598</v>
      </c>
      <c r="P53" s="5">
        <f t="shared" si="21"/>
        <v>39.959839357429715</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Technology</v>
      </c>
      <c r="B54" s="79" t="str">
        <f>'Data shares'!C49</f>
        <v>COFORGE</v>
      </c>
      <c r="C54" s="4">
        <f>VLOOKUP($B54,'Data shares'!$C:$FB,7)</f>
        <v>1220.5999999999999</v>
      </c>
      <c r="D54" s="82">
        <f>VLOOKUP($B54,'Data shares'!$C:$FB,98)</f>
        <v>35113875</v>
      </c>
      <c r="E54" s="165">
        <f>VLOOKUP(B54,'Snapshot (Volume)'!$A$7:$G$168,7,0)</f>
        <v>34827375</v>
      </c>
      <c r="F54" s="165">
        <f t="shared" si="18"/>
        <v>286500</v>
      </c>
      <c r="G54" s="166">
        <f t="shared" si="19"/>
        <v>8.2262875109019844E-3</v>
      </c>
      <c r="H54" s="165">
        <f>VLOOKUP($B54,'Data shares'!$C:$FB,66)</f>
        <v>27624375</v>
      </c>
      <c r="I54" s="165">
        <f>VLOOKUP($B54,'Data shares'!$C:$FB,67)</f>
        <v>44265000</v>
      </c>
      <c r="J54" s="81">
        <f t="shared" si="20"/>
        <v>-37.59318874957642</v>
      </c>
      <c r="K54" s="5">
        <f>VLOOKUP($B54,'Data Vlaue (Cr)'!$C:$FB,99)</f>
        <v>4282</v>
      </c>
      <c r="L54" s="81">
        <f>VLOOKUP(B54,'OI(Value)'!$A$7:$C$232,3,0)</f>
        <v>35</v>
      </c>
      <c r="M54" s="33">
        <f t="shared" si="12"/>
        <v>0.81737505838393276</v>
      </c>
      <c r="N54" s="5">
        <f>VLOOKUP($B54,'Data Vlaue (Cr)'!$C:$FB,67)</f>
        <v>3369</v>
      </c>
      <c r="O54" s="5">
        <f>VLOOKUP($B54,'Data Vlaue (Cr)'!$C:$FB,68)</f>
        <v>5398</v>
      </c>
      <c r="P54" s="5">
        <f t="shared" si="21"/>
        <v>-60.225586227367167</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FMCG</v>
      </c>
      <c r="B55" s="79" t="str">
        <f>'Data shares'!C50</f>
        <v>COLPAL</v>
      </c>
      <c r="C55" s="4">
        <f>VLOOKUP($B55,'Data shares'!$C:$FB,7)</f>
        <v>2150.1999999999998</v>
      </c>
      <c r="D55" s="82">
        <f>VLOOKUP($B55,'Data shares'!$C:$FB,98)</f>
        <v>9758025</v>
      </c>
      <c r="E55" s="165">
        <f>VLOOKUP(B55,'Snapshot (Volume)'!$A$7:$G$168,7,0)</f>
        <v>10028925</v>
      </c>
      <c r="F55" s="165">
        <f t="shared" si="18"/>
        <v>-270900</v>
      </c>
      <c r="G55" s="166">
        <f t="shared" si="19"/>
        <v>-2.7011868171314474E-2</v>
      </c>
      <c r="H55" s="165">
        <f>VLOOKUP($B55,'Data shares'!$C:$FB,66)</f>
        <v>11639025</v>
      </c>
      <c r="I55" s="165">
        <f>VLOOKUP($B55,'Data shares'!$C:$FB,67)</f>
        <v>6969375</v>
      </c>
      <c r="J55" s="81">
        <f t="shared" si="20"/>
        <v>67.002421307506054</v>
      </c>
      <c r="K55" s="5">
        <f>VLOOKUP($B55,'Data Vlaue (Cr)'!$C:$FB,99)</f>
        <v>2096</v>
      </c>
      <c r="L55" s="81">
        <f>VLOOKUP(B55,'OI(Value)'!$A$7:$C$232,3,0)</f>
        <v>-58</v>
      </c>
      <c r="M55" s="33">
        <f t="shared" si="12"/>
        <v>-2.7671755725190841</v>
      </c>
      <c r="N55" s="5">
        <f>VLOOKUP($B55,'Data Vlaue (Cr)'!$C:$FB,67)</f>
        <v>2501</v>
      </c>
      <c r="O55" s="5">
        <f>VLOOKUP($B55,'Data Vlaue (Cr)'!$C:$FB,68)</f>
        <v>1497</v>
      </c>
      <c r="P55" s="5">
        <f t="shared" si="21"/>
        <v>40.143942423030786</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Infrastructure</v>
      </c>
      <c r="B56" s="79" t="str">
        <f>'Data shares'!C51</f>
        <v>CONCOR</v>
      </c>
      <c r="C56" s="4">
        <f>VLOOKUP($B56,'Data shares'!$C:$FB,7)</f>
        <v>505.05</v>
      </c>
      <c r="D56" s="82">
        <f>VLOOKUP($B56,'Data shares'!$C:$FB,98)</f>
        <v>39211250</v>
      </c>
      <c r="E56" s="165">
        <f>VLOOKUP(B56,'Snapshot (Volume)'!$A$7:$G$168,7,0)</f>
        <v>39543750</v>
      </c>
      <c r="F56" s="165">
        <f t="shared" si="18"/>
        <v>-332500</v>
      </c>
      <c r="G56" s="166">
        <f t="shared" si="19"/>
        <v>-8.4084084084084087E-3</v>
      </c>
      <c r="H56" s="165">
        <f>VLOOKUP($B56,'Data shares'!$C:$FB,66)</f>
        <v>23711250</v>
      </c>
      <c r="I56" s="165">
        <f>VLOOKUP($B56,'Data shares'!$C:$FB,67)</f>
        <v>23355000</v>
      </c>
      <c r="J56" s="81">
        <f t="shared" si="20"/>
        <v>1.525369299935774</v>
      </c>
      <c r="K56" s="5">
        <f>VLOOKUP($B56,'Data Vlaue (Cr)'!$C:$FB,99)</f>
        <v>1977</v>
      </c>
      <c r="L56" s="81">
        <f>VLOOKUP(B56,'OI(Value)'!$A$7:$C$232,3,0)</f>
        <v>-17</v>
      </c>
      <c r="M56" s="33">
        <f t="shared" si="12"/>
        <v>-0.85988872028325747</v>
      </c>
      <c r="N56" s="5">
        <f>VLOOKUP($B56,'Data Vlaue (Cr)'!$C:$FB,67)</f>
        <v>1196</v>
      </c>
      <c r="O56" s="5">
        <f>VLOOKUP($B56,'Data Vlaue (Cr)'!$C:$FB,68)</f>
        <v>1178</v>
      </c>
      <c r="P56" s="5">
        <f t="shared" si="21"/>
        <v>1.5050167224080269</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Capital_Goods</v>
      </c>
      <c r="B57" s="79" t="str">
        <f>'Data shares'!C52</f>
        <v>CROMPTON</v>
      </c>
      <c r="C57" s="4">
        <f>VLOOKUP($B57,'Data shares'!$C:$FB,7)</f>
        <v>253.39</v>
      </c>
      <c r="D57" s="82">
        <f>VLOOKUP($B57,'Data shares'!$C:$FB,98)</f>
        <v>64485000</v>
      </c>
      <c r="E57" s="165">
        <f>VLOOKUP(B57,'Snapshot (Volume)'!$A$7:$G$168,7,0)</f>
        <v>67905000</v>
      </c>
      <c r="F57" s="165">
        <f t="shared" si="18"/>
        <v>-3420000</v>
      </c>
      <c r="G57" s="166">
        <f t="shared" si="19"/>
        <v>-5.036447978793903E-2</v>
      </c>
      <c r="H57" s="165">
        <f>VLOOKUP($B57,'Data shares'!$C:$FB,66)</f>
        <v>70016400</v>
      </c>
      <c r="I57" s="165">
        <f>VLOOKUP($B57,'Data shares'!$C:$FB,67)</f>
        <v>20619000</v>
      </c>
      <c r="J57" s="81">
        <f t="shared" si="20"/>
        <v>239.57223919685728</v>
      </c>
      <c r="K57" s="5">
        <f>VLOOKUP($B57,'Data Vlaue (Cr)'!$C:$FB,99)</f>
        <v>1632</v>
      </c>
      <c r="L57" s="81">
        <f>VLOOKUP(B57,'OI(Value)'!$A$7:$C$232,3,0)</f>
        <v>-87</v>
      </c>
      <c r="M57" s="33">
        <f t="shared" si="12"/>
        <v>-5.3308823529411766</v>
      </c>
      <c r="N57" s="5">
        <f>VLOOKUP($B57,'Data Vlaue (Cr)'!$C:$FB,67)</f>
        <v>1772</v>
      </c>
      <c r="O57" s="5">
        <f>VLOOKUP($B57,'Data Vlaue (Cr)'!$C:$FB,68)</f>
        <v>522</v>
      </c>
      <c r="P57" s="5">
        <f t="shared" si="21"/>
        <v>70.541760722347632</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Capital_Goods</v>
      </c>
      <c r="B58" s="79" t="str">
        <f>'Data shares'!C53</f>
        <v>CUMMINSIND</v>
      </c>
      <c r="C58" s="4">
        <f>VLOOKUP($B58,'Data shares'!$C:$FB,7)</f>
        <v>5176.8999999999996</v>
      </c>
      <c r="D58" s="82">
        <f>VLOOKUP($B58,'Data shares'!$C:$FB,98)</f>
        <v>6528000</v>
      </c>
      <c r="E58" s="165">
        <f>VLOOKUP(B58,'Snapshot (Volume)'!$A$7:$G$168,7,0)</f>
        <v>6642800</v>
      </c>
      <c r="F58" s="165">
        <f t="shared" si="18"/>
        <v>-114800</v>
      </c>
      <c r="G58" s="166">
        <f t="shared" si="19"/>
        <v>-1.7281869091347022E-2</v>
      </c>
      <c r="H58" s="165">
        <f>VLOOKUP($B58,'Data shares'!$C:$FB,66)</f>
        <v>8505000</v>
      </c>
      <c r="I58" s="165">
        <f>VLOOKUP($B58,'Data shares'!$C:$FB,67)</f>
        <v>9541200</v>
      </c>
      <c r="J58" s="81">
        <f t="shared" si="20"/>
        <v>-10.860269148534774</v>
      </c>
      <c r="K58" s="5">
        <f>VLOOKUP($B58,'Data Vlaue (Cr)'!$C:$FB,99)</f>
        <v>3375</v>
      </c>
      <c r="L58" s="81">
        <f>VLOOKUP(B58,'OI(Value)'!$A$7:$C$232,3,0)</f>
        <v>-59</v>
      </c>
      <c r="M58" s="33">
        <f t="shared" si="12"/>
        <v>-1.748148148148148</v>
      </c>
      <c r="N58" s="5">
        <f>VLOOKUP($B58,'Data Vlaue (Cr)'!$C:$FB,67)</f>
        <v>4397</v>
      </c>
      <c r="O58" s="5">
        <f>VLOOKUP($B58,'Data Vlaue (Cr)'!$C:$FB,68)</f>
        <v>4933</v>
      </c>
      <c r="P58" s="5">
        <f t="shared" si="21"/>
        <v>-12.190129633841256</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FMCG</v>
      </c>
      <c r="B59" s="79" t="str">
        <f>'Data shares'!C54</f>
        <v>DABUR</v>
      </c>
      <c r="C59" s="4">
        <f>VLOOKUP($B59,'Data shares'!$C:$FB,7)</f>
        <v>460</v>
      </c>
      <c r="D59" s="82">
        <f>VLOOKUP($B59,'Data shares'!$C:$FB,98)</f>
        <v>49072500</v>
      </c>
      <c r="E59" s="165">
        <f>VLOOKUP(B59,'Snapshot (Volume)'!$A$7:$G$168,7,0)</f>
        <v>48877500</v>
      </c>
      <c r="F59" s="165">
        <f t="shared" si="18"/>
        <v>195000</v>
      </c>
      <c r="G59" s="166">
        <f t="shared" si="19"/>
        <v>3.9895657511124748E-3</v>
      </c>
      <c r="H59" s="165">
        <f>VLOOKUP($B59,'Data shares'!$C:$FB,66)</f>
        <v>34312500</v>
      </c>
      <c r="I59" s="165">
        <f>VLOOKUP($B59,'Data shares'!$C:$FB,67)</f>
        <v>42951250</v>
      </c>
      <c r="J59" s="81">
        <f t="shared" si="20"/>
        <v>-20.112918715986147</v>
      </c>
      <c r="K59" s="5">
        <f>VLOOKUP($B59,'Data Vlaue (Cr)'!$C:$FB,99)</f>
        <v>2255</v>
      </c>
      <c r="L59" s="81">
        <f>VLOOKUP(B59,'OI(Value)'!$A$7:$C$232,3,0)</f>
        <v>9</v>
      </c>
      <c r="M59" s="33">
        <f t="shared" si="12"/>
        <v>0.3991130820399113</v>
      </c>
      <c r="N59" s="5">
        <f>VLOOKUP($B59,'Data Vlaue (Cr)'!$C:$FB,67)</f>
        <v>1577</v>
      </c>
      <c r="O59" s="5">
        <f>VLOOKUP($B59,'Data Vlaue (Cr)'!$C:$FB,68)</f>
        <v>1974</v>
      </c>
      <c r="P59" s="5">
        <f t="shared" si="21"/>
        <v>-25.174381737476221</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Cement</v>
      </c>
      <c r="B60" s="79" t="str">
        <f>'Data shares'!C55</f>
        <v>DALBHARAT</v>
      </c>
      <c r="C60" s="4">
        <f>VLOOKUP($B60,'Data shares'!$C:$FB,7)</f>
        <v>1958.8</v>
      </c>
      <c r="D60" s="82">
        <f>VLOOKUP($B60,'Data shares'!$C:$FB,98)</f>
        <v>4526275</v>
      </c>
      <c r="E60" s="165">
        <f>VLOOKUP(B60,'Snapshot (Volume)'!$A$7:$G$168,7,0)</f>
        <v>4756050</v>
      </c>
      <c r="F60" s="165">
        <f t="shared" si="18"/>
        <v>-229775</v>
      </c>
      <c r="G60" s="166">
        <f t="shared" si="19"/>
        <v>-4.8312149788164546E-2</v>
      </c>
      <c r="H60" s="165">
        <f>VLOOKUP($B60,'Data shares'!$C:$FB,66)</f>
        <v>4768725</v>
      </c>
      <c r="I60" s="165">
        <f>VLOOKUP($B60,'Data shares'!$C:$FB,67)</f>
        <v>1985750</v>
      </c>
      <c r="J60" s="81">
        <f t="shared" si="20"/>
        <v>140.14729950900164</v>
      </c>
      <c r="K60" s="5">
        <f>VLOOKUP($B60,'Data Vlaue (Cr)'!$C:$FB,99)</f>
        <v>885</v>
      </c>
      <c r="L60" s="81">
        <f>VLOOKUP(B60,'OI(Value)'!$A$7:$C$232,3,0)</f>
        <v>-45</v>
      </c>
      <c r="M60" s="33">
        <f t="shared" si="12"/>
        <v>-5.0847457627118651</v>
      </c>
      <c r="N60" s="5">
        <f>VLOOKUP($B60,'Data Vlaue (Cr)'!$C:$FB,67)</f>
        <v>933</v>
      </c>
      <c r="O60" s="5">
        <f>VLOOKUP($B60,'Data Vlaue (Cr)'!$C:$FB,68)</f>
        <v>388</v>
      </c>
      <c r="P60" s="5">
        <f t="shared" si="21"/>
        <v>58.413719185423361</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New_Age</v>
      </c>
      <c r="B61" s="79" t="str">
        <f>'Data shares'!C56</f>
        <v>DELHIVERY</v>
      </c>
      <c r="C61" s="4">
        <f>VLOOKUP($B61,'Data shares'!$C:$FB,7)</f>
        <v>449.4</v>
      </c>
      <c r="D61" s="82">
        <f>VLOOKUP($B61,'Data shares'!$C:$FB,98)</f>
        <v>52877225</v>
      </c>
      <c r="E61" s="165">
        <f>VLOOKUP(B61,'Snapshot (Volume)'!$A$7:$G$168,7,0)</f>
        <v>54248800</v>
      </c>
      <c r="F61" s="165">
        <f t="shared" si="18"/>
        <v>-1371575</v>
      </c>
      <c r="G61" s="166">
        <f t="shared" si="19"/>
        <v>-2.5283047735618114E-2</v>
      </c>
      <c r="H61" s="165">
        <f>VLOOKUP($B61,'Data shares'!$C:$FB,66)</f>
        <v>46235150</v>
      </c>
      <c r="I61" s="165">
        <f>VLOOKUP($B61,'Data shares'!$C:$FB,67)</f>
        <v>69533250</v>
      </c>
      <c r="J61" s="81">
        <f t="shared" si="20"/>
        <v>-33.506415995225311</v>
      </c>
      <c r="K61" s="5">
        <f>VLOOKUP($B61,'Data Vlaue (Cr)'!$C:$FB,99)</f>
        <v>2381</v>
      </c>
      <c r="L61" s="81">
        <f>VLOOKUP(B61,'OI(Value)'!$A$7:$C$232,3,0)</f>
        <v>-62</v>
      </c>
      <c r="M61" s="33">
        <f t="shared" si="12"/>
        <v>-2.6039479210415792</v>
      </c>
      <c r="N61" s="5">
        <f>VLOOKUP($B61,'Data Vlaue (Cr)'!$C:$FB,67)</f>
        <v>2082</v>
      </c>
      <c r="O61" s="5">
        <f>VLOOKUP($B61,'Data Vlaue (Cr)'!$C:$FB,68)</f>
        <v>3131</v>
      </c>
      <c r="P61" s="5">
        <f t="shared" si="21"/>
        <v>-50.384245917387126</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Pharma</v>
      </c>
      <c r="B62" s="79" t="str">
        <f>'Data shares'!C57</f>
        <v>DIVISLAB</v>
      </c>
      <c r="C62" s="4">
        <f>VLOOKUP($B62,'Data shares'!$C:$FB,7)</f>
        <v>6378.5</v>
      </c>
      <c r="D62" s="82">
        <f>VLOOKUP($B62,'Data shares'!$C:$FB,98)</f>
        <v>4403200</v>
      </c>
      <c r="E62" s="165">
        <f>VLOOKUP(B62,'Snapshot (Volume)'!$A$7:$G$168,7,0)</f>
        <v>4379900</v>
      </c>
      <c r="F62" s="165">
        <f t="shared" si="18"/>
        <v>23300</v>
      </c>
      <c r="G62" s="166"/>
      <c r="H62" s="165">
        <f>VLOOKUP($B62,'Data shares'!$C:$FB,66)</f>
        <v>7655700</v>
      </c>
      <c r="I62" s="165">
        <f>VLOOKUP($B62,'Data shares'!$C:$FB,67)</f>
        <v>2385300</v>
      </c>
      <c r="J62" s="81"/>
      <c r="K62" s="5">
        <f>VLOOKUP($B62,'Data Vlaue (Cr)'!$C:$FB,99)</f>
        <v>2805</v>
      </c>
      <c r="L62" s="81">
        <f>VLOOKUP(B62,'OI(Value)'!$A$7:$C$232,3,0)</f>
        <v>15</v>
      </c>
      <c r="M62" s="33"/>
      <c r="N62" s="5">
        <f>VLOOKUP($B62,'Data Vlaue (Cr)'!$C:$FB,67)</f>
        <v>4876</v>
      </c>
      <c r="O62" s="5">
        <f>VLOOKUP($B62,'Data Vlaue (Cr)'!$C:$FB,68)</f>
        <v>1519</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Capital_Goods</v>
      </c>
      <c r="B63" s="79" t="str">
        <f>'Data shares'!C58</f>
        <v>DIXON</v>
      </c>
      <c r="C63" s="4">
        <f>VLOOKUP($B63,'Data shares'!$C:$FB,7)</f>
        <v>10866.5</v>
      </c>
      <c r="D63" s="82">
        <f>VLOOKUP($B63,'Data shares'!$C:$FB,98)</f>
        <v>6584700</v>
      </c>
      <c r="E63" s="165">
        <f>VLOOKUP(B63,'Snapshot (Volume)'!$A$7:$G$168,7,0)</f>
        <v>6584650</v>
      </c>
      <c r="F63" s="165">
        <f t="shared" si="18"/>
        <v>50</v>
      </c>
      <c r="G63" s="166">
        <f t="shared" si="19"/>
        <v>7.5934180252557087E-6</v>
      </c>
      <c r="H63" s="165">
        <f>VLOOKUP($B63,'Data shares'!$C:$FB,66)</f>
        <v>9278300</v>
      </c>
      <c r="I63" s="165">
        <f>VLOOKUP($B63,'Data shares'!$C:$FB,67)</f>
        <v>4445700</v>
      </c>
      <c r="J63" s="81">
        <f t="shared" si="20"/>
        <v>108.70279146141215</v>
      </c>
      <c r="K63" s="5">
        <f>VLOOKUP($B63,'Data Vlaue (Cr)'!$C:$FB,99)</f>
        <v>7130</v>
      </c>
      <c r="L63" s="81">
        <f>VLOOKUP(B63,'OI(Value)'!$A$7:$C$232,3,0)</f>
        <v>0</v>
      </c>
      <c r="M63" s="33">
        <f t="shared" si="12"/>
        <v>0</v>
      </c>
      <c r="N63" s="5">
        <f>VLOOKUP($B63,'Data Vlaue (Cr)'!$C:$FB,67)</f>
        <v>10046</v>
      </c>
      <c r="O63" s="5">
        <f>VLOOKUP($B63,'Data Vlaue (Cr)'!$C:$FB,68)</f>
        <v>4814</v>
      </c>
      <c r="P63" s="5">
        <f t="shared" si="21"/>
        <v>52.080430021899261</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Realty</v>
      </c>
      <c r="B64" s="79" t="str">
        <f>'Data shares'!C59</f>
        <v>DLF</v>
      </c>
      <c r="C64" s="4">
        <f>VLOOKUP($B64,'Data shares'!$C:$FB,7)</f>
        <v>592.79999999999995</v>
      </c>
      <c r="D64" s="82">
        <f>VLOOKUP($B64,'Data shares'!$C:$FB,98)</f>
        <v>72916800</v>
      </c>
      <c r="E64" s="165">
        <f>VLOOKUP(B64,'Snapshot (Volume)'!$A$7:$G$168,7,0)</f>
        <v>72358275</v>
      </c>
      <c r="F64" s="165">
        <f t="shared" si="18"/>
        <v>558525</v>
      </c>
      <c r="G64" s="166">
        <f t="shared" si="19"/>
        <v>7.7188821872826571E-3</v>
      </c>
      <c r="H64" s="165">
        <f>VLOOKUP($B64,'Data shares'!$C:$FB,66)</f>
        <v>45003750</v>
      </c>
      <c r="I64" s="165">
        <f>VLOOKUP($B64,'Data shares'!$C:$FB,67)</f>
        <v>34370325</v>
      </c>
      <c r="J64" s="81">
        <f t="shared" si="20"/>
        <v>30.937807541825691</v>
      </c>
      <c r="K64" s="5">
        <f>VLOOKUP($B64,'Data Vlaue (Cr)'!$C:$FB,99)</f>
        <v>4316</v>
      </c>
      <c r="L64" s="81">
        <f>VLOOKUP(B64,'OI(Value)'!$A$7:$C$232,3,0)</f>
        <v>33</v>
      </c>
      <c r="M64" s="33">
        <f t="shared" si="12"/>
        <v>0.76459684893419833</v>
      </c>
      <c r="N64" s="5">
        <f>VLOOKUP($B64,'Data Vlaue (Cr)'!$C:$FB,67)</f>
        <v>2664</v>
      </c>
      <c r="O64" s="5">
        <f>VLOOKUP($B64,'Data Vlaue (Cr)'!$C:$FB,68)</f>
        <v>2034</v>
      </c>
      <c r="P64" s="5">
        <f t="shared" si="21"/>
        <v>23.648648648648649</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New_Age</v>
      </c>
      <c r="B65" s="79" t="str">
        <f>'Data shares'!C60</f>
        <v>DMART</v>
      </c>
      <c r="C65" s="4">
        <f>VLOOKUP($B65,'Data shares'!$C:$FB,7)</f>
        <v>4521.2</v>
      </c>
      <c r="D65" s="82">
        <f>VLOOKUP($B65,'Data shares'!$C:$FB,98)</f>
        <v>7160850</v>
      </c>
      <c r="E65" s="165">
        <f>VLOOKUP(B65,'Snapshot (Volume)'!$A$7:$G$168,7,0)</f>
        <v>7633050</v>
      </c>
      <c r="F65" s="165">
        <f t="shared" si="18"/>
        <v>-472200</v>
      </c>
      <c r="G65" s="166">
        <f t="shared" si="19"/>
        <v>-6.1862558217226402E-2</v>
      </c>
      <c r="H65" s="165">
        <f>VLOOKUP($B65,'Data shares'!$C:$FB,66)</f>
        <v>7741050</v>
      </c>
      <c r="I65" s="165">
        <f>VLOOKUP($B65,'Data shares'!$C:$FB,67)</f>
        <v>5905650</v>
      </c>
      <c r="J65" s="81">
        <f t="shared" si="20"/>
        <v>31.078712758121458</v>
      </c>
      <c r="K65" s="5">
        <f>VLOOKUP($B65,'Data Vlaue (Cr)'!$C:$FB,99)</f>
        <v>3243</v>
      </c>
      <c r="L65" s="81">
        <f>VLOOKUP(B65,'OI(Value)'!$A$7:$C$232,3,0)</f>
        <v>-214</v>
      </c>
      <c r="M65" s="33">
        <f t="shared" si="12"/>
        <v>-6.5988282454517417</v>
      </c>
      <c r="N65" s="5">
        <f>VLOOKUP($B65,'Data Vlaue (Cr)'!$C:$FB,67)</f>
        <v>3506</v>
      </c>
      <c r="O65" s="5">
        <f>VLOOKUP($B65,'Data Vlaue (Cr)'!$C:$FB,68)</f>
        <v>2675</v>
      </c>
      <c r="P65" s="5">
        <f t="shared" si="21"/>
        <v>23.702224757558472</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Pharma</v>
      </c>
      <c r="B66" s="79" t="str">
        <f>'Data shares'!C61</f>
        <v>DRREDDY</v>
      </c>
      <c r="C66" s="4">
        <f>VLOOKUP($B66,'Data shares'!$C:$FB,7)</f>
        <v>1331</v>
      </c>
      <c r="D66" s="82">
        <f>VLOOKUP($B66,'Data shares'!$C:$FB,98)</f>
        <v>37967500</v>
      </c>
      <c r="E66" s="165">
        <f>VLOOKUP(B66,'Snapshot (Volume)'!$A$7:$G$168,7,0)</f>
        <v>28318125</v>
      </c>
      <c r="F66" s="165">
        <f t="shared" si="18"/>
        <v>9649375</v>
      </c>
      <c r="G66" s="166">
        <f t="shared" si="19"/>
        <v>0.34074907854951553</v>
      </c>
      <c r="H66" s="165">
        <f>VLOOKUP($B66,'Data shares'!$C:$FB,66)</f>
        <v>300425000</v>
      </c>
      <c r="I66" s="165">
        <f>VLOOKUP($B66,'Data shares'!$C:$FB,67)</f>
        <v>18795625</v>
      </c>
      <c r="J66" s="81">
        <f t="shared" si="20"/>
        <v>1498.3772819472615</v>
      </c>
      <c r="K66" s="5">
        <f>VLOOKUP($B66,'Data Vlaue (Cr)'!$C:$FB,99)</f>
        <v>5026</v>
      </c>
      <c r="L66" s="81">
        <f>VLOOKUP(B66,'OI(Value)'!$A$7:$C$232,3,0)</f>
        <v>1277</v>
      </c>
      <c r="M66" s="33">
        <f t="shared" ref="M66:M93" si="22">L66/K66*100</f>
        <v>25.407879029048946</v>
      </c>
      <c r="N66" s="5">
        <f>VLOOKUP($B66,'Data Vlaue (Cr)'!$C:$FB,67)</f>
        <v>39770</v>
      </c>
      <c r="O66" s="5">
        <f>VLOOKUP($B66,'Data Vlaue (Cr)'!$C:$FB,68)</f>
        <v>2488</v>
      </c>
      <c r="P66" s="5">
        <f t="shared" si="21"/>
        <v>93.744028161931098</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EICHERMOT</v>
      </c>
      <c r="C67" s="4">
        <f>VLOOKUP($B67,'Data shares'!$C:$FB,7)</f>
        <v>7092.5</v>
      </c>
      <c r="D67" s="82">
        <f>VLOOKUP($B67,'Data shares'!$C:$FB,98)</f>
        <v>7448600</v>
      </c>
      <c r="E67" s="165">
        <f>VLOOKUP(B67,'Snapshot (Volume)'!$A$7:$G$168,7,0)</f>
        <v>7569800</v>
      </c>
      <c r="F67" s="165">
        <f t="shared" si="18"/>
        <v>-121200</v>
      </c>
      <c r="G67" s="166">
        <f t="shared" si="19"/>
        <v>-1.6010991043356494E-2</v>
      </c>
      <c r="H67" s="165">
        <f>VLOOKUP($B67,'Data shares'!$C:$FB,66)</f>
        <v>6604800</v>
      </c>
      <c r="I67" s="165">
        <f>VLOOKUP($B67,'Data shares'!$C:$FB,67)</f>
        <v>4186600</v>
      </c>
      <c r="J67" s="81">
        <f t="shared" si="20"/>
        <v>57.760473892896378</v>
      </c>
      <c r="K67" s="5">
        <f>VLOOKUP($B67,'Data Vlaue (Cr)'!$C:$FB,99)</f>
        <v>5278</v>
      </c>
      <c r="L67" s="81">
        <f>VLOOKUP(B67,'OI(Value)'!$A$7:$C$232,3,0)</f>
        <v>-86</v>
      </c>
      <c r="M67" s="33">
        <f t="shared" si="22"/>
        <v>-1.6294050776809399</v>
      </c>
      <c r="N67" s="5">
        <f>VLOOKUP($B67,'Data Vlaue (Cr)'!$C:$FB,67)</f>
        <v>4680</v>
      </c>
      <c r="O67" s="5">
        <f>VLOOKUP($B67,'Data Vlaue (Cr)'!$C:$FB,68)</f>
        <v>2967</v>
      </c>
      <c r="P67" s="5">
        <f t="shared" si="21"/>
        <v>36.602564102564102</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New_Age</v>
      </c>
      <c r="B68" s="79" t="str">
        <f>'Data shares'!C63</f>
        <v>ETERNAL</v>
      </c>
      <c r="C68" s="4">
        <f>VLOOKUP($B68,'Data shares'!$C:$FB,7)</f>
        <v>259.92</v>
      </c>
      <c r="D68" s="82">
        <f>VLOOKUP($B68,'Data shares'!$C:$FB,98)</f>
        <v>296349550</v>
      </c>
      <c r="E68" s="165">
        <f>VLOOKUP(B68,'Snapshot (Volume)'!$A$7:$G$168,7,0)</f>
        <v>297676025</v>
      </c>
      <c r="F68" s="165">
        <f t="shared" si="18"/>
        <v>-1326475</v>
      </c>
      <c r="G68" s="166">
        <f t="shared" si="19"/>
        <v>-4.4561029058352956E-3</v>
      </c>
      <c r="H68" s="165">
        <f>VLOOKUP($B68,'Data shares'!$C:$FB,66)</f>
        <v>239767025</v>
      </c>
      <c r="I68" s="165">
        <f>VLOOKUP($B68,'Data shares'!$C:$FB,67)</f>
        <v>213092025</v>
      </c>
      <c r="J68" s="81">
        <f t="shared" si="20"/>
        <v>12.518065845026344</v>
      </c>
      <c r="K68" s="5">
        <f>VLOOKUP($B68,'Data Vlaue (Cr)'!$C:$FB,99)</f>
        <v>7692</v>
      </c>
      <c r="L68" s="81">
        <f>VLOOKUP(B68,'OI(Value)'!$A$7:$C$232,3,0)</f>
        <v>-34</v>
      </c>
      <c r="M68" s="33">
        <f t="shared" si="22"/>
        <v>-0.4420176807072283</v>
      </c>
      <c r="N68" s="5">
        <f>VLOOKUP($B68,'Data Vlaue (Cr)'!$C:$FB,67)</f>
        <v>6223</v>
      </c>
      <c r="O68" s="5">
        <f>VLOOKUP($B68,'Data Vlaue (Cr)'!$C:$FB,68)</f>
        <v>5531</v>
      </c>
      <c r="P68" s="5">
        <f t="shared" si="21"/>
        <v>11.120038566607745</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Automobile</v>
      </c>
      <c r="B69" s="79" t="str">
        <f>'Data shares'!C64</f>
        <v>EXIDEIND</v>
      </c>
      <c r="C69" s="79">
        <f>VLOOKUP($B69,'Data shares'!$C:$FB,7)</f>
        <v>347.25</v>
      </c>
      <c r="D69" s="165">
        <f>VLOOKUP($B69,'Data shares'!$C:$FB,98)</f>
        <v>66132000</v>
      </c>
      <c r="E69" s="165">
        <f>VLOOKUP(B69,'Snapshot (Volume)'!$A$7:$G$168,7,0)</f>
        <v>61837200</v>
      </c>
      <c r="F69" s="165">
        <f t="shared" ref="F69:F85" si="23">D69-E69</f>
        <v>4294800</v>
      </c>
      <c r="G69" s="166">
        <f t="shared" ref="G69:G85" si="24">F69/E69</f>
        <v>6.9453338766955808E-2</v>
      </c>
      <c r="H69" s="165">
        <f>VLOOKUP($B69,'Data shares'!$C:$FB,66)</f>
        <v>74313000</v>
      </c>
      <c r="I69" s="165">
        <f>VLOOKUP($B69,'Data shares'!$C:$FB,67)</f>
        <v>176770800</v>
      </c>
      <c r="J69" s="81">
        <f t="shared" ref="J69:J85" si="25">(H69-I69)/I69*100</f>
        <v>-57.960817058020893</v>
      </c>
      <c r="K69" s="81">
        <f>VLOOKUP($B69,'Data Vlaue (Cr)'!$C:$FB,99)</f>
        <v>2294</v>
      </c>
      <c r="L69" s="81">
        <f>VLOOKUP(B69,'OI(Value)'!$A$7:$C$232,3,0)</f>
        <v>149</v>
      </c>
      <c r="M69" s="81">
        <f t="shared" si="22"/>
        <v>6.4952048823016568</v>
      </c>
      <c r="N69" s="81">
        <f>VLOOKUP($B69,'Data Vlaue (Cr)'!$C:$FB,67)</f>
        <v>2578</v>
      </c>
      <c r="O69" s="81">
        <f>VLOOKUP($B69,'Data Vlaue (Cr)'!$C:$FB,68)</f>
        <v>6131</v>
      </c>
      <c r="P69" s="81">
        <f t="shared" ref="P69:P85" si="26">(N69-O69)/N69*100</f>
        <v>-137.8200155159038</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Banking</v>
      </c>
      <c r="B70" s="79" t="str">
        <f>'Data shares'!C65</f>
        <v>FEDERALBNK</v>
      </c>
      <c r="C70" s="79">
        <f>VLOOKUP($B70,'Data shares'!$C:$FB,7)</f>
        <v>295.39999999999998</v>
      </c>
      <c r="D70" s="165">
        <f>VLOOKUP($B70,'Data shares'!$C:$FB,98)</f>
        <v>151935000</v>
      </c>
      <c r="E70" s="165">
        <f>VLOOKUP(B70,'Snapshot (Volume)'!$A$7:$G$168,7,0)</f>
        <v>150845000</v>
      </c>
      <c r="F70" s="165">
        <f t="shared" si="23"/>
        <v>1090000</v>
      </c>
      <c r="G70" s="166">
        <f t="shared" si="24"/>
        <v>7.2259604229507109E-3</v>
      </c>
      <c r="H70" s="165">
        <f>VLOOKUP($B70,'Data shares'!$C:$FB,66)</f>
        <v>96630000</v>
      </c>
      <c r="I70" s="165">
        <f>VLOOKUP($B70,'Data shares'!$C:$FB,67)</f>
        <v>81155000</v>
      </c>
      <c r="J70" s="81">
        <f t="shared" si="25"/>
        <v>19.068449263754545</v>
      </c>
      <c r="K70" s="81">
        <f>VLOOKUP($B70,'Data Vlaue (Cr)'!$C:$FB,99)</f>
        <v>4491</v>
      </c>
      <c r="L70" s="81">
        <f>VLOOKUP(B70,'OI(Value)'!$A$7:$C$232,3,0)</f>
        <v>32</v>
      </c>
      <c r="M70" s="81">
        <f t="shared" si="22"/>
        <v>0.71253618347806724</v>
      </c>
      <c r="N70" s="81">
        <f>VLOOKUP($B70,'Data Vlaue (Cr)'!$C:$FB,67)</f>
        <v>2856</v>
      </c>
      <c r="O70" s="81">
        <f>VLOOKUP($B70,'Data Vlaue (Cr)'!$C:$FB,68)</f>
        <v>2399</v>
      </c>
      <c r="P70" s="81">
        <f t="shared" si="26"/>
        <v>16.001400560224088</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Index</v>
      </c>
      <c r="B71" s="79" t="str">
        <f>'Data shares'!C66</f>
        <v>FINNIFTY</v>
      </c>
      <c r="C71" s="4">
        <f>VLOOKUP($B71,'Data shares'!$C:$FB,7)</f>
        <v>26247.200000000001</v>
      </c>
      <c r="D71" s="82">
        <f>VLOOKUP($B71,'Data shares'!$C:$FB,98)</f>
        <v>1164120</v>
      </c>
      <c r="E71" s="165">
        <f>VLOOKUP(B71,'Snapshot (Volume)'!$A$7:$G$168,7,0)</f>
        <v>1038840</v>
      </c>
      <c r="F71" s="165">
        <f t="shared" si="23"/>
        <v>125280</v>
      </c>
      <c r="G71" s="166">
        <f t="shared" si="24"/>
        <v>0.12059604943975973</v>
      </c>
      <c r="H71" s="165">
        <f>VLOOKUP($B71,'Data shares'!$C:$FB,66)</f>
        <v>3310680</v>
      </c>
      <c r="I71" s="165">
        <f>VLOOKUP($B71,'Data shares'!$C:$FB,67)</f>
        <v>2499120</v>
      </c>
      <c r="J71" s="81">
        <f t="shared" si="25"/>
        <v>32.473830788437532</v>
      </c>
      <c r="K71" s="5">
        <f>VLOOKUP($B71,'Data Vlaue (Cr)'!$C:$FB,99)</f>
        <v>3059</v>
      </c>
      <c r="L71" s="81">
        <f>VLOOKUP(B71,'OI(Value)'!$A$7:$C$232,3,0)</f>
        <v>329</v>
      </c>
      <c r="M71" s="33">
        <f t="shared" si="22"/>
        <v>10.755148741418765</v>
      </c>
      <c r="N71" s="5">
        <f>VLOOKUP($B71,'Data Vlaue (Cr)'!$C:$FB,67)</f>
        <v>8698</v>
      </c>
      <c r="O71" s="5">
        <f>VLOOKUP($B71,'Data Vlaue (Cr)'!$C:$FB,68)</f>
        <v>6566</v>
      </c>
      <c r="P71" s="5">
        <f t="shared" si="26"/>
        <v>24.511381926879743</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Automobile</v>
      </c>
      <c r="B72" s="79" t="str">
        <f>'Data shares'!C67</f>
        <v>FORCEMOT</v>
      </c>
      <c r="C72" s="4">
        <f>VLOOKUP($B72,'Data shares'!$C:$FB,7)</f>
        <v>20750</v>
      </c>
      <c r="D72" s="82">
        <f>VLOOKUP($B72,'Data shares'!$C:$FB,98)</f>
        <v>313225</v>
      </c>
      <c r="E72" s="165">
        <f>VLOOKUP(B72,'Snapshot (Volume)'!$A$7:$G$168,7,0)</f>
        <v>274875</v>
      </c>
      <c r="F72" s="165">
        <f t="shared" si="23"/>
        <v>38350</v>
      </c>
      <c r="G72" s="166">
        <f t="shared" si="24"/>
        <v>0.13951796271032288</v>
      </c>
      <c r="H72" s="165">
        <f>VLOOKUP($B72,'Data shares'!$C:$FB,66)</f>
        <v>442675</v>
      </c>
      <c r="I72" s="165">
        <f>VLOOKUP($B72,'Data shares'!$C:$FB,67)</f>
        <v>174550</v>
      </c>
      <c r="J72" s="81">
        <f t="shared" si="25"/>
        <v>153.60928100830708</v>
      </c>
      <c r="K72" s="5">
        <f>VLOOKUP($B72,'Data Vlaue (Cr)'!$C:$FB,99)</f>
        <v>647</v>
      </c>
      <c r="L72" s="81">
        <f>VLOOKUP(B72,'OI(Value)'!$A$7:$C$232,3,0)</f>
        <v>79</v>
      </c>
      <c r="M72" s="33">
        <f t="shared" si="22"/>
        <v>12.210200927357032</v>
      </c>
      <c r="N72" s="5">
        <f>VLOOKUP($B72,'Data Vlaue (Cr)'!$C:$FB,67)</f>
        <v>915</v>
      </c>
      <c r="O72" s="5">
        <f>VLOOKUP($B72,'Data Vlaue (Cr)'!$C:$FB,68)</f>
        <v>361</v>
      </c>
      <c r="P72" s="5">
        <f t="shared" si="26"/>
        <v>60.546448087431692</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Pharma</v>
      </c>
      <c r="B73" s="79" t="str">
        <f>'Data shares'!C68</f>
        <v>FORTIS</v>
      </c>
      <c r="C73" s="4">
        <f>VLOOKUP($B73,'Data shares'!$C:$FB,7)</f>
        <v>926.75</v>
      </c>
      <c r="D73" s="82">
        <f>VLOOKUP($B73,'Data shares'!$C:$FB,98)</f>
        <v>15148150</v>
      </c>
      <c r="E73" s="165">
        <f>VLOOKUP(B73,'Snapshot (Volume)'!$A$7:$G$168,7,0)</f>
        <v>15648800</v>
      </c>
      <c r="F73" s="165">
        <f t="shared" si="23"/>
        <v>-500650</v>
      </c>
      <c r="G73" s="166">
        <f t="shared" si="24"/>
        <v>-3.1992868462757527E-2</v>
      </c>
      <c r="H73" s="165">
        <f>VLOOKUP($B73,'Data shares'!$C:$FB,66)</f>
        <v>12168275</v>
      </c>
      <c r="I73" s="165">
        <f>VLOOKUP($B73,'Data shares'!$C:$FB,67)</f>
        <v>19088250</v>
      </c>
      <c r="J73" s="81">
        <f t="shared" si="25"/>
        <v>-36.25253755582623</v>
      </c>
      <c r="K73" s="5">
        <f>VLOOKUP($B73,'Data Vlaue (Cr)'!$C:$FB,99)</f>
        <v>1402</v>
      </c>
      <c r="L73" s="81">
        <f>VLOOKUP(B73,'OI(Value)'!$A$7:$C$232,3,0)</f>
        <v>-46</v>
      </c>
      <c r="M73" s="33">
        <f t="shared" si="22"/>
        <v>-3.2810271041369474</v>
      </c>
      <c r="N73" s="5">
        <f>VLOOKUP($B73,'Data Vlaue (Cr)'!$C:$FB,67)</f>
        <v>1126</v>
      </c>
      <c r="O73" s="5">
        <f>VLOOKUP($B73,'Data Vlaue (Cr)'!$C:$FB,68)</f>
        <v>1767</v>
      </c>
      <c r="P73" s="5">
        <f t="shared" si="26"/>
        <v>-56.927175843694485</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Oil_Gas</v>
      </c>
      <c r="B74" s="79" t="str">
        <f>'Data shares'!C69</f>
        <v>GAIL</v>
      </c>
      <c r="C74" s="4">
        <f>VLOOKUP($B74,'Data shares'!$C:$FB,7)</f>
        <v>164.96</v>
      </c>
      <c r="D74" s="82">
        <f>VLOOKUP($B74,'Data shares'!$C:$FB,98)</f>
        <v>143677800</v>
      </c>
      <c r="E74" s="165">
        <f>VLOOKUP(B74,'Snapshot (Volume)'!$A$7:$G$168,7,0)</f>
        <v>144937800</v>
      </c>
      <c r="F74" s="165">
        <f t="shared" si="23"/>
        <v>-1260000</v>
      </c>
      <c r="G74" s="166">
        <f t="shared" si="24"/>
        <v>-8.6933843345214298E-3</v>
      </c>
      <c r="H74" s="165">
        <f>VLOOKUP($B74,'Data shares'!$C:$FB,66)</f>
        <v>99155700</v>
      </c>
      <c r="I74" s="165">
        <f>VLOOKUP($B74,'Data shares'!$C:$FB,67)</f>
        <v>99543150</v>
      </c>
      <c r="J74" s="81">
        <f t="shared" si="25"/>
        <v>-0.38922818898136136</v>
      </c>
      <c r="K74" s="5">
        <f>VLOOKUP($B74,'Data Vlaue (Cr)'!$C:$FB,99)</f>
        <v>2365</v>
      </c>
      <c r="L74" s="81">
        <f>VLOOKUP(B74,'OI(Value)'!$A$7:$C$232,3,0)</f>
        <v>-21</v>
      </c>
      <c r="M74" s="33">
        <f t="shared" si="22"/>
        <v>-0.88794926004228325</v>
      </c>
      <c r="N74" s="5">
        <f>VLOOKUP($B74,'Data Vlaue (Cr)'!$C:$FB,67)</f>
        <v>1632</v>
      </c>
      <c r="O74" s="5">
        <f>VLOOKUP($B74,'Data Vlaue (Cr)'!$C:$FB,68)</f>
        <v>1639</v>
      </c>
      <c r="P74" s="5">
        <f t="shared" si="26"/>
        <v>-0.42892156862745101</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Pharma</v>
      </c>
      <c r="B75" s="79" t="str">
        <f>'Data shares'!C70</f>
        <v>GLENMARK</v>
      </c>
      <c r="C75" s="4">
        <f>VLOOKUP($B75,'Data shares'!$C:$FB,7)</f>
        <v>2335</v>
      </c>
      <c r="D75" s="82">
        <f>VLOOKUP($B75,'Data shares'!$C:$FB,98)</f>
        <v>14722875</v>
      </c>
      <c r="E75" s="165">
        <f>VLOOKUP(B75,'Snapshot (Volume)'!$A$7:$G$168,7,0)</f>
        <v>13588125</v>
      </c>
      <c r="F75" s="165">
        <f t="shared" si="23"/>
        <v>1134750</v>
      </c>
      <c r="G75" s="166">
        <f t="shared" si="24"/>
        <v>8.3510418104043055E-2</v>
      </c>
      <c r="H75" s="165">
        <f>VLOOKUP($B75,'Data shares'!$C:$FB,66)</f>
        <v>42397125</v>
      </c>
      <c r="I75" s="165">
        <f>VLOOKUP($B75,'Data shares'!$C:$FB,67)</f>
        <v>5069625</v>
      </c>
      <c r="J75" s="81">
        <f t="shared" si="25"/>
        <v>736.29706339226266</v>
      </c>
      <c r="K75" s="5">
        <f>VLOOKUP($B75,'Data Vlaue (Cr)'!$C:$FB,99)</f>
        <v>3440</v>
      </c>
      <c r="L75" s="81">
        <f>VLOOKUP(B75,'OI(Value)'!$A$7:$C$232,3,0)</f>
        <v>265</v>
      </c>
      <c r="M75" s="33">
        <f t="shared" si="22"/>
        <v>7.7034883720930232</v>
      </c>
      <c r="N75" s="5">
        <f>VLOOKUP($B75,'Data Vlaue (Cr)'!$C:$FB,67)</f>
        <v>9907</v>
      </c>
      <c r="O75" s="5">
        <f>VLOOKUP($B75,'Data Vlaue (Cr)'!$C:$FB,68)</f>
        <v>1185</v>
      </c>
      <c r="P75" s="5">
        <f t="shared" si="26"/>
        <v>88.038760472393264</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Infrastructure</v>
      </c>
      <c r="B76" s="79" t="str">
        <f>'Data shares'!C71</f>
        <v>GMRAIRPORT</v>
      </c>
      <c r="C76" s="4">
        <f>VLOOKUP($B76,'Data shares'!$C:$FB,7)</f>
        <v>96.44</v>
      </c>
      <c r="D76" s="82">
        <f>VLOOKUP($B76,'Data shares'!$C:$FB,98)</f>
        <v>228905550</v>
      </c>
      <c r="E76" s="165">
        <f>VLOOKUP(B76,'Snapshot (Volume)'!$A$7:$G$168,7,0)</f>
        <v>226331775</v>
      </c>
      <c r="F76" s="165">
        <f t="shared" si="23"/>
        <v>2573775</v>
      </c>
      <c r="G76" s="166">
        <f t="shared" si="24"/>
        <v>1.1371690961200654E-2</v>
      </c>
      <c r="H76" s="165">
        <f>VLOOKUP($B76,'Data shares'!$C:$FB,66)</f>
        <v>131346225</v>
      </c>
      <c r="I76" s="165">
        <f>VLOOKUP($B76,'Data shares'!$C:$FB,67)</f>
        <v>69324525</v>
      </c>
      <c r="J76" s="81">
        <f t="shared" si="25"/>
        <v>89.465741020223362</v>
      </c>
      <c r="K76" s="5">
        <f>VLOOKUP($B76,'Data Vlaue (Cr)'!$C:$FB,99)</f>
        <v>2209</v>
      </c>
      <c r="L76" s="81">
        <f>VLOOKUP(B76,'OI(Value)'!$A$7:$C$232,3,0)</f>
        <v>25</v>
      </c>
      <c r="M76" s="33">
        <f t="shared" si="22"/>
        <v>1.1317338162064281</v>
      </c>
      <c r="N76" s="5">
        <f>VLOOKUP($B76,'Data Vlaue (Cr)'!$C:$FB,67)</f>
        <v>1268</v>
      </c>
      <c r="O76" s="5">
        <f>VLOOKUP($B76,'Data Vlaue (Cr)'!$C:$FB,68)</f>
        <v>669</v>
      </c>
      <c r="P76" s="5">
        <f t="shared" si="26"/>
        <v>47.239747634069403</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FMCG</v>
      </c>
      <c r="B77" s="79" t="str">
        <f>'Data shares'!C72</f>
        <v>GODFRYPHLP</v>
      </c>
      <c r="C77" s="4">
        <f>VLOOKUP($B77,'Data shares'!$C:$FB,7)</f>
        <v>2153.3000000000002</v>
      </c>
      <c r="D77" s="82">
        <f>VLOOKUP($B77,'Data shares'!$C:$FB,98)</f>
        <v>2909775</v>
      </c>
      <c r="E77" s="165">
        <f>VLOOKUP(B77,'Snapshot (Volume)'!$A$7:$G$168,7,0)</f>
        <v>2776400</v>
      </c>
      <c r="F77" s="165">
        <f t="shared" si="23"/>
        <v>133375</v>
      </c>
      <c r="G77" s="166">
        <f t="shared" si="24"/>
        <v>4.8038827258320128E-2</v>
      </c>
      <c r="H77" s="165">
        <f>VLOOKUP($B77,'Data shares'!$C:$FB,66)</f>
        <v>3250775</v>
      </c>
      <c r="I77" s="165">
        <f>VLOOKUP($B77,'Data shares'!$C:$FB,67)</f>
        <v>3927275</v>
      </c>
      <c r="J77" s="81">
        <f t="shared" si="25"/>
        <v>-17.225684475877038</v>
      </c>
      <c r="K77" s="5">
        <f>VLOOKUP($B77,'Data Vlaue (Cr)'!$C:$FB,99)</f>
        <v>629</v>
      </c>
      <c r="L77" s="81">
        <f>VLOOKUP(B77,'OI(Value)'!$A$7:$C$232,3,0)</f>
        <v>29</v>
      </c>
      <c r="M77" s="33">
        <f t="shared" si="22"/>
        <v>4.6104928457869638</v>
      </c>
      <c r="N77" s="5">
        <f>VLOOKUP($B77,'Data Vlaue (Cr)'!$C:$FB,67)</f>
        <v>702</v>
      </c>
      <c r="O77" s="5">
        <f>VLOOKUP($B77,'Data Vlaue (Cr)'!$C:$FB,68)</f>
        <v>848</v>
      </c>
      <c r="P77" s="5">
        <f t="shared" si="26"/>
        <v>-20.7977207977208</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FMCG</v>
      </c>
      <c r="B78" s="79" t="str">
        <f>'Data shares'!C73</f>
        <v>GODREJCP</v>
      </c>
      <c r="C78" s="4">
        <f>VLOOKUP($B78,'Data shares'!$C:$FB,7)</f>
        <v>1142.95</v>
      </c>
      <c r="D78" s="82">
        <f>VLOOKUP($B78,'Data shares'!$C:$FB,98)</f>
        <v>16431000</v>
      </c>
      <c r="E78" s="165">
        <f>VLOOKUP(B78,'Snapshot (Volume)'!$A$7:$G$168,7,0)</f>
        <v>16444000</v>
      </c>
      <c r="F78" s="165">
        <f t="shared" si="23"/>
        <v>-13000</v>
      </c>
      <c r="G78" s="166">
        <f t="shared" si="24"/>
        <v>-7.9056190707856965E-4</v>
      </c>
      <c r="H78" s="165">
        <f>VLOOKUP($B78,'Data shares'!$C:$FB,66)</f>
        <v>9398500</v>
      </c>
      <c r="I78" s="165">
        <f>VLOOKUP($B78,'Data shares'!$C:$FB,67)</f>
        <v>7614500</v>
      </c>
      <c r="J78" s="81">
        <f t="shared" si="25"/>
        <v>23.428984174929411</v>
      </c>
      <c r="K78" s="5">
        <f>VLOOKUP($B78,'Data Vlaue (Cr)'!$C:$FB,99)</f>
        <v>1874</v>
      </c>
      <c r="L78" s="81">
        <f>VLOOKUP(B78,'OI(Value)'!$A$7:$C$232,3,0)</f>
        <v>-1</v>
      </c>
      <c r="M78" s="33">
        <f t="shared" si="22"/>
        <v>-5.3361792956243333E-2</v>
      </c>
      <c r="N78" s="5">
        <f>VLOOKUP($B78,'Data Vlaue (Cr)'!$C:$FB,67)</f>
        <v>1072</v>
      </c>
      <c r="O78" s="5">
        <f>VLOOKUP($B78,'Data Vlaue (Cr)'!$C:$FB,68)</f>
        <v>869</v>
      </c>
      <c r="P78" s="5">
        <f t="shared" si="26"/>
        <v>18.936567164179106</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Realty</v>
      </c>
      <c r="B79" s="79" t="str">
        <f>'Data shares'!C74</f>
        <v>GODREJPROP</v>
      </c>
      <c r="C79" s="4">
        <f>VLOOKUP($B79,'Data shares'!$C:$FB,7)</f>
        <v>1791</v>
      </c>
      <c r="D79" s="82">
        <f>VLOOKUP($B79,'Data shares'!$C:$FB,98)</f>
        <v>14320625</v>
      </c>
      <c r="E79" s="165">
        <f>VLOOKUP(B79,'Snapshot (Volume)'!$A$7:$G$168,7,0)</f>
        <v>14408625</v>
      </c>
      <c r="F79" s="165">
        <f t="shared" si="23"/>
        <v>-88000</v>
      </c>
      <c r="G79" s="166">
        <f t="shared" si="24"/>
        <v>-6.1074530012405768E-3</v>
      </c>
      <c r="H79" s="165">
        <f>VLOOKUP($B79,'Data shares'!$C:$FB,66)</f>
        <v>13449975</v>
      </c>
      <c r="I79" s="165">
        <f>VLOOKUP($B79,'Data shares'!$C:$FB,67)</f>
        <v>11779625</v>
      </c>
      <c r="J79" s="81">
        <f t="shared" si="25"/>
        <v>14.179992996381463</v>
      </c>
      <c r="K79" s="5">
        <f>VLOOKUP($B79,'Data Vlaue (Cr)'!$C:$FB,99)</f>
        <v>2562</v>
      </c>
      <c r="L79" s="81">
        <f>VLOOKUP(B79,'OI(Value)'!$A$7:$C$232,3,0)</f>
        <v>-16</v>
      </c>
      <c r="M79" s="33">
        <f t="shared" si="22"/>
        <v>-0.62451209992193601</v>
      </c>
      <c r="N79" s="5">
        <f>VLOOKUP($B79,'Data Vlaue (Cr)'!$C:$FB,67)</f>
        <v>2407</v>
      </c>
      <c r="O79" s="5">
        <f>VLOOKUP($B79,'Data Vlaue (Cr)'!$C:$FB,68)</f>
        <v>2108</v>
      </c>
      <c r="P79" s="5">
        <f t="shared" si="26"/>
        <v>12.422102201911093</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Cement</v>
      </c>
      <c r="B80" s="79" t="str">
        <f>'Data shares'!C75</f>
        <v>GRASIM</v>
      </c>
      <c r="C80" s="4">
        <f>VLOOKUP($B80,'Data shares'!$C:$FB,7)</f>
        <v>2735</v>
      </c>
      <c r="D80" s="82">
        <f>VLOOKUP($B80,'Data shares'!$C:$FB,98)</f>
        <v>17094000</v>
      </c>
      <c r="E80" s="165">
        <f>VLOOKUP(B80,'Snapshot (Volume)'!$A$7:$G$168,7,0)</f>
        <v>16983250</v>
      </c>
      <c r="F80" s="165">
        <f t="shared" si="23"/>
        <v>110750</v>
      </c>
      <c r="G80" s="166">
        <f t="shared" si="24"/>
        <v>6.5211311144804437E-3</v>
      </c>
      <c r="H80" s="165">
        <f>VLOOKUP($B80,'Data shares'!$C:$FB,66)</f>
        <v>9124250</v>
      </c>
      <c r="I80" s="165">
        <f>VLOOKUP($B80,'Data shares'!$C:$FB,67)</f>
        <v>8038000</v>
      </c>
      <c r="J80" s="81">
        <f t="shared" si="25"/>
        <v>13.513933814381687</v>
      </c>
      <c r="K80" s="5">
        <f>VLOOKUP($B80,'Data Vlaue (Cr)'!$C:$FB,99)</f>
        <v>4682</v>
      </c>
      <c r="L80" s="81">
        <f>VLOOKUP(B80,'OI(Value)'!$A$7:$C$232,3,0)</f>
        <v>30</v>
      </c>
      <c r="M80" s="33">
        <f t="shared" si="22"/>
        <v>0.64075181546347715</v>
      </c>
      <c r="N80" s="5">
        <f>VLOOKUP($B80,'Data Vlaue (Cr)'!$C:$FB,67)</f>
        <v>2499</v>
      </c>
      <c r="O80" s="5">
        <f>VLOOKUP($B80,'Data Vlaue (Cr)'!$C:$FB,68)</f>
        <v>2202</v>
      </c>
      <c r="P80" s="5">
        <f t="shared" si="26"/>
        <v>11.884753901560623</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Capital_Goods</v>
      </c>
      <c r="B81" s="79" t="str">
        <f>'Data shares'!C76</f>
        <v>HAL</v>
      </c>
      <c r="C81" s="4">
        <f>VLOOKUP($B81,'Data shares'!$C:$FB,7)</f>
        <v>4352.5</v>
      </c>
      <c r="D81" s="82">
        <f>VLOOKUP($B81,'Data shares'!$C:$FB,98)</f>
        <v>14127450</v>
      </c>
      <c r="E81" s="165">
        <f>VLOOKUP(B81,'Snapshot (Volume)'!$A$7:$G$168,7,0)</f>
        <v>14117400</v>
      </c>
      <c r="F81" s="165">
        <f t="shared" si="23"/>
        <v>10050</v>
      </c>
      <c r="G81" s="166">
        <f t="shared" si="24"/>
        <v>7.1188745803051556E-4</v>
      </c>
      <c r="H81" s="165">
        <f>VLOOKUP($B81,'Data shares'!$C:$FB,66)</f>
        <v>9721500</v>
      </c>
      <c r="I81" s="165">
        <f>VLOOKUP($B81,'Data shares'!$C:$FB,67)</f>
        <v>9547200</v>
      </c>
      <c r="J81" s="81">
        <f t="shared" si="25"/>
        <v>1.8256661639014582</v>
      </c>
      <c r="K81" s="5">
        <f>VLOOKUP($B81,'Data Vlaue (Cr)'!$C:$FB,99)</f>
        <v>6156</v>
      </c>
      <c r="L81" s="81">
        <f>VLOOKUP(B81,'OI(Value)'!$A$7:$C$232,3,0)</f>
        <v>4</v>
      </c>
      <c r="M81" s="33">
        <f t="shared" si="22"/>
        <v>6.4977257959714096E-2</v>
      </c>
      <c r="N81" s="5">
        <f>VLOOKUP($B81,'Data Vlaue (Cr)'!$C:$FB,67)</f>
        <v>4236</v>
      </c>
      <c r="O81" s="5">
        <f>VLOOKUP($B81,'Data Vlaue (Cr)'!$C:$FB,68)</f>
        <v>4160</v>
      </c>
      <c r="P81" s="5">
        <f t="shared" si="26"/>
        <v>1.7941454202077429</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Capital_Goods</v>
      </c>
      <c r="B82" s="79" t="str">
        <f>'Data shares'!C77</f>
        <v>HAVELLS</v>
      </c>
      <c r="C82" s="4">
        <f>VLOOKUP($B82,'Data shares'!$C:$FB,7)</f>
        <v>1260.3</v>
      </c>
      <c r="D82" s="82">
        <f>VLOOKUP($B82,'Data shares'!$C:$FB,98)</f>
        <v>31212000</v>
      </c>
      <c r="E82" s="165">
        <f>VLOOKUP(B82,'Snapshot (Volume)'!$A$7:$G$168,7,0)</f>
        <v>27261500</v>
      </c>
      <c r="F82" s="165">
        <f t="shared" si="23"/>
        <v>3950500</v>
      </c>
      <c r="G82" s="166">
        <f t="shared" si="24"/>
        <v>0.14491132182748565</v>
      </c>
      <c r="H82" s="165">
        <f>VLOOKUP($B82,'Data shares'!$C:$FB,66)</f>
        <v>95474000</v>
      </c>
      <c r="I82" s="165">
        <f>VLOOKUP($B82,'Data shares'!$C:$FB,67)</f>
        <v>131097500</v>
      </c>
      <c r="J82" s="81">
        <f t="shared" si="25"/>
        <v>-27.173287057342815</v>
      </c>
      <c r="K82" s="5">
        <f>VLOOKUP($B82,'Data Vlaue (Cr)'!$C:$FB,99)</f>
        <v>3880</v>
      </c>
      <c r="L82" s="81">
        <f>VLOOKUP(B82,'OI(Value)'!$A$7:$C$232,3,0)</f>
        <v>491</v>
      </c>
      <c r="M82" s="33">
        <f t="shared" si="22"/>
        <v>12.654639175257731</v>
      </c>
      <c r="N82" s="5">
        <f>VLOOKUP($B82,'Data Vlaue (Cr)'!$C:$FB,67)</f>
        <v>11867</v>
      </c>
      <c r="O82" s="5">
        <f>VLOOKUP($B82,'Data Vlaue (Cr)'!$C:$FB,68)</f>
        <v>16295</v>
      </c>
      <c r="P82" s="5">
        <f t="shared" si="26"/>
        <v>-37.313558607904277</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Technology</v>
      </c>
      <c r="B83" s="79" t="str">
        <f>'Data shares'!C78</f>
        <v>HCLTECH</v>
      </c>
      <c r="C83" s="4">
        <f>VLOOKUP($B83,'Data shares'!$C:$FB,7)</f>
        <v>1277.5999999999999</v>
      </c>
      <c r="D83" s="82">
        <f>VLOOKUP($B83,'Data shares'!$C:$FB,98)</f>
        <v>105836850</v>
      </c>
      <c r="E83" s="165">
        <f>VLOOKUP(B83,'Snapshot (Volume)'!$A$7:$G$168,7,0)</f>
        <v>106268050</v>
      </c>
      <c r="F83" s="165">
        <f t="shared" si="23"/>
        <v>-431200</v>
      </c>
      <c r="G83" s="166">
        <f t="shared" si="24"/>
        <v>-4.0576636157339859E-3</v>
      </c>
      <c r="H83" s="165">
        <f>VLOOKUP($B83,'Data shares'!$C:$FB,66)</f>
        <v>137689300</v>
      </c>
      <c r="I83" s="165">
        <f>VLOOKUP($B83,'Data shares'!$C:$FB,67)</f>
        <v>296228100</v>
      </c>
      <c r="J83" s="81">
        <f t="shared" si="25"/>
        <v>-53.519163104378009</v>
      </c>
      <c r="K83" s="5">
        <f>VLOOKUP($B83,'Data Vlaue (Cr)'!$C:$FB,99)</f>
        <v>13207</v>
      </c>
      <c r="L83" s="81">
        <f>VLOOKUP(B83,'OI(Value)'!$A$7:$C$232,3,0)</f>
        <v>-54</v>
      </c>
      <c r="M83" s="33">
        <f t="shared" si="22"/>
        <v>-0.40887408192625124</v>
      </c>
      <c r="N83" s="5">
        <f>VLOOKUP($B83,'Data Vlaue (Cr)'!$C:$FB,67)</f>
        <v>17182</v>
      </c>
      <c r="O83" s="5">
        <f>VLOOKUP($B83,'Data Vlaue (Cr)'!$C:$FB,68)</f>
        <v>36966</v>
      </c>
      <c r="P83" s="5">
        <f t="shared" si="26"/>
        <v>-115.14375509253871</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Finance</v>
      </c>
      <c r="B84" s="79" t="str">
        <f>'Data shares'!C79</f>
        <v>HDFCAMC</v>
      </c>
      <c r="C84" s="4">
        <f>VLOOKUP($B84,'Data shares'!$C:$FB,7)</f>
        <v>2708.2</v>
      </c>
      <c r="D84" s="82">
        <f>VLOOKUP($B84,'Data shares'!$C:$FB,98)</f>
        <v>9061500</v>
      </c>
      <c r="E84" s="165">
        <f>VLOOKUP(B84,'Snapshot (Volume)'!$A$7:$G$168,7,0)</f>
        <v>9626700</v>
      </c>
      <c r="F84" s="165">
        <f t="shared" si="23"/>
        <v>-565200</v>
      </c>
      <c r="G84" s="166">
        <f t="shared" si="24"/>
        <v>-5.8711708061952694E-2</v>
      </c>
      <c r="H84" s="165">
        <f>VLOOKUP($B84,'Data shares'!$C:$FB,66)</f>
        <v>8637300</v>
      </c>
      <c r="I84" s="165">
        <f>VLOOKUP($B84,'Data shares'!$C:$FB,67)</f>
        <v>5437200</v>
      </c>
      <c r="J84" s="81">
        <f t="shared" si="25"/>
        <v>58.855661001986313</v>
      </c>
      <c r="K84" s="5">
        <f>VLOOKUP($B84,'Data Vlaue (Cr)'!$C:$FB,99)</f>
        <v>2459</v>
      </c>
      <c r="L84" s="81">
        <f>VLOOKUP(B84,'OI(Value)'!$A$7:$C$232,3,0)</f>
        <v>-153</v>
      </c>
      <c r="M84" s="33">
        <f t="shared" si="22"/>
        <v>-6.2220414802765349</v>
      </c>
      <c r="N84" s="5">
        <f>VLOOKUP($B84,'Data Vlaue (Cr)'!$C:$FB,67)</f>
        <v>2344</v>
      </c>
      <c r="O84" s="5">
        <f>VLOOKUP($B84,'Data Vlaue (Cr)'!$C:$FB,68)</f>
        <v>1476</v>
      </c>
      <c r="P84" s="5">
        <f t="shared" si="26"/>
        <v>37.030716723549489</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Banking</v>
      </c>
      <c r="B85" s="79" t="str">
        <f>'Data shares'!C80</f>
        <v>HDFCBANK</v>
      </c>
      <c r="C85" s="4">
        <f>VLOOKUP($B85,'Data shares'!$C:$FB,7)</f>
        <v>784.35</v>
      </c>
      <c r="D85" s="82">
        <f>VLOOKUP($B85,'Data shares'!$C:$FB,98)</f>
        <v>489404850</v>
      </c>
      <c r="E85" s="165">
        <f>VLOOKUP(B85,'Snapshot (Volume)'!$A$7:$G$168,7,0)</f>
        <v>473413050</v>
      </c>
      <c r="F85" s="165">
        <f t="shared" si="23"/>
        <v>15991800</v>
      </c>
      <c r="G85" s="166">
        <f t="shared" si="24"/>
        <v>3.3779803915418051E-2</v>
      </c>
      <c r="H85" s="165">
        <f>VLOOKUP($B85,'Data shares'!$C:$FB,66)</f>
        <v>358367350</v>
      </c>
      <c r="I85" s="165">
        <f>VLOOKUP($B85,'Data shares'!$C:$FB,67)</f>
        <v>239695500</v>
      </c>
      <c r="J85" s="81">
        <f t="shared" si="25"/>
        <v>49.509419242330374</v>
      </c>
      <c r="K85" s="5">
        <f>VLOOKUP($B85,'Data Vlaue (Cr)'!$C:$FB,99)</f>
        <v>38391</v>
      </c>
      <c r="L85" s="81">
        <f>VLOOKUP(B85,'OI(Value)'!$A$7:$C$232,3,0)</f>
        <v>1254</v>
      </c>
      <c r="M85" s="33">
        <f t="shared" si="22"/>
        <v>3.2663905602875674</v>
      </c>
      <c r="N85" s="5">
        <f>VLOOKUP($B85,'Data Vlaue (Cr)'!$C:$FB,67)</f>
        <v>28112</v>
      </c>
      <c r="O85" s="5">
        <f>VLOOKUP($B85,'Data Vlaue (Cr)'!$C:$FB,68)</f>
        <v>18803</v>
      </c>
      <c r="P85" s="5">
        <f t="shared" si="26"/>
        <v>33.11397268070575</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Finance</v>
      </c>
      <c r="B86" s="79" t="str">
        <f>'Data shares'!C81</f>
        <v>HDFCLIFE</v>
      </c>
      <c r="C86" s="4">
        <f>VLOOKUP($B86,'Data shares'!$C:$FB,7)</f>
        <v>598.65</v>
      </c>
      <c r="D86" s="82">
        <f>VLOOKUP($B86,'Data shares'!$C:$FB,98)</f>
        <v>77051700</v>
      </c>
      <c r="E86" s="165">
        <f>VLOOKUP(B86,'Snapshot (Volume)'!$A$7:$G$168,7,0)</f>
        <v>78584000</v>
      </c>
      <c r="F86" s="165">
        <f t="shared" ref="F86:F96" si="27">D86-E86</f>
        <v>-1532300</v>
      </c>
      <c r="G86" s="166">
        <f t="shared" ref="G86:G96" si="28">F86/E86</f>
        <v>-1.9498880179171334E-2</v>
      </c>
      <c r="H86" s="165">
        <f>VLOOKUP($B86,'Data shares'!$C:$FB,66)</f>
        <v>61603300</v>
      </c>
      <c r="I86" s="165">
        <f>VLOOKUP($B86,'Data shares'!$C:$FB,67)</f>
        <v>49115000</v>
      </c>
      <c r="J86" s="81">
        <f t="shared" ref="J86:J96" si="29">(H86-I86)/I86*100</f>
        <v>25.426651735722285</v>
      </c>
      <c r="K86" s="5">
        <f>VLOOKUP($B86,'Data Vlaue (Cr)'!$C:$FB,99)</f>
        <v>4615</v>
      </c>
      <c r="L86" s="81">
        <f>VLOOKUP(B86,'OI(Value)'!$A$7:$C$232,3,0)</f>
        <v>-92</v>
      </c>
      <c r="M86" s="33">
        <f t="shared" si="22"/>
        <v>-1.9934994582881906</v>
      </c>
      <c r="N86" s="5">
        <f>VLOOKUP($B86,'Data Vlaue (Cr)'!$C:$FB,67)</f>
        <v>3690</v>
      </c>
      <c r="O86" s="5">
        <f>VLOOKUP($B86,'Data Vlaue (Cr)'!$C:$FB,68)</f>
        <v>2942</v>
      </c>
      <c r="P86" s="5">
        <f t="shared" ref="P86:P96" si="30">(N86-O86)/N86*100</f>
        <v>20.271002710027101</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Automobile</v>
      </c>
      <c r="B87" s="79" t="str">
        <f>'Data shares'!C82</f>
        <v>HEROMOTOCO</v>
      </c>
      <c r="C87" s="4">
        <f>VLOOKUP($B87,'Data shares'!$C:$FB,7)</f>
        <v>5032</v>
      </c>
      <c r="D87" s="82">
        <f>VLOOKUP($B87,'Data shares'!$C:$FB,98)</f>
        <v>8880300</v>
      </c>
      <c r="E87" s="165">
        <f>VLOOKUP(B87,'Snapshot (Volume)'!$A$7:$G$168,7,0)</f>
        <v>8342400</v>
      </c>
      <c r="F87" s="165">
        <f t="shared" si="27"/>
        <v>537900</v>
      </c>
      <c r="G87" s="166">
        <f t="shared" si="28"/>
        <v>6.4477848101265819E-2</v>
      </c>
      <c r="H87" s="165">
        <f>VLOOKUP($B87,'Data shares'!$C:$FB,66)</f>
        <v>10688400</v>
      </c>
      <c r="I87" s="165">
        <f>VLOOKUP($B87,'Data shares'!$C:$FB,67)</f>
        <v>4634250</v>
      </c>
      <c r="J87" s="81">
        <f t="shared" si="29"/>
        <v>130.63926201650753</v>
      </c>
      <c r="K87" s="5">
        <f>VLOOKUP($B87,'Data Vlaue (Cr)'!$C:$FB,99)</f>
        <v>4471</v>
      </c>
      <c r="L87" s="81">
        <f>VLOOKUP(B87,'OI(Value)'!$A$7:$C$232,3,0)</f>
        <v>271</v>
      </c>
      <c r="M87" s="33">
        <f t="shared" si="22"/>
        <v>6.0612838291210025</v>
      </c>
      <c r="N87" s="5">
        <f>VLOOKUP($B87,'Data Vlaue (Cr)'!$C:$FB,67)</f>
        <v>5381</v>
      </c>
      <c r="O87" s="5">
        <f>VLOOKUP($B87,'Data Vlaue (Cr)'!$C:$FB,68)</f>
        <v>2333</v>
      </c>
      <c r="P87" s="5">
        <f t="shared" si="30"/>
        <v>56.643746515517556</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HINDALCO</v>
      </c>
      <c r="C88" s="4">
        <f>VLOOKUP($B88,'Data shares'!$C:$FB,7)</f>
        <v>1041.3499999999999</v>
      </c>
      <c r="D88" s="82">
        <f>VLOOKUP($B88,'Data shares'!$C:$FB,98)</f>
        <v>63560000</v>
      </c>
      <c r="E88" s="165">
        <f>VLOOKUP(B88,'Snapshot (Volume)'!$A$7:$G$168,7,0)</f>
        <v>63322000</v>
      </c>
      <c r="F88" s="165">
        <f t="shared" si="27"/>
        <v>238000</v>
      </c>
      <c r="G88" s="166">
        <f t="shared" si="28"/>
        <v>3.758567322573513E-3</v>
      </c>
      <c r="H88" s="165">
        <f>VLOOKUP($B88,'Data shares'!$C:$FB,66)</f>
        <v>61098800</v>
      </c>
      <c r="I88" s="165">
        <f>VLOOKUP($B88,'Data shares'!$C:$FB,67)</f>
        <v>54118400</v>
      </c>
      <c r="J88" s="81">
        <f t="shared" si="29"/>
        <v>12.898385761589404</v>
      </c>
      <c r="K88" s="5">
        <f>VLOOKUP($B88,'Data Vlaue (Cr)'!$C:$FB,99)</f>
        <v>6604</v>
      </c>
      <c r="L88" s="81">
        <f>VLOOKUP(B88,'OI(Value)'!$A$7:$C$232,3,0)</f>
        <v>25</v>
      </c>
      <c r="M88" s="33">
        <f t="shared" si="22"/>
        <v>0.37855844942459116</v>
      </c>
      <c r="N88" s="5">
        <f>VLOOKUP($B88,'Data Vlaue (Cr)'!$C:$FB,67)</f>
        <v>6348</v>
      </c>
      <c r="O88" s="5">
        <f>VLOOKUP($B88,'Data Vlaue (Cr)'!$C:$FB,68)</f>
        <v>5623</v>
      </c>
      <c r="P88" s="5">
        <f t="shared" si="30"/>
        <v>11.420919974795211</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Oil_Gas</v>
      </c>
      <c r="B89" s="79" t="str">
        <f>'Data shares'!C84</f>
        <v>HINDPETRO</v>
      </c>
      <c r="C89" s="4">
        <f>VLOOKUP($B89,'Data shares'!$C:$FB,7)</f>
        <v>376.9</v>
      </c>
      <c r="D89" s="82">
        <f>VLOOKUP($B89,'Data shares'!$C:$FB,98)</f>
        <v>74289150</v>
      </c>
      <c r="E89" s="165">
        <f>VLOOKUP(B89,'Snapshot (Volume)'!$A$7:$G$168,7,0)</f>
        <v>74386350</v>
      </c>
      <c r="F89" s="165">
        <f t="shared" si="27"/>
        <v>-97200</v>
      </c>
      <c r="G89" s="166">
        <f t="shared" si="28"/>
        <v>-1.3066913486143627E-3</v>
      </c>
      <c r="H89" s="165">
        <f>VLOOKUP($B89,'Data shares'!$C:$FB,66)</f>
        <v>72209475</v>
      </c>
      <c r="I89" s="165">
        <f>VLOOKUP($B89,'Data shares'!$C:$FB,67)</f>
        <v>47376900</v>
      </c>
      <c r="J89" s="81">
        <f t="shared" si="29"/>
        <v>52.414942725252175</v>
      </c>
      <c r="K89" s="5">
        <f>VLOOKUP($B89,'Data Vlaue (Cr)'!$C:$FB,99)</f>
        <v>2798</v>
      </c>
      <c r="L89" s="81">
        <f>VLOOKUP(B89,'OI(Value)'!$A$7:$C$232,3,0)</f>
        <v>-4</v>
      </c>
      <c r="M89" s="33">
        <f t="shared" si="22"/>
        <v>-0.14295925661186562</v>
      </c>
      <c r="N89" s="5">
        <f>VLOOKUP($B89,'Data Vlaue (Cr)'!$C:$FB,67)</f>
        <v>2720</v>
      </c>
      <c r="O89" s="5">
        <f>VLOOKUP($B89,'Data Vlaue (Cr)'!$C:$FB,68)</f>
        <v>1784</v>
      </c>
      <c r="P89" s="5">
        <f t="shared" si="30"/>
        <v>34.411764705882355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FMCG</v>
      </c>
      <c r="B90" s="79" t="str">
        <f>'Data shares'!C85</f>
        <v>HINDUNILVR</v>
      </c>
      <c r="C90" s="4">
        <f>VLOOKUP($B90,'Data shares'!$C:$FB,7)</f>
        <v>2366.4</v>
      </c>
      <c r="D90" s="82">
        <f>VLOOKUP($B90,'Data shares'!$C:$FB,98)</f>
        <v>34132200</v>
      </c>
      <c r="E90" s="165">
        <f>VLOOKUP(B90,'Snapshot (Volume)'!$A$7:$G$168,7,0)</f>
        <v>34314600</v>
      </c>
      <c r="F90" s="165">
        <f t="shared" si="27"/>
        <v>-182400</v>
      </c>
      <c r="G90" s="166">
        <f t="shared" si="28"/>
        <v>-5.3155216729905055E-3</v>
      </c>
      <c r="H90" s="165">
        <f>VLOOKUP($B90,'Data shares'!$C:$FB,66)</f>
        <v>41791800</v>
      </c>
      <c r="I90" s="165">
        <f>VLOOKUP($B90,'Data shares'!$C:$FB,67)</f>
        <v>80347500</v>
      </c>
      <c r="J90" s="81">
        <f t="shared" si="29"/>
        <v>-47.986185008867736</v>
      </c>
      <c r="K90" s="5">
        <f>VLOOKUP($B90,'Data Vlaue (Cr)'!$C:$FB,99)</f>
        <v>8070</v>
      </c>
      <c r="L90" s="81">
        <f>VLOOKUP(B90,'OI(Value)'!$A$7:$C$232,3,0)</f>
        <v>-43</v>
      </c>
      <c r="M90" s="33">
        <f t="shared" si="22"/>
        <v>-0.53283767038413876</v>
      </c>
      <c r="N90" s="5">
        <f>VLOOKUP($B90,'Data Vlaue (Cr)'!$C:$FB,67)</f>
        <v>9881</v>
      </c>
      <c r="O90" s="5">
        <f>VLOOKUP($B90,'Data Vlaue (Cr)'!$C:$FB,68)</f>
        <v>18997</v>
      </c>
      <c r="P90" s="5">
        <f t="shared" si="30"/>
        <v>-92.257868636777658</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Metals</v>
      </c>
      <c r="B91" s="79" t="str">
        <f>'Data shares'!C86</f>
        <v>HINDZINC</v>
      </c>
      <c r="C91" s="4">
        <f>VLOOKUP($B91,'Data shares'!$C:$FB,7)</f>
        <v>592.1</v>
      </c>
      <c r="D91" s="82">
        <f>VLOOKUP($B91,'Data shares'!$C:$FB,98)</f>
        <v>83021925</v>
      </c>
      <c r="E91" s="165">
        <f>VLOOKUP(B91,'Snapshot (Volume)'!$A$7:$G$168,7,0)</f>
        <v>77330575</v>
      </c>
      <c r="F91" s="165">
        <f t="shared" si="27"/>
        <v>5691350</v>
      </c>
      <c r="G91" s="166">
        <f t="shared" si="28"/>
        <v>7.3597668192690924E-2</v>
      </c>
      <c r="H91" s="165">
        <f>VLOOKUP($B91,'Data shares'!$C:$FB,66)</f>
        <v>66274950</v>
      </c>
      <c r="I91" s="165">
        <f>VLOOKUP($B91,'Data shares'!$C:$FB,67)</f>
        <v>85266125</v>
      </c>
      <c r="J91" s="81">
        <f t="shared" si="29"/>
        <v>-22.272825228072694</v>
      </c>
      <c r="K91" s="5">
        <f>VLOOKUP($B91,'Data Vlaue (Cr)'!$C:$FB,99)</f>
        <v>4932</v>
      </c>
      <c r="L91" s="81">
        <f>VLOOKUP(B91,'OI(Value)'!$A$7:$C$232,3,0)</f>
        <v>338</v>
      </c>
      <c r="M91" s="33">
        <f t="shared" si="22"/>
        <v>6.8532035685320363</v>
      </c>
      <c r="N91" s="5">
        <f>VLOOKUP($B91,'Data Vlaue (Cr)'!$C:$FB,67)</f>
        <v>3937</v>
      </c>
      <c r="O91" s="5">
        <f>VLOOKUP($B91,'Data Vlaue (Cr)'!$C:$FB,68)</f>
        <v>5065</v>
      </c>
      <c r="P91" s="5">
        <f t="shared" si="30"/>
        <v>-28.651257302514605</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Realty</v>
      </c>
      <c r="B92" s="79" t="str">
        <f>'Data shares'!C87</f>
        <v>HUDCO</v>
      </c>
      <c r="C92" s="4">
        <f>VLOOKUP($B92,'Data shares'!$C:$FB,7)</f>
        <v>204.46</v>
      </c>
      <c r="D92" s="82">
        <f>VLOOKUP($B92,'Data shares'!$C:$FB,98)</f>
        <v>48071325</v>
      </c>
      <c r="E92" s="165">
        <f>VLOOKUP(B92,'Snapshot (Volume)'!$A$7:$G$168,7,0)</f>
        <v>48462600</v>
      </c>
      <c r="F92" s="165">
        <f t="shared" si="27"/>
        <v>-391275</v>
      </c>
      <c r="G92" s="166">
        <f t="shared" si="28"/>
        <v>-8.0737517178195144E-3</v>
      </c>
      <c r="H92" s="165">
        <f>VLOOKUP($B92,'Data shares'!$C:$FB,66)</f>
        <v>52292100</v>
      </c>
      <c r="I92" s="165">
        <f>VLOOKUP($B92,'Data shares'!$C:$FB,67)</f>
        <v>22027950</v>
      </c>
      <c r="J92" s="81">
        <f t="shared" si="29"/>
        <v>137.38977072310405</v>
      </c>
      <c r="K92" s="5">
        <f>VLOOKUP($B92,'Data Vlaue (Cr)'!$C:$FB,99)</f>
        <v>985</v>
      </c>
      <c r="L92" s="81">
        <f>VLOOKUP(B92,'OI(Value)'!$A$7:$C$232,3,0)</f>
        <v>-8</v>
      </c>
      <c r="M92" s="33">
        <f t="shared" si="22"/>
        <v>-0.81218274111675126</v>
      </c>
      <c r="N92" s="5">
        <f>VLOOKUP($B92,'Data Vlaue (Cr)'!$C:$FB,67)</f>
        <v>1072</v>
      </c>
      <c r="O92" s="5">
        <f>VLOOKUP($B92,'Data Vlaue (Cr)'!$C:$FB,68)</f>
        <v>452</v>
      </c>
      <c r="P92" s="5">
        <f t="shared" si="30"/>
        <v>57.835820895522382</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Automobile</v>
      </c>
      <c r="B93" s="79" t="str">
        <f>'Data shares'!C88</f>
        <v>HYUNDAI</v>
      </c>
      <c r="C93" s="4">
        <f>VLOOKUP($B93,'Data shares'!$C:$FB,7)</f>
        <v>1844.2</v>
      </c>
      <c r="D93" s="82">
        <f>VLOOKUP($B93,'Data shares'!$C:$FB,98)</f>
        <v>9521325</v>
      </c>
      <c r="E93" s="165">
        <f>VLOOKUP(B93,'Snapshot (Volume)'!$A$7:$G$168,7,0)</f>
        <v>10600150</v>
      </c>
      <c r="F93" s="165">
        <f t="shared" si="27"/>
        <v>-1078825</v>
      </c>
      <c r="G93" s="166">
        <f t="shared" si="28"/>
        <v>-0.10177450319099259</v>
      </c>
      <c r="H93" s="165">
        <f>VLOOKUP($B93,'Data shares'!$C:$FB,66)</f>
        <v>10185175</v>
      </c>
      <c r="I93" s="165">
        <f>VLOOKUP($B93,'Data shares'!$C:$FB,67)</f>
        <v>2973300</v>
      </c>
      <c r="J93" s="81">
        <f t="shared" si="29"/>
        <v>242.55456899741029</v>
      </c>
      <c r="K93" s="5">
        <f>VLOOKUP($B93,'Data Vlaue (Cr)'!$C:$FB,99)</f>
        <v>1759</v>
      </c>
      <c r="L93" s="81">
        <f>VLOOKUP(B93,'OI(Value)'!$A$7:$C$232,3,0)</f>
        <v>-199</v>
      </c>
      <c r="M93" s="33">
        <f t="shared" si="22"/>
        <v>-11.313246162592382</v>
      </c>
      <c r="N93" s="5">
        <f>VLOOKUP($B93,'Data Vlaue (Cr)'!$C:$FB,67)</f>
        <v>1881</v>
      </c>
      <c r="O93" s="5">
        <f>VLOOKUP($B93,'Data Vlaue (Cr)'!$C:$FB,68)</f>
        <v>549</v>
      </c>
      <c r="P93" s="5">
        <f t="shared" si="30"/>
        <v>70.813397129186612</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ICICIBANK</v>
      </c>
      <c r="C94" s="4">
        <f>VLOOKUP($B94,'Data shares'!$C:$FB,7)</f>
        <v>1348</v>
      </c>
      <c r="D94" s="82">
        <f>VLOOKUP($B94,'Data shares'!$C:$FB,98)</f>
        <v>166280800</v>
      </c>
      <c r="E94" s="165">
        <f>VLOOKUP(B94,'Snapshot (Volume)'!$A$7:$G$168,7,0)</f>
        <v>166833100</v>
      </c>
      <c r="F94" s="165">
        <f t="shared" si="27"/>
        <v>-552300</v>
      </c>
      <c r="G94" s="166">
        <f t="shared" si="28"/>
        <v>-3.3104941405512453E-3</v>
      </c>
      <c r="H94" s="165">
        <f>VLOOKUP($B94,'Data shares'!$C:$FB,66)</f>
        <v>155610000</v>
      </c>
      <c r="I94" s="165">
        <f>VLOOKUP($B94,'Data shares'!$C:$FB,67)</f>
        <v>116934300</v>
      </c>
      <c r="J94" s="81">
        <f t="shared" si="29"/>
        <v>33.074726577231829</v>
      </c>
      <c r="K94" s="5">
        <f>VLOOKUP($B94,'Data Vlaue (Cr)'!$C:$FB,99)</f>
        <v>22400</v>
      </c>
      <c r="L94" s="81">
        <f>VLOOKUP(B94,'OI(Value)'!$A$7:$C$232,3,0)</f>
        <v>-74</v>
      </c>
      <c r="M94" s="33">
        <f t="shared" ref="M94:M122" si="31">L94/K94*100</f>
        <v>-0.33035714285714285</v>
      </c>
      <c r="N94" s="5">
        <f>VLOOKUP($B94,'Data Vlaue (Cr)'!$C:$FB,67)</f>
        <v>20962</v>
      </c>
      <c r="O94" s="5">
        <f>VLOOKUP($B94,'Data Vlaue (Cr)'!$C:$FB,68)</f>
        <v>15752</v>
      </c>
      <c r="P94" s="5">
        <f t="shared" si="30"/>
        <v>24.854498616544223</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ICICIGI</v>
      </c>
      <c r="C95" s="4">
        <f>VLOOKUP($B95,'Data shares'!$C:$FB,7)</f>
        <v>1809.9</v>
      </c>
      <c r="D95" s="82">
        <f>VLOOKUP($B95,'Data shares'!$C:$FB,98)</f>
        <v>7673575</v>
      </c>
      <c r="E95" s="165">
        <f>VLOOKUP(B95,'Snapshot (Volume)'!$A$7:$G$168,7,0)</f>
        <v>7771400</v>
      </c>
      <c r="F95" s="165">
        <f t="shared" si="27"/>
        <v>-97825</v>
      </c>
      <c r="G95" s="166">
        <f t="shared" si="28"/>
        <v>-1.2587822014051522E-2</v>
      </c>
      <c r="H95" s="165">
        <f>VLOOKUP($B95,'Data shares'!$C:$FB,66)</f>
        <v>5012150</v>
      </c>
      <c r="I95" s="165">
        <f>VLOOKUP($B95,'Data shares'!$C:$FB,67)</f>
        <v>3105700</v>
      </c>
      <c r="J95" s="81">
        <f t="shared" si="29"/>
        <v>61.385516952699874</v>
      </c>
      <c r="K95" s="5">
        <f>VLOOKUP($B95,'Data Vlaue (Cr)'!$C:$FB,99)</f>
        <v>1388</v>
      </c>
      <c r="L95" s="81">
        <f>VLOOKUP(B95,'OI(Value)'!$A$7:$C$232,3,0)</f>
        <v>-18</v>
      </c>
      <c r="M95" s="33">
        <f t="shared" si="31"/>
        <v>-1.2968299711815563</v>
      </c>
      <c r="N95" s="5">
        <f>VLOOKUP($B95,'Data Vlaue (Cr)'!$C:$FB,67)</f>
        <v>907</v>
      </c>
      <c r="O95" s="5">
        <f>VLOOKUP($B95,'Data Vlaue (Cr)'!$C:$FB,68)</f>
        <v>562</v>
      </c>
      <c r="P95" s="5">
        <f t="shared" si="30"/>
        <v>38.037486218302099</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Finance</v>
      </c>
      <c r="B96" s="79" t="str">
        <f>'Data shares'!C91</f>
        <v>ICICIPRULI</v>
      </c>
      <c r="C96" s="4">
        <f>VLOOKUP($B96,'Data shares'!$C:$FB,7)</f>
        <v>535.29999999999995</v>
      </c>
      <c r="D96" s="82">
        <f>VLOOKUP($B96,'Data shares'!$C:$FB,98)</f>
        <v>34311950</v>
      </c>
      <c r="E96" s="165">
        <f>VLOOKUP(B96,'Snapshot (Volume)'!$A$7:$G$168,7,0)</f>
        <v>34211125</v>
      </c>
      <c r="F96" s="165">
        <f t="shared" si="27"/>
        <v>100825</v>
      </c>
      <c r="G96" s="166">
        <f t="shared" si="28"/>
        <v>2.9471407327294847E-3</v>
      </c>
      <c r="H96" s="165">
        <f>VLOOKUP($B96,'Data shares'!$C:$FB,66)</f>
        <v>25433800</v>
      </c>
      <c r="I96" s="165">
        <f>VLOOKUP($B96,'Data shares'!$C:$FB,67)</f>
        <v>17302125</v>
      </c>
      <c r="J96" s="81">
        <f t="shared" si="29"/>
        <v>46.998128842555467</v>
      </c>
      <c r="K96" s="5">
        <f>VLOOKUP($B96,'Data Vlaue (Cr)'!$C:$FB,99)</f>
        <v>1834</v>
      </c>
      <c r="L96" s="81">
        <f>VLOOKUP(B96,'OI(Value)'!$A$7:$C$232,3,0)</f>
        <v>5</v>
      </c>
      <c r="M96" s="33">
        <f t="shared" si="31"/>
        <v>0.27262813522355506</v>
      </c>
      <c r="N96" s="5">
        <f>VLOOKUP($B96,'Data Vlaue (Cr)'!$C:$FB,67)</f>
        <v>1360</v>
      </c>
      <c r="O96" s="5">
        <f>VLOOKUP($B96,'Data Vlaue (Cr)'!$C:$FB,68)</f>
        <v>925</v>
      </c>
      <c r="P96" s="5">
        <f t="shared" si="30"/>
        <v>31.985294117647058</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Telecom</v>
      </c>
      <c r="B97" s="79" t="str">
        <f>'Data shares'!C92</f>
        <v>IDEA</v>
      </c>
      <c r="C97" s="4">
        <f>VLOOKUP($B97,'Data shares'!$C:$FB,7)</f>
        <v>9.58</v>
      </c>
      <c r="D97" s="82">
        <f>VLOOKUP($B97,'Data shares'!$C:$FB,98)</f>
        <v>8868903900</v>
      </c>
      <c r="E97" s="165">
        <f>VLOOKUP(B97,'Snapshot (Volume)'!$A$7:$G$168,7,0)</f>
        <v>8890560825</v>
      </c>
      <c r="F97" s="165">
        <f t="shared" ref="F97:F105" si="32">D97-E97</f>
        <v>-21656925</v>
      </c>
      <c r="G97" s="166">
        <f t="shared" ref="G97:G105" si="33">F97/E97</f>
        <v>-2.4359458785885987E-3</v>
      </c>
      <c r="H97" s="165">
        <f>VLOOKUP($B97,'Data shares'!$C:$FB,66)</f>
        <v>3001092300</v>
      </c>
      <c r="I97" s="165">
        <f>VLOOKUP($B97,'Data shares'!$C:$FB,67)</f>
        <v>2860072125</v>
      </c>
      <c r="J97" s="81">
        <f t="shared" ref="J97:J105" si="34">(H97-I97)/I97*100</f>
        <v>4.9306510058727975</v>
      </c>
      <c r="K97" s="5">
        <f>VLOOKUP($B97,'Data Vlaue (Cr)'!$C:$FB,99)</f>
        <v>8488</v>
      </c>
      <c r="L97" s="81">
        <f>VLOOKUP(B97,'OI(Value)'!$A$7:$C$232,3,0)</f>
        <v>-21</v>
      </c>
      <c r="M97" s="33">
        <f t="shared" si="31"/>
        <v>-0.24740810556079171</v>
      </c>
      <c r="N97" s="5">
        <f>VLOOKUP($B97,'Data Vlaue (Cr)'!$C:$FB,67)</f>
        <v>2872</v>
      </c>
      <c r="O97" s="5">
        <f>VLOOKUP($B97,'Data Vlaue (Cr)'!$C:$FB,68)</f>
        <v>2737</v>
      </c>
      <c r="P97" s="5">
        <f t="shared" ref="P97:P105" si="35">(N97-O97)/N97*100</f>
        <v>4.7005571030640665</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Banking</v>
      </c>
      <c r="B98" s="79" t="str">
        <f>'Data shares'!C93</f>
        <v>IDFCFIRSTB</v>
      </c>
      <c r="C98" s="4">
        <f>VLOOKUP($B98,'Data shares'!$C:$FB,7)</f>
        <v>67.83</v>
      </c>
      <c r="D98" s="82">
        <f>VLOOKUP($B98,'Data shares'!$C:$FB,98)</f>
        <v>648897550</v>
      </c>
      <c r="E98" s="165">
        <f>VLOOKUP(B98,'Snapshot (Volume)'!$A$7:$G$168,7,0)</f>
        <v>654824275</v>
      </c>
      <c r="F98" s="165">
        <f t="shared" si="32"/>
        <v>-5926725</v>
      </c>
      <c r="G98" s="166">
        <f t="shared" si="33"/>
        <v>-9.050863302219516E-3</v>
      </c>
      <c r="H98" s="165">
        <f>VLOOKUP($B98,'Data shares'!$C:$FB,66)</f>
        <v>333324950</v>
      </c>
      <c r="I98" s="165">
        <f>VLOOKUP($B98,'Data shares'!$C:$FB,67)</f>
        <v>191510200</v>
      </c>
      <c r="J98" s="81">
        <f t="shared" si="34"/>
        <v>74.050755521115846</v>
      </c>
      <c r="K98" s="5">
        <f>VLOOKUP($B98,'Data Vlaue (Cr)'!$C:$FB,99)</f>
        <v>4394</v>
      </c>
      <c r="L98" s="81">
        <f>VLOOKUP(B98,'OI(Value)'!$A$7:$C$232,3,0)</f>
        <v>-40</v>
      </c>
      <c r="M98" s="33">
        <f t="shared" si="31"/>
        <v>-0.91033227127901672</v>
      </c>
      <c r="N98" s="5">
        <f>VLOOKUP($B98,'Data Vlaue (Cr)'!$C:$FB,67)</f>
        <v>2257</v>
      </c>
      <c r="O98" s="5">
        <f>VLOOKUP($B98,'Data Vlaue (Cr)'!$C:$FB,68)</f>
        <v>1297</v>
      </c>
      <c r="P98" s="5">
        <f t="shared" si="35"/>
        <v>42.534337616304832</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Power</v>
      </c>
      <c r="B99" s="79" t="str">
        <f>'Data shares'!C94</f>
        <v>IEX</v>
      </c>
      <c r="C99" s="4">
        <f>VLOOKUP($B99,'Data shares'!$C:$FB,7)</f>
        <v>126.92</v>
      </c>
      <c r="D99" s="82">
        <f>VLOOKUP($B99,'Data shares'!$C:$FB,98)</f>
        <v>181751250</v>
      </c>
      <c r="E99" s="165">
        <f>VLOOKUP(B99,'Snapshot (Volume)'!$A$7:$G$168,7,0)</f>
        <v>178953750</v>
      </c>
      <c r="F99" s="165">
        <f t="shared" si="32"/>
        <v>2797500</v>
      </c>
      <c r="G99" s="166">
        <f t="shared" si="33"/>
        <v>1.5632530751660694E-2</v>
      </c>
      <c r="H99" s="165">
        <f>VLOOKUP($B99,'Data shares'!$C:$FB,66)</f>
        <v>224602500</v>
      </c>
      <c r="I99" s="165">
        <f>VLOOKUP($B99,'Data shares'!$C:$FB,67)</f>
        <v>73661250</v>
      </c>
      <c r="J99" s="81">
        <f t="shared" si="34"/>
        <v>204.91269154406152</v>
      </c>
      <c r="K99" s="5">
        <f>VLOOKUP($B99,'Data Vlaue (Cr)'!$C:$FB,99)</f>
        <v>2317</v>
      </c>
      <c r="L99" s="81">
        <f>VLOOKUP(B99,'OI(Value)'!$A$7:$C$232,3,0)</f>
        <v>36</v>
      </c>
      <c r="M99" s="33">
        <f t="shared" si="31"/>
        <v>1.5537332757876565</v>
      </c>
      <c r="N99" s="5">
        <f>VLOOKUP($B99,'Data Vlaue (Cr)'!$C:$FB,67)</f>
        <v>2863</v>
      </c>
      <c r="O99" s="5">
        <f>VLOOKUP($B99,'Data Vlaue (Cr)'!$C:$FB,68)</f>
        <v>939</v>
      </c>
      <c r="P99" s="5">
        <f t="shared" si="35"/>
        <v>67.202235417394334</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Realty</v>
      </c>
      <c r="B100" s="79" t="str">
        <f>'Data shares'!C95</f>
        <v>INDHOTEL</v>
      </c>
      <c r="C100" s="4">
        <f>VLOOKUP($B100,'Data shares'!$C:$FB,7)</f>
        <v>639.45000000000005</v>
      </c>
      <c r="D100" s="82">
        <f>VLOOKUP($B100,'Data shares'!$C:$FB,98)</f>
        <v>35301000</v>
      </c>
      <c r="E100" s="165">
        <f>VLOOKUP(B100,'Snapshot (Volume)'!$A$7:$G$168,7,0)</f>
        <v>34199000</v>
      </c>
      <c r="F100" s="165">
        <f t="shared" si="32"/>
        <v>1102000</v>
      </c>
      <c r="G100" s="166">
        <f t="shared" si="33"/>
        <v>3.222316442001228E-2</v>
      </c>
      <c r="H100" s="165">
        <f>VLOOKUP($B100,'Data shares'!$C:$FB,66)</f>
        <v>27119000</v>
      </c>
      <c r="I100" s="165">
        <f>VLOOKUP($B100,'Data shares'!$C:$FB,67)</f>
        <v>8694000</v>
      </c>
      <c r="J100" s="81">
        <f t="shared" si="34"/>
        <v>211.92776627559238</v>
      </c>
      <c r="K100" s="5">
        <f>VLOOKUP($B100,'Data Vlaue (Cr)'!$C:$FB,99)</f>
        <v>2256</v>
      </c>
      <c r="L100" s="81">
        <f>VLOOKUP(B100,'OI(Value)'!$A$7:$C$232,3,0)</f>
        <v>70</v>
      </c>
      <c r="M100" s="33">
        <f t="shared" si="31"/>
        <v>3.102836879432624</v>
      </c>
      <c r="N100" s="5">
        <f>VLOOKUP($B100,'Data Vlaue (Cr)'!$C:$FB,67)</f>
        <v>1733</v>
      </c>
      <c r="O100" s="5">
        <f>VLOOKUP($B100,'Data Vlaue (Cr)'!$C:$FB,68)</f>
        <v>556</v>
      </c>
      <c r="P100" s="5">
        <f t="shared" si="35"/>
        <v>67.916907097518759</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Banking</v>
      </c>
      <c r="B101" s="79" t="str">
        <f>'Data shares'!C96</f>
        <v>INDIANB</v>
      </c>
      <c r="C101" s="4">
        <f>VLOOKUP($B101,'Data shares'!$C:$FB,7)</f>
        <v>914.95</v>
      </c>
      <c r="D101" s="82">
        <f>VLOOKUP($B101,'Data shares'!$C:$FB,98)</f>
        <v>21114000</v>
      </c>
      <c r="E101" s="165">
        <f>VLOOKUP(B101,'Snapshot (Volume)'!$A$7:$G$168,7,0)</f>
        <v>21877000</v>
      </c>
      <c r="F101" s="165">
        <f t="shared" si="32"/>
        <v>-763000</v>
      </c>
      <c r="G101" s="166">
        <f t="shared" si="33"/>
        <v>-3.4876811262970243E-2</v>
      </c>
      <c r="H101" s="165">
        <f>VLOOKUP($B101,'Data shares'!$C:$FB,66)</f>
        <v>18189000</v>
      </c>
      <c r="I101" s="165">
        <f>VLOOKUP($B101,'Data shares'!$C:$FB,67)</f>
        <v>11040000</v>
      </c>
      <c r="J101" s="81">
        <f t="shared" si="34"/>
        <v>64.755434782608702</v>
      </c>
      <c r="K101" s="5">
        <f>VLOOKUP($B101,'Data Vlaue (Cr)'!$C:$FB,99)</f>
        <v>1935</v>
      </c>
      <c r="L101" s="81">
        <f>VLOOKUP(B101,'OI(Value)'!$A$7:$C$232,3,0)</f>
        <v>-70</v>
      </c>
      <c r="M101" s="33">
        <f t="shared" si="31"/>
        <v>-3.6175710594315245</v>
      </c>
      <c r="N101" s="5">
        <f>VLOOKUP($B101,'Data Vlaue (Cr)'!$C:$FB,67)</f>
        <v>1667</v>
      </c>
      <c r="O101" s="5">
        <f>VLOOKUP($B101,'Data Vlaue (Cr)'!$C:$FB,68)</f>
        <v>1012</v>
      </c>
      <c r="P101" s="5">
        <f t="shared" si="35"/>
        <v>39.292141571685661</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Index</v>
      </c>
      <c r="B102" s="79" t="str">
        <f>'Data shares'!C97</f>
        <v>INDIAVIX</v>
      </c>
      <c r="C102" s="4">
        <f>VLOOKUP($B102,'Data shares'!$C:$FB,7)</f>
        <v>18.59</v>
      </c>
      <c r="D102" s="82">
        <f>VLOOKUP($B102,'Data shares'!$C:$FB,98)</f>
        <v>0</v>
      </c>
      <c r="E102" s="165">
        <f>VLOOKUP(B102,'Snapshot (Volume)'!$A$7:$G$168,7,0)</f>
        <v>0</v>
      </c>
      <c r="F102" s="165">
        <f t="shared" si="32"/>
        <v>0</v>
      </c>
      <c r="G102" s="166" t="e">
        <f t="shared" si="33"/>
        <v>#DIV/0!</v>
      </c>
      <c r="H102" s="165">
        <f>VLOOKUP($B102,'Data shares'!$C:$FB,66)</f>
        <v>0</v>
      </c>
      <c r="I102" s="165">
        <f>VLOOKUP($B102,'Data shares'!$C:$FB,67)</f>
        <v>0</v>
      </c>
      <c r="J102" s="81" t="e">
        <f t="shared" si="34"/>
        <v>#DIV/0!</v>
      </c>
      <c r="K102" s="5">
        <f>VLOOKUP($B102,'Data Vlaue (Cr)'!$C:$FB,99)</f>
        <v>0</v>
      </c>
      <c r="L102" s="81">
        <f>VLOOKUP(B102,'OI(Value)'!$A$7:$C$232,3,0)</f>
        <v>0</v>
      </c>
      <c r="M102" s="33" t="e">
        <f t="shared" si="31"/>
        <v>#DIV/0!</v>
      </c>
      <c r="N102" s="5">
        <f>VLOOKUP($B102,'Data Vlaue (Cr)'!$C:$FB,67)</f>
        <v>0</v>
      </c>
      <c r="O102" s="5">
        <f>VLOOKUP($B102,'Data Vlaue (Cr)'!$C:$FB,68)</f>
        <v>0</v>
      </c>
      <c r="P102" s="5" t="e">
        <f t="shared" si="35"/>
        <v>#DIV/0!</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Infrastructure</v>
      </c>
      <c r="B103" s="79" t="str">
        <f>'Data shares'!C98</f>
        <v>INDIGO</v>
      </c>
      <c r="C103" s="4">
        <f>VLOOKUP($B103,'Data shares'!$C:$FB,7)</f>
        <v>4556</v>
      </c>
      <c r="D103" s="82">
        <f>VLOOKUP($B103,'Data shares'!$C:$FB,98)</f>
        <v>18121800</v>
      </c>
      <c r="E103" s="165">
        <f>VLOOKUP(B103,'Snapshot (Volume)'!$A$7:$G$168,7,0)</f>
        <v>18078000</v>
      </c>
      <c r="F103" s="165">
        <f t="shared" si="32"/>
        <v>43800</v>
      </c>
      <c r="G103" s="166">
        <f t="shared" si="33"/>
        <v>2.4228343843345503E-3</v>
      </c>
      <c r="H103" s="165">
        <f>VLOOKUP($B103,'Data shares'!$C:$FB,66)</f>
        <v>16257450</v>
      </c>
      <c r="I103" s="165">
        <f>VLOOKUP($B103,'Data shares'!$C:$FB,67)</f>
        <v>14828700</v>
      </c>
      <c r="J103" s="81">
        <f t="shared" si="34"/>
        <v>9.6350320661959579</v>
      </c>
      <c r="K103" s="5">
        <f>VLOOKUP($B103,'Data Vlaue (Cr)'!$C:$FB,99)</f>
        <v>8274</v>
      </c>
      <c r="L103" s="81">
        <f>VLOOKUP(B103,'OI(Value)'!$A$7:$C$232,3,0)</f>
        <v>20</v>
      </c>
      <c r="M103" s="33">
        <f t="shared" si="31"/>
        <v>0.241721053903795</v>
      </c>
      <c r="N103" s="5">
        <f>VLOOKUP($B103,'Data Vlaue (Cr)'!$C:$FB,67)</f>
        <v>7423</v>
      </c>
      <c r="O103" s="5">
        <f>VLOOKUP($B103,'Data Vlaue (Cr)'!$C:$FB,68)</f>
        <v>6770</v>
      </c>
      <c r="P103" s="5">
        <f t="shared" si="35"/>
        <v>8.7969823521487278</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Banking</v>
      </c>
      <c r="B104" s="79" t="str">
        <f>'Data shares'!C99</f>
        <v>INDUSINDBK</v>
      </c>
      <c r="C104" s="4">
        <f>VLOOKUP($B104,'Data shares'!$C:$FB,7)</f>
        <v>860.35</v>
      </c>
      <c r="D104" s="82">
        <f>VLOOKUP($B104,'Data shares'!$C:$FB,98)</f>
        <v>54272400</v>
      </c>
      <c r="E104" s="165">
        <f>VLOOKUP(B104,'Snapshot (Volume)'!$A$7:$G$168,7,0)</f>
        <v>52649800</v>
      </c>
      <c r="F104" s="165">
        <f t="shared" si="32"/>
        <v>1622600</v>
      </c>
      <c r="G104" s="166">
        <f t="shared" si="33"/>
        <v>3.0818730555481691E-2</v>
      </c>
      <c r="H104" s="165">
        <f>VLOOKUP($B104,'Data shares'!$C:$FB,66)</f>
        <v>38558100</v>
      </c>
      <c r="I104" s="165">
        <f>VLOOKUP($B104,'Data shares'!$C:$FB,67)</f>
        <v>23840600</v>
      </c>
      <c r="J104" s="81">
        <f t="shared" si="34"/>
        <v>61.732926184743675</v>
      </c>
      <c r="K104" s="5">
        <f>VLOOKUP($B104,'Data Vlaue (Cr)'!$C:$FB,99)</f>
        <v>4668</v>
      </c>
      <c r="L104" s="81">
        <f>VLOOKUP(B104,'OI(Value)'!$A$7:$C$232,3,0)</f>
        <v>140</v>
      </c>
      <c r="M104" s="33">
        <f t="shared" si="31"/>
        <v>2.9991431019708652</v>
      </c>
      <c r="N104" s="5">
        <f>VLOOKUP($B104,'Data Vlaue (Cr)'!$C:$FB,67)</f>
        <v>3316</v>
      </c>
      <c r="O104" s="5">
        <f>VLOOKUP($B104,'Data Vlaue (Cr)'!$C:$FB,68)</f>
        <v>2051</v>
      </c>
      <c r="P104" s="5">
        <f t="shared" si="35"/>
        <v>38.148371531966227</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Telecom</v>
      </c>
      <c r="B105" s="79" t="str">
        <f>'Data shares'!C100</f>
        <v>INDUSTOWER</v>
      </c>
      <c r="C105" s="4">
        <f>VLOOKUP($B105,'Data shares'!$C:$FB,7)</f>
        <v>404.7</v>
      </c>
      <c r="D105" s="82">
        <f>VLOOKUP($B105,'Data shares'!$C:$FB,98)</f>
        <v>119873800</v>
      </c>
      <c r="E105" s="165">
        <f>VLOOKUP(B105,'Snapshot (Volume)'!$A$7:$G$168,7,0)</f>
        <v>117991900</v>
      </c>
      <c r="F105" s="165">
        <f t="shared" si="32"/>
        <v>1881900</v>
      </c>
      <c r="G105" s="166">
        <f t="shared" si="33"/>
        <v>1.5949399916434941E-2</v>
      </c>
      <c r="H105" s="165">
        <f>VLOOKUP($B105,'Data shares'!$C:$FB,66)</f>
        <v>80416800</v>
      </c>
      <c r="I105" s="165">
        <f>VLOOKUP($B105,'Data shares'!$C:$FB,67)</f>
        <v>61842600</v>
      </c>
      <c r="J105" s="81">
        <f t="shared" si="34"/>
        <v>30.034636318654133</v>
      </c>
      <c r="K105" s="5">
        <f>VLOOKUP($B105,'Data Vlaue (Cr)'!$C:$FB,99)</f>
        <v>4856</v>
      </c>
      <c r="L105" s="81">
        <f>VLOOKUP(B105,'OI(Value)'!$A$7:$C$232,3,0)</f>
        <v>76</v>
      </c>
      <c r="M105" s="33">
        <f t="shared" si="31"/>
        <v>1.5650741350906094</v>
      </c>
      <c r="N105" s="5">
        <f>VLOOKUP($B105,'Data Vlaue (Cr)'!$C:$FB,67)</f>
        <v>3258</v>
      </c>
      <c r="O105" s="5">
        <f>VLOOKUP($B105,'Data Vlaue (Cr)'!$C:$FB,68)</f>
        <v>2505</v>
      </c>
      <c r="P105" s="5">
        <f t="shared" si="35"/>
        <v>23.112338858195212</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Technology</v>
      </c>
      <c r="B106" s="79" t="str">
        <f>'Data shares'!C101</f>
        <v>INFY</v>
      </c>
      <c r="C106" s="79">
        <f>VLOOKUP($B106,'Data shares'!$C:$FB,7)</f>
        <v>1240.5999999999999</v>
      </c>
      <c r="D106" s="80">
        <f>VLOOKUP($B106,'Data shares'!$C:$FB,98)</f>
        <v>159018400</v>
      </c>
      <c r="E106" s="165">
        <f>VLOOKUP(B106,'Snapshot (Volume)'!$A$7:$G$168,7,0)</f>
        <v>139337200</v>
      </c>
      <c r="F106" s="165">
        <f t="shared" ref="F106:F114" si="36">D106-E106</f>
        <v>19681200</v>
      </c>
      <c r="G106" s="166">
        <f t="shared" ref="G106:G114" si="37">F106/E106</f>
        <v>0.14124871175823828</v>
      </c>
      <c r="H106" s="165">
        <f>VLOOKUP($B106,'Data shares'!$C:$FB,66)</f>
        <v>187849200</v>
      </c>
      <c r="I106" s="165">
        <f>VLOOKUP($B106,'Data shares'!$C:$FB,67)</f>
        <v>150463200</v>
      </c>
      <c r="J106" s="81">
        <f t="shared" ref="J106:J114" si="38">(H106-I106)/I106*100</f>
        <v>24.847271625221317</v>
      </c>
      <c r="K106" s="81">
        <f>VLOOKUP($B106,'Data Vlaue (Cr)'!$C:$FB,99)</f>
        <v>19680</v>
      </c>
      <c r="L106" s="81">
        <f>VLOOKUP(B106,'OI(Value)'!$A$7:$C$232,3,0)</f>
        <v>2436</v>
      </c>
      <c r="M106" s="81">
        <f t="shared" si="31"/>
        <v>12.378048780487806</v>
      </c>
      <c r="N106" s="81">
        <f>VLOOKUP($B106,'Data Vlaue (Cr)'!$C:$FB,67)</f>
        <v>23248</v>
      </c>
      <c r="O106" s="81">
        <f>VLOOKUP($B106,'Data Vlaue (Cr)'!$C:$FB,68)</f>
        <v>18621</v>
      </c>
      <c r="P106" s="81">
        <f t="shared" ref="P106:P114" si="39">(N106-O106)/N106*100</f>
        <v>19.902787336545082</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Power</v>
      </c>
      <c r="B107" s="79" t="str">
        <f>'Data shares'!C102</f>
        <v>INOXWIND</v>
      </c>
      <c r="C107" s="79">
        <f>VLOOKUP($B107,'Data shares'!$C:$FB,7)</f>
        <v>101.79</v>
      </c>
      <c r="D107" s="80">
        <f>VLOOKUP($B107,'Data shares'!$C:$FB,98)</f>
        <v>146199625</v>
      </c>
      <c r="E107" s="165">
        <f>VLOOKUP(B107,'Snapshot (Volume)'!$A$7:$G$168,7,0)</f>
        <v>146060200</v>
      </c>
      <c r="F107" s="165">
        <f t="shared" si="36"/>
        <v>139425</v>
      </c>
      <c r="G107" s="166">
        <f t="shared" si="37"/>
        <v>9.5457215586449969E-4</v>
      </c>
      <c r="H107" s="165">
        <f>VLOOKUP($B107,'Data shares'!$C:$FB,66)</f>
        <v>70738525</v>
      </c>
      <c r="I107" s="165">
        <f>VLOOKUP($B107,'Data shares'!$C:$FB,67)</f>
        <v>95620525</v>
      </c>
      <c r="J107" s="81">
        <f t="shared" si="38"/>
        <v>-26.021609900175719</v>
      </c>
      <c r="K107" s="81">
        <f>VLOOKUP($B107,'Data Vlaue (Cr)'!$C:$FB,99)</f>
        <v>1489</v>
      </c>
      <c r="L107" s="81">
        <f>VLOOKUP(B107,'OI(Value)'!$A$7:$C$232,3,0)</f>
        <v>1</v>
      </c>
      <c r="M107" s="81">
        <f t="shared" si="31"/>
        <v>6.7159167226326394E-2</v>
      </c>
      <c r="N107" s="81">
        <f>VLOOKUP($B107,'Data Vlaue (Cr)'!$C:$FB,67)</f>
        <v>721</v>
      </c>
      <c r="O107" s="81">
        <f>VLOOKUP($B107,'Data Vlaue (Cr)'!$C:$FB,68)</f>
        <v>974</v>
      </c>
      <c r="P107" s="81">
        <f t="shared" si="39"/>
        <v>-35.090152565880722</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Oil_Gas</v>
      </c>
      <c r="B108" s="79" t="str">
        <f>'Data shares'!C103</f>
        <v>IOC</v>
      </c>
      <c r="C108" s="4">
        <f>VLOOKUP($B108,'Data shares'!$C:$FB,7)</f>
        <v>145.47999999999999</v>
      </c>
      <c r="D108" s="82">
        <f>VLOOKUP($B108,'Data shares'!$C:$FB,98)</f>
        <v>219794250</v>
      </c>
      <c r="E108" s="165">
        <f>VLOOKUP(B108,'Snapshot (Volume)'!$A$7:$G$168,7,0)</f>
        <v>221739375</v>
      </c>
      <c r="F108" s="165">
        <f t="shared" si="36"/>
        <v>-1945125</v>
      </c>
      <c r="G108" s="166">
        <f t="shared" si="37"/>
        <v>-8.7721226778058707E-3</v>
      </c>
      <c r="H108" s="165">
        <f>VLOOKUP($B108,'Data shares'!$C:$FB,66)</f>
        <v>150028125</v>
      </c>
      <c r="I108" s="165">
        <f>VLOOKUP($B108,'Data shares'!$C:$FB,67)</f>
        <v>71974500</v>
      </c>
      <c r="J108" s="81">
        <f t="shared" si="38"/>
        <v>108.44622053643999</v>
      </c>
      <c r="K108" s="5">
        <f>VLOOKUP($B108,'Data Vlaue (Cr)'!$C:$FB,99)</f>
        <v>3197</v>
      </c>
      <c r="L108" s="81">
        <f>VLOOKUP(B108,'OI(Value)'!$A$7:$C$232,3,0)</f>
        <v>-28</v>
      </c>
      <c r="M108" s="33">
        <f t="shared" si="31"/>
        <v>-0.87582108226462307</v>
      </c>
      <c r="N108" s="5">
        <f>VLOOKUP($B108,'Data Vlaue (Cr)'!$C:$FB,67)</f>
        <v>2182</v>
      </c>
      <c r="O108" s="5">
        <f>VLOOKUP($B108,'Data Vlaue (Cr)'!$C:$FB,68)</f>
        <v>1047</v>
      </c>
      <c r="P108" s="5">
        <f t="shared" si="39"/>
        <v>52.016498625114572</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Finance</v>
      </c>
      <c r="B109" s="79" t="str">
        <f>'Data shares'!C104</f>
        <v>IREDA</v>
      </c>
      <c r="C109" s="4">
        <f>VLOOKUP($B109,'Data shares'!$C:$FB,7)</f>
        <v>137.52000000000001</v>
      </c>
      <c r="D109" s="82">
        <f>VLOOKUP($B109,'Data shares'!$C:$FB,98)</f>
        <v>121195050</v>
      </c>
      <c r="E109" s="165">
        <f>VLOOKUP(B109,'Snapshot (Volume)'!$A$7:$G$168,7,0)</f>
        <v>130610100</v>
      </c>
      <c r="F109" s="165">
        <f t="shared" si="36"/>
        <v>-9415050</v>
      </c>
      <c r="G109" s="166">
        <f t="shared" si="37"/>
        <v>-7.2085160335992396E-2</v>
      </c>
      <c r="H109" s="165">
        <f>VLOOKUP($B109,'Data shares'!$C:$FB,66)</f>
        <v>129399150</v>
      </c>
      <c r="I109" s="165">
        <f>VLOOKUP($B109,'Data shares'!$C:$FB,67)</f>
        <v>373524600</v>
      </c>
      <c r="J109" s="81">
        <f t="shared" si="38"/>
        <v>-65.357261610078695</v>
      </c>
      <c r="K109" s="5">
        <f>VLOOKUP($B109,'Data Vlaue (Cr)'!$C:$FB,99)</f>
        <v>1667</v>
      </c>
      <c r="L109" s="81">
        <f>VLOOKUP(B109,'OI(Value)'!$A$7:$C$232,3,0)</f>
        <v>-130</v>
      </c>
      <c r="M109" s="33">
        <f t="shared" si="31"/>
        <v>-7.7984403119376129</v>
      </c>
      <c r="N109" s="5">
        <f>VLOOKUP($B109,'Data Vlaue (Cr)'!$C:$FB,67)</f>
        <v>1780</v>
      </c>
      <c r="O109" s="5">
        <f>VLOOKUP($B109,'Data Vlaue (Cr)'!$C:$FB,68)</f>
        <v>5138</v>
      </c>
      <c r="P109" s="5">
        <f t="shared" si="39"/>
        <v>-188.65168539325842</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Infrastructure</v>
      </c>
      <c r="B110" s="79" t="str">
        <f>'Data shares'!C105</f>
        <v>IRFC</v>
      </c>
      <c r="C110" s="4">
        <f>VLOOKUP($B110,'Data shares'!$C:$FB,7)</f>
        <v>105.06</v>
      </c>
      <c r="D110" s="82">
        <f>VLOOKUP($B110,'Data shares'!$C:$FB,98)</f>
        <v>152711000</v>
      </c>
      <c r="E110" s="165">
        <f>VLOOKUP(B110,'Snapshot (Volume)'!$A$7:$G$168,7,0)</f>
        <v>137266500</v>
      </c>
      <c r="F110" s="165">
        <f t="shared" si="36"/>
        <v>15444500</v>
      </c>
      <c r="G110" s="166">
        <f t="shared" si="37"/>
        <v>0.11251470679299028</v>
      </c>
      <c r="H110" s="165">
        <f>VLOOKUP($B110,'Data shares'!$C:$FB,66)</f>
        <v>231340250</v>
      </c>
      <c r="I110" s="165">
        <f>VLOOKUP($B110,'Data shares'!$C:$FB,67)</f>
        <v>141491000</v>
      </c>
      <c r="J110" s="81">
        <f t="shared" si="38"/>
        <v>63.501742160278738</v>
      </c>
      <c r="K110" s="5">
        <f>VLOOKUP($B110,'Data Vlaue (Cr)'!$C:$FB,99)</f>
        <v>1596</v>
      </c>
      <c r="L110" s="81">
        <f>VLOOKUP(B110,'OI(Value)'!$A$7:$C$232,3,0)</f>
        <v>161</v>
      </c>
      <c r="M110" s="33">
        <f t="shared" si="31"/>
        <v>10.087719298245613</v>
      </c>
      <c r="N110" s="5">
        <f>VLOOKUP($B110,'Data Vlaue (Cr)'!$C:$FB,67)</f>
        <v>2418</v>
      </c>
      <c r="O110" s="5">
        <f>VLOOKUP($B110,'Data Vlaue (Cr)'!$C:$FB,68)</f>
        <v>1479</v>
      </c>
      <c r="P110" s="5">
        <f t="shared" si="39"/>
        <v>38.83374689826303</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FMCG</v>
      </c>
      <c r="B111" s="79" t="str">
        <f>'Data shares'!C106</f>
        <v>ITC</v>
      </c>
      <c r="C111" s="4">
        <f>VLOOKUP($B111,'Data shares'!$C:$FB,7)</f>
        <v>305.3</v>
      </c>
      <c r="D111" s="82">
        <f>VLOOKUP($B111,'Data shares'!$C:$FB,98)</f>
        <v>365785600</v>
      </c>
      <c r="E111" s="165">
        <f>VLOOKUP(B111,'Snapshot (Volume)'!$A$7:$G$168,7,0)</f>
        <v>364392000</v>
      </c>
      <c r="F111" s="165">
        <f t="shared" si="36"/>
        <v>1393600</v>
      </c>
      <c r="G111" s="166">
        <f t="shared" si="37"/>
        <v>3.8244527871083888E-3</v>
      </c>
      <c r="H111" s="165">
        <f>VLOOKUP($B111,'Data shares'!$C:$FB,66)</f>
        <v>190270400</v>
      </c>
      <c r="I111" s="165">
        <f>VLOOKUP($B111,'Data shares'!$C:$FB,67)</f>
        <v>229926400</v>
      </c>
      <c r="J111" s="81">
        <f t="shared" si="38"/>
        <v>-17.247258253075767</v>
      </c>
      <c r="K111" s="5">
        <f>VLOOKUP($B111,'Data Vlaue (Cr)'!$C:$FB,99)</f>
        <v>11158</v>
      </c>
      <c r="L111" s="81">
        <f>VLOOKUP(B111,'OI(Value)'!$A$7:$C$232,3,0)</f>
        <v>43</v>
      </c>
      <c r="M111" s="33">
        <f t="shared" si="31"/>
        <v>0.38537372288940674</v>
      </c>
      <c r="N111" s="5">
        <f>VLOOKUP($B111,'Data Vlaue (Cr)'!$C:$FB,67)</f>
        <v>5804</v>
      </c>
      <c r="O111" s="5">
        <f>VLOOKUP($B111,'Data Vlaue (Cr)'!$C:$FB,68)</f>
        <v>7014</v>
      </c>
      <c r="P111" s="5">
        <f t="shared" si="39"/>
        <v>-20.847691247415575</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Metals</v>
      </c>
      <c r="B112" s="79" t="str">
        <f>'Data shares'!C107</f>
        <v>JINDALSTEL</v>
      </c>
      <c r="C112" s="4">
        <f>VLOOKUP($B112,'Data shares'!$C:$FB,7)</f>
        <v>1254.5</v>
      </c>
      <c r="D112" s="82">
        <f>VLOOKUP($B112,'Data shares'!$C:$FB,98)</f>
        <v>22072500</v>
      </c>
      <c r="E112" s="165">
        <f>VLOOKUP(B112,'Snapshot (Volume)'!$A$7:$G$168,7,0)</f>
        <v>22479375</v>
      </c>
      <c r="F112" s="165">
        <f t="shared" si="36"/>
        <v>-406875</v>
      </c>
      <c r="G112" s="166">
        <f t="shared" si="37"/>
        <v>-1.8099924931186923E-2</v>
      </c>
      <c r="H112" s="165">
        <f>VLOOKUP($B112,'Data shares'!$C:$FB,66)</f>
        <v>16430000</v>
      </c>
      <c r="I112" s="165">
        <f>VLOOKUP($B112,'Data shares'!$C:$FB,67)</f>
        <v>10348750</v>
      </c>
      <c r="J112" s="81">
        <f t="shared" si="38"/>
        <v>58.763135644401501</v>
      </c>
      <c r="K112" s="5">
        <f>VLOOKUP($B112,'Data Vlaue (Cr)'!$C:$FB,99)</f>
        <v>2776</v>
      </c>
      <c r="L112" s="81">
        <f>VLOOKUP(B112,'OI(Value)'!$A$7:$C$232,3,0)</f>
        <v>-51</v>
      </c>
      <c r="M112" s="33">
        <f t="shared" si="31"/>
        <v>-1.8371757925072045</v>
      </c>
      <c r="N112" s="5">
        <f>VLOOKUP($B112,'Data Vlaue (Cr)'!$C:$FB,67)</f>
        <v>2066</v>
      </c>
      <c r="O112" s="5">
        <f>VLOOKUP($B112,'Data Vlaue (Cr)'!$C:$FB,68)</f>
        <v>1301</v>
      </c>
      <c r="P112" s="5">
        <f t="shared" si="39"/>
        <v>37.028073572120043</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Finance</v>
      </c>
      <c r="B113" s="79" t="str">
        <f>'Data shares'!C108</f>
        <v>JIOFIN</v>
      </c>
      <c r="C113" s="4">
        <f>VLOOKUP($B113,'Data shares'!$C:$FB,7)</f>
        <v>248.66</v>
      </c>
      <c r="D113" s="82">
        <f>VLOOKUP($B113,'Data shares'!$C:$FB,98)</f>
        <v>316918650</v>
      </c>
      <c r="E113" s="165">
        <f>VLOOKUP(B113,'Snapshot (Volume)'!$A$7:$G$168,7,0)</f>
        <v>314965800</v>
      </c>
      <c r="F113" s="165">
        <f t="shared" si="36"/>
        <v>1952850</v>
      </c>
      <c r="G113" s="166">
        <f t="shared" si="37"/>
        <v>6.2001969737666756E-3</v>
      </c>
      <c r="H113" s="165">
        <f>VLOOKUP($B113,'Data shares'!$C:$FB,66)</f>
        <v>584257000</v>
      </c>
      <c r="I113" s="165">
        <f>VLOOKUP($B113,'Data shares'!$C:$FB,67)</f>
        <v>281593450</v>
      </c>
      <c r="J113" s="81">
        <f t="shared" si="38"/>
        <v>107.48245387099735</v>
      </c>
      <c r="K113" s="5">
        <f>VLOOKUP($B113,'Data Vlaue (Cr)'!$C:$FB,99)</f>
        <v>7889</v>
      </c>
      <c r="L113" s="81">
        <f>VLOOKUP(B113,'OI(Value)'!$A$7:$C$232,3,0)</f>
        <v>49</v>
      </c>
      <c r="M113" s="33">
        <f t="shared" si="31"/>
        <v>0.6211180124223602</v>
      </c>
      <c r="N113" s="5">
        <f>VLOOKUP($B113,'Data Vlaue (Cr)'!$C:$FB,67)</f>
        <v>14543</v>
      </c>
      <c r="O113" s="5">
        <f>VLOOKUP($B113,'Data Vlaue (Cr)'!$C:$FB,68)</f>
        <v>7009</v>
      </c>
      <c r="P113" s="5">
        <f t="shared" si="39"/>
        <v>51.804992092415588</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Power</v>
      </c>
      <c r="B114" s="79" t="str">
        <f>'Data shares'!C109</f>
        <v>JSWENERGY</v>
      </c>
      <c r="C114" s="4">
        <f>VLOOKUP($B114,'Data shares'!$C:$FB,7)</f>
        <v>561.4</v>
      </c>
      <c r="D114" s="82">
        <f>VLOOKUP($B114,'Data shares'!$C:$FB,98)</f>
        <v>40222000</v>
      </c>
      <c r="E114" s="165">
        <f>VLOOKUP(B114,'Snapshot (Volume)'!$A$7:$G$168,7,0)</f>
        <v>40987000</v>
      </c>
      <c r="F114" s="165">
        <f t="shared" si="36"/>
        <v>-765000</v>
      </c>
      <c r="G114" s="166">
        <f t="shared" si="37"/>
        <v>-1.8664454583160513E-2</v>
      </c>
      <c r="H114" s="165">
        <f>VLOOKUP($B114,'Data shares'!$C:$FB,66)</f>
        <v>37879000</v>
      </c>
      <c r="I114" s="165">
        <f>VLOOKUP($B114,'Data shares'!$C:$FB,67)</f>
        <v>43315000</v>
      </c>
      <c r="J114" s="81">
        <f t="shared" si="38"/>
        <v>-12.549924968255802</v>
      </c>
      <c r="K114" s="5">
        <f>VLOOKUP($B114,'Data Vlaue (Cr)'!$C:$FB,99)</f>
        <v>2254</v>
      </c>
      <c r="L114" s="81">
        <f>VLOOKUP(B114,'OI(Value)'!$A$7:$C$232,3,0)</f>
        <v>-43</v>
      </c>
      <c r="M114" s="33">
        <f t="shared" si="31"/>
        <v>-1.9077196095829636</v>
      </c>
      <c r="N114" s="5">
        <f>VLOOKUP($B114,'Data Vlaue (Cr)'!$C:$FB,67)</f>
        <v>2123</v>
      </c>
      <c r="O114" s="5">
        <f>VLOOKUP($B114,'Data Vlaue (Cr)'!$C:$FB,68)</f>
        <v>2427</v>
      </c>
      <c r="P114" s="5">
        <f t="shared" si="39"/>
        <v>-14.319359397079603</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Metals</v>
      </c>
      <c r="B115" s="79" t="str">
        <f>'Data shares'!C110</f>
        <v>JSWSTEEL</v>
      </c>
      <c r="C115" s="79">
        <f>VLOOKUP($B115,'Data shares'!$C:$FB,7)</f>
        <v>1257</v>
      </c>
      <c r="D115" s="80">
        <f>VLOOKUP($B115,'Data shares'!$C:$FB,98)</f>
        <v>62635275</v>
      </c>
      <c r="E115" s="165">
        <f>VLOOKUP(B115,'Snapshot (Volume)'!$A$7:$G$168,7,0)</f>
        <v>62841825</v>
      </c>
      <c r="F115" s="165">
        <f t="shared" ref="F115:F126" si="40">D115-E115</f>
        <v>-206550</v>
      </c>
      <c r="G115" s="166">
        <f t="shared" ref="G115:G126" si="41">F115/E115</f>
        <v>-3.2868237037991816E-3</v>
      </c>
      <c r="H115" s="165">
        <f>VLOOKUP($B115,'Data shares'!$C:$FB,66)</f>
        <v>38207025</v>
      </c>
      <c r="I115" s="165">
        <f>VLOOKUP($B115,'Data shares'!$C:$FB,67)</f>
        <v>25283475</v>
      </c>
      <c r="J115" s="81">
        <f t="shared" ref="J115:J126" si="42">(H115-I115)/I115*100</f>
        <v>51.114611421096193</v>
      </c>
      <c r="K115" s="81">
        <f>VLOOKUP($B115,'Data Vlaue (Cr)'!$C:$FB,99)</f>
        <v>7860</v>
      </c>
      <c r="L115" s="81">
        <f>VLOOKUP(B115,'OI(Value)'!$A$7:$C$232,3,0)</f>
        <v>-26</v>
      </c>
      <c r="M115" s="81">
        <f t="shared" si="31"/>
        <v>-0.33078880407124683</v>
      </c>
      <c r="N115" s="81">
        <f>VLOOKUP($B115,'Data Vlaue (Cr)'!$C:$FB,67)</f>
        <v>4795</v>
      </c>
      <c r="O115" s="81">
        <f>VLOOKUP($B115,'Data Vlaue (Cr)'!$C:$FB,68)</f>
        <v>3173</v>
      </c>
      <c r="P115" s="81">
        <f t="shared" ref="P115:P126" si="43">(N115-O115)/N115*100</f>
        <v>33.82690302398332</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JUBLFOOD</v>
      </c>
      <c r="C116" s="4">
        <f>VLOOKUP($B116,'Data shares'!$C:$FB,7)</f>
        <v>492.85</v>
      </c>
      <c r="D116" s="82">
        <f>VLOOKUP($B116,'Data shares'!$C:$FB,98)</f>
        <v>74906250</v>
      </c>
      <c r="E116" s="165">
        <f>VLOOKUP(B116,'Snapshot (Volume)'!$A$7:$G$168,7,0)</f>
        <v>80405000</v>
      </c>
      <c r="F116" s="165">
        <f t="shared" si="40"/>
        <v>-5498750</v>
      </c>
      <c r="G116" s="166">
        <f t="shared" si="41"/>
        <v>-6.8388159940302215E-2</v>
      </c>
      <c r="H116" s="165">
        <f>VLOOKUP($B116,'Data shares'!$C:$FB,66)</f>
        <v>67210000</v>
      </c>
      <c r="I116" s="165">
        <f>VLOOKUP($B116,'Data shares'!$C:$FB,67)</f>
        <v>77036250</v>
      </c>
      <c r="J116" s="81">
        <f t="shared" si="42"/>
        <v>-12.755358678544193</v>
      </c>
      <c r="K116" s="5">
        <f>VLOOKUP($B116,'Data Vlaue (Cr)'!$C:$FB,99)</f>
        <v>3678</v>
      </c>
      <c r="L116" s="81">
        <f>VLOOKUP(B116,'OI(Value)'!$A$7:$C$232,3,0)</f>
        <v>-270</v>
      </c>
      <c r="M116" s="33">
        <f t="shared" si="31"/>
        <v>-7.3409461663947795</v>
      </c>
      <c r="N116" s="5">
        <f>VLOOKUP($B116,'Data Vlaue (Cr)'!$C:$FB,67)</f>
        <v>3300</v>
      </c>
      <c r="O116" s="5">
        <f>VLOOKUP($B116,'Data Vlaue (Cr)'!$C:$FB,68)</f>
        <v>3782</v>
      </c>
      <c r="P116" s="5">
        <f t="shared" si="43"/>
        <v>-14.606060606060606</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FMCG</v>
      </c>
      <c r="B117" s="79" t="str">
        <f>'Data shares'!C112</f>
        <v>KALYANKJIL</v>
      </c>
      <c r="C117" s="4">
        <f>VLOOKUP($B117,'Data shares'!$C:$FB,7)</f>
        <v>412.85</v>
      </c>
      <c r="D117" s="82">
        <f>VLOOKUP($B117,'Data shares'!$C:$FB,98)</f>
        <v>48363000</v>
      </c>
      <c r="E117" s="165">
        <f>VLOOKUP(B117,'Snapshot (Volume)'!$A$7:$G$168,7,0)</f>
        <v>50418075</v>
      </c>
      <c r="F117" s="165">
        <f t="shared" si="40"/>
        <v>-2055075</v>
      </c>
      <c r="G117" s="166">
        <f t="shared" si="41"/>
        <v>-4.076067957771097E-2</v>
      </c>
      <c r="H117" s="165">
        <f>VLOOKUP($B117,'Data shares'!$C:$FB,66)</f>
        <v>37830300</v>
      </c>
      <c r="I117" s="165">
        <f>VLOOKUP($B117,'Data shares'!$C:$FB,67)</f>
        <v>19098450</v>
      </c>
      <c r="J117" s="81">
        <f t="shared" si="42"/>
        <v>98.08047249907716</v>
      </c>
      <c r="K117" s="5">
        <f>VLOOKUP($B117,'Data Vlaue (Cr)'!$C:$FB,99)</f>
        <v>1999</v>
      </c>
      <c r="L117" s="81">
        <f>VLOOKUP(B117,'OI(Value)'!$A$7:$C$232,3,0)</f>
        <v>-85</v>
      </c>
      <c r="M117" s="33">
        <f t="shared" si="31"/>
        <v>-4.2521260630315156</v>
      </c>
      <c r="N117" s="5">
        <f>VLOOKUP($B117,'Data Vlaue (Cr)'!$C:$FB,67)</f>
        <v>1564</v>
      </c>
      <c r="O117" s="5">
        <f>VLOOKUP($B117,'Data Vlaue (Cr)'!$C:$FB,68)</f>
        <v>789</v>
      </c>
      <c r="P117" s="5">
        <f t="shared" si="43"/>
        <v>49.552429667519185</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Capital_Goods</v>
      </c>
      <c r="B118" s="79" t="str">
        <f>'Data shares'!C113</f>
        <v>KAYNES</v>
      </c>
      <c r="C118" s="4">
        <f>VLOOKUP($B118,'Data shares'!$C:$FB,7)</f>
        <v>4387.7</v>
      </c>
      <c r="D118" s="82">
        <f>VLOOKUP($B118,'Data shares'!$C:$FB,98)</f>
        <v>6329100</v>
      </c>
      <c r="E118" s="165">
        <f>VLOOKUP(B118,'Snapshot (Volume)'!$A$7:$G$168,7,0)</f>
        <v>6810600</v>
      </c>
      <c r="F118" s="165">
        <f t="shared" si="40"/>
        <v>-481500</v>
      </c>
      <c r="G118" s="166">
        <f t="shared" si="41"/>
        <v>-7.0698616861950489E-2</v>
      </c>
      <c r="H118" s="165">
        <f>VLOOKUP($B118,'Data shares'!$C:$FB,66)</f>
        <v>7788900</v>
      </c>
      <c r="I118" s="165">
        <f>VLOOKUP($B118,'Data shares'!$C:$FB,67)</f>
        <v>14175400</v>
      </c>
      <c r="J118" s="81">
        <f t="shared" si="42"/>
        <v>-45.053402373125273</v>
      </c>
      <c r="K118" s="5">
        <f>VLOOKUP($B118,'Data Vlaue (Cr)'!$C:$FB,99)</f>
        <v>2773</v>
      </c>
      <c r="L118" s="81">
        <f>VLOOKUP(B118,'OI(Value)'!$A$7:$C$232,3,0)</f>
        <v>-211</v>
      </c>
      <c r="M118" s="33">
        <f t="shared" si="31"/>
        <v>-7.6090876307248463</v>
      </c>
      <c r="N118" s="5">
        <f>VLOOKUP($B118,'Data Vlaue (Cr)'!$C:$FB,67)</f>
        <v>3413</v>
      </c>
      <c r="O118" s="5">
        <f>VLOOKUP($B118,'Data Vlaue (Cr)'!$C:$FB,68)</f>
        <v>6211</v>
      </c>
      <c r="P118" s="5">
        <f t="shared" si="43"/>
        <v>-81.980662174040432</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Power</v>
      </c>
      <c r="B119" s="79" t="str">
        <f>'Data shares'!C114</f>
        <v>KEI</v>
      </c>
      <c r="C119" s="4">
        <f>VLOOKUP($B119,'Data shares'!$C:$FB,7)</f>
        <v>4839.5</v>
      </c>
      <c r="D119" s="82">
        <f>VLOOKUP($B119,'Data shares'!$C:$FB,98)</f>
        <v>3659950</v>
      </c>
      <c r="E119" s="165">
        <f>VLOOKUP(B119,'Snapshot (Volume)'!$A$7:$G$168,7,0)</f>
        <v>3974250</v>
      </c>
      <c r="F119" s="165">
        <f t="shared" si="40"/>
        <v>-314300</v>
      </c>
      <c r="G119" s="166">
        <f t="shared" si="41"/>
        <v>-7.9084103918978424E-2</v>
      </c>
      <c r="H119" s="165">
        <f>VLOOKUP($B119,'Data shares'!$C:$FB,66)</f>
        <v>4111450</v>
      </c>
      <c r="I119" s="165">
        <f>VLOOKUP($B119,'Data shares'!$C:$FB,67)</f>
        <v>4414025</v>
      </c>
      <c r="J119" s="81">
        <f t="shared" si="42"/>
        <v>-6.8548546961106931</v>
      </c>
      <c r="K119" s="5">
        <f>VLOOKUP($B119,'Data Vlaue (Cr)'!$C:$FB,99)</f>
        <v>1777</v>
      </c>
      <c r="L119" s="81">
        <f>VLOOKUP(B119,'OI(Value)'!$A$7:$C$232,3,0)</f>
        <v>-153</v>
      </c>
      <c r="M119" s="33">
        <f t="shared" si="31"/>
        <v>-8.610016882386045</v>
      </c>
      <c r="N119" s="5">
        <f>VLOOKUP($B119,'Data Vlaue (Cr)'!$C:$FB,67)</f>
        <v>1996</v>
      </c>
      <c r="O119" s="5">
        <f>VLOOKUP($B119,'Data Vlaue (Cr)'!$C:$FB,68)</f>
        <v>2143</v>
      </c>
      <c r="P119" s="5">
        <f t="shared" si="43"/>
        <v>-7.3647294589178358</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Finance</v>
      </c>
      <c r="B120" s="79" t="str">
        <f>'Data shares'!C115</f>
        <v>KFINTECH</v>
      </c>
      <c r="C120" s="4">
        <f>VLOOKUP($B120,'Data shares'!$C:$FB,7)</f>
        <v>981.9</v>
      </c>
      <c r="D120" s="82">
        <f>VLOOKUP($B120,'Data shares'!$C:$FB,98)</f>
        <v>7681000</v>
      </c>
      <c r="E120" s="165">
        <f>VLOOKUP(B120,'Snapshot (Volume)'!$A$7:$G$168,7,0)</f>
        <v>8382500</v>
      </c>
      <c r="F120" s="165">
        <f t="shared" si="40"/>
        <v>-701500</v>
      </c>
      <c r="G120" s="166">
        <f t="shared" si="41"/>
        <v>-8.3686251118401431E-2</v>
      </c>
      <c r="H120" s="165">
        <f>VLOOKUP($B120,'Data shares'!$C:$FB,66)</f>
        <v>4889500</v>
      </c>
      <c r="I120" s="165">
        <f>VLOOKUP($B120,'Data shares'!$C:$FB,67)</f>
        <v>4267000</v>
      </c>
      <c r="J120" s="81">
        <f t="shared" si="42"/>
        <v>14.588704007499414</v>
      </c>
      <c r="K120" s="5">
        <f>VLOOKUP($B120,'Data Vlaue (Cr)'!$C:$FB,99)</f>
        <v>757</v>
      </c>
      <c r="L120" s="81">
        <f>VLOOKUP(B120,'OI(Value)'!$A$7:$C$232,3,0)</f>
        <v>-69</v>
      </c>
      <c r="M120" s="33">
        <f t="shared" si="31"/>
        <v>-9.1149273447820338</v>
      </c>
      <c r="N120" s="5">
        <f>VLOOKUP($B120,'Data Vlaue (Cr)'!$C:$FB,67)</f>
        <v>482</v>
      </c>
      <c r="O120" s="5">
        <f>VLOOKUP($B120,'Data Vlaue (Cr)'!$C:$FB,68)</f>
        <v>420</v>
      </c>
      <c r="P120" s="5">
        <f t="shared" si="43"/>
        <v>12.863070539419086</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Banking</v>
      </c>
      <c r="B121" s="79" t="str">
        <f>'Data shares'!C116</f>
        <v>KOTAKBANK</v>
      </c>
      <c r="C121" s="4">
        <f>VLOOKUP($B121,'Data shares'!$C:$FB,7)</f>
        <v>370.4</v>
      </c>
      <c r="D121" s="82">
        <f>VLOOKUP($B121,'Data shares'!$C:$FB,98)</f>
        <v>301968000</v>
      </c>
      <c r="E121" s="165">
        <f>VLOOKUP(B121,'Snapshot (Volume)'!$A$7:$G$168,7,0)</f>
        <v>289612000</v>
      </c>
      <c r="F121" s="165">
        <f t="shared" si="40"/>
        <v>12356000</v>
      </c>
      <c r="G121" s="166">
        <f t="shared" si="41"/>
        <v>4.2663978011960833E-2</v>
      </c>
      <c r="H121" s="165">
        <f>VLOOKUP($B121,'Data shares'!$C:$FB,66)</f>
        <v>164926000</v>
      </c>
      <c r="I121" s="165">
        <f>VLOOKUP($B121,'Data shares'!$C:$FB,67)</f>
        <v>90386000</v>
      </c>
      <c r="J121" s="81">
        <f t="shared" si="42"/>
        <v>82.468523886442597</v>
      </c>
      <c r="K121" s="5">
        <f>VLOOKUP($B121,'Data Vlaue (Cr)'!$C:$FB,99)</f>
        <v>11195</v>
      </c>
      <c r="L121" s="81">
        <f>VLOOKUP(B121,'OI(Value)'!$A$7:$C$232,3,0)</f>
        <v>458</v>
      </c>
      <c r="M121" s="33">
        <f t="shared" si="31"/>
        <v>4.0911121036176858</v>
      </c>
      <c r="N121" s="5">
        <f>VLOOKUP($B121,'Data Vlaue (Cr)'!$C:$FB,67)</f>
        <v>6115</v>
      </c>
      <c r="O121" s="5">
        <f>VLOOKUP($B121,'Data Vlaue (Cr)'!$C:$FB,68)</f>
        <v>3351</v>
      </c>
      <c r="P121" s="5">
        <f t="shared" si="43"/>
        <v>45.200327064595257</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Technology</v>
      </c>
      <c r="B122" s="79" t="str">
        <f>'Data shares'!C117</f>
        <v>KPITTECH</v>
      </c>
      <c r="C122" s="4">
        <f>VLOOKUP($B122,'Data shares'!$C:$FB,7)</f>
        <v>733.65</v>
      </c>
      <c r="D122" s="82">
        <f>VLOOKUP($B122,'Data shares'!$C:$FB,98)</f>
        <v>12646725</v>
      </c>
      <c r="E122" s="165">
        <f>VLOOKUP(B122,'Snapshot (Volume)'!$A$7:$G$168,7,0)</f>
        <v>12802700</v>
      </c>
      <c r="F122" s="165">
        <f t="shared" si="40"/>
        <v>-155975</v>
      </c>
      <c r="G122" s="166">
        <f t="shared" si="41"/>
        <v>-1.2182977028283096E-2</v>
      </c>
      <c r="H122" s="165">
        <f>VLOOKUP($B122,'Data shares'!$C:$FB,66)</f>
        <v>9438400</v>
      </c>
      <c r="I122" s="165">
        <f>VLOOKUP($B122,'Data shares'!$C:$FB,67)</f>
        <v>8126850</v>
      </c>
      <c r="J122" s="81">
        <f t="shared" si="42"/>
        <v>16.138479238573371</v>
      </c>
      <c r="K122" s="5">
        <f>VLOOKUP($B122,'Data Vlaue (Cr)'!$C:$FB,99)</f>
        <v>928</v>
      </c>
      <c r="L122" s="81">
        <f>VLOOKUP(B122,'OI(Value)'!$A$7:$C$232,3,0)</f>
        <v>-11</v>
      </c>
      <c r="M122" s="33">
        <f t="shared" si="31"/>
        <v>-1.1853448275862069</v>
      </c>
      <c r="N122" s="5">
        <f>VLOOKUP($B122,'Data Vlaue (Cr)'!$C:$FB,67)</f>
        <v>692</v>
      </c>
      <c r="O122" s="5">
        <f>VLOOKUP($B122,'Data Vlaue (Cr)'!$C:$FB,68)</f>
        <v>596</v>
      </c>
      <c r="P122" s="5">
        <f t="shared" si="43"/>
        <v>13.872832369942195</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Pharma</v>
      </c>
      <c r="B123" s="79" t="str">
        <f>'Data shares'!C118</f>
        <v>LAURUSLABS</v>
      </c>
      <c r="C123" s="4">
        <f>VLOOKUP($B123,'Data shares'!$C:$FB,7)</f>
        <v>1129</v>
      </c>
      <c r="D123" s="82">
        <f>VLOOKUP($B123,'Data shares'!$C:$FB,98)</f>
        <v>28939100</v>
      </c>
      <c r="E123" s="165">
        <f>VLOOKUP(B123,'Snapshot (Volume)'!$A$7:$G$168,7,0)</f>
        <v>28853250</v>
      </c>
      <c r="F123" s="165">
        <f t="shared" si="40"/>
        <v>85850</v>
      </c>
      <c r="G123" s="166">
        <f t="shared" si="41"/>
        <v>2.9754013845927235E-3</v>
      </c>
      <c r="H123" s="165">
        <f>VLOOKUP($B123,'Data shares'!$C:$FB,66)</f>
        <v>29685400</v>
      </c>
      <c r="I123" s="165">
        <f>VLOOKUP($B123,'Data shares'!$C:$FB,67)</f>
        <v>15282150</v>
      </c>
      <c r="J123" s="81">
        <f t="shared" si="42"/>
        <v>94.248845875743925</v>
      </c>
      <c r="K123" s="5">
        <f>VLOOKUP($B123,'Data Vlaue (Cr)'!$C:$FB,99)</f>
        <v>3268</v>
      </c>
      <c r="L123" s="81">
        <f>VLOOKUP(B123,'OI(Value)'!$A$7:$C$232,3,0)</f>
        <v>10</v>
      </c>
      <c r="M123" s="33">
        <f t="shared" ref="M123:M144" si="44">L123/K123*100</f>
        <v>0.30599755201958384</v>
      </c>
      <c r="N123" s="5">
        <f>VLOOKUP($B123,'Data Vlaue (Cr)'!$C:$FB,67)</f>
        <v>3352</v>
      </c>
      <c r="O123" s="5">
        <f>VLOOKUP($B123,'Data Vlaue (Cr)'!$C:$FB,68)</f>
        <v>1726</v>
      </c>
      <c r="P123" s="5">
        <f t="shared" si="43"/>
        <v>48.508353221957037</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LICHSGFIN</v>
      </c>
      <c r="C124" s="4">
        <f>VLOOKUP($B124,'Data shares'!$C:$FB,7)</f>
        <v>545.54999999999995</v>
      </c>
      <c r="D124" s="82">
        <f>VLOOKUP($B124,'Data shares'!$C:$FB,98)</f>
        <v>46116000</v>
      </c>
      <c r="E124" s="165">
        <f>VLOOKUP(B124,'Snapshot (Volume)'!$A$7:$G$168,7,0)</f>
        <v>46711000</v>
      </c>
      <c r="F124" s="165">
        <f t="shared" si="40"/>
        <v>-595000</v>
      </c>
      <c r="G124" s="166">
        <f t="shared" si="41"/>
        <v>-1.2737898995953845E-2</v>
      </c>
      <c r="H124" s="165">
        <f>VLOOKUP($B124,'Data shares'!$C:$FB,66)</f>
        <v>23377000</v>
      </c>
      <c r="I124" s="165">
        <f>VLOOKUP($B124,'Data shares'!$C:$FB,67)</f>
        <v>19608000</v>
      </c>
      <c r="J124" s="81">
        <f t="shared" si="42"/>
        <v>19.221746226030191</v>
      </c>
      <c r="K124" s="5">
        <f>VLOOKUP($B124,'Data Vlaue (Cr)'!$C:$FB,99)</f>
        <v>2519</v>
      </c>
      <c r="L124" s="81">
        <f>VLOOKUP(B124,'OI(Value)'!$A$7:$C$232,3,0)</f>
        <v>-32</v>
      </c>
      <c r="M124" s="33">
        <f t="shared" si="44"/>
        <v>-1.2703453751488685</v>
      </c>
      <c r="N124" s="5">
        <f>VLOOKUP($B124,'Data Vlaue (Cr)'!$C:$FB,67)</f>
        <v>1277</v>
      </c>
      <c r="O124" s="5">
        <f>VLOOKUP($B124,'Data Vlaue (Cr)'!$C:$FB,68)</f>
        <v>1071</v>
      </c>
      <c r="P124" s="5">
        <f t="shared" si="43"/>
        <v>16.131558339859044</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Finance</v>
      </c>
      <c r="B125" s="79" t="str">
        <f>'Data shares'!C120</f>
        <v>LICI</v>
      </c>
      <c r="C125" s="4">
        <f>VLOOKUP($B125,'Data shares'!$C:$FB,7)</f>
        <v>811.65</v>
      </c>
      <c r="D125" s="82">
        <f>VLOOKUP($B125,'Data shares'!$C:$FB,98)</f>
        <v>21747600</v>
      </c>
      <c r="E125" s="165">
        <f>VLOOKUP(B125,'Snapshot (Volume)'!$A$7:$G$168,7,0)</f>
        <v>23594900</v>
      </c>
      <c r="F125" s="165">
        <f t="shared" si="40"/>
        <v>-1847300</v>
      </c>
      <c r="G125" s="166">
        <f t="shared" si="41"/>
        <v>-7.8292342836799478E-2</v>
      </c>
      <c r="H125" s="165">
        <f>VLOOKUP($B125,'Data shares'!$C:$FB,66)</f>
        <v>14098000</v>
      </c>
      <c r="I125" s="165">
        <f>VLOOKUP($B125,'Data shares'!$C:$FB,67)</f>
        <v>6133400</v>
      </c>
      <c r="J125" s="81">
        <f t="shared" si="42"/>
        <v>129.85619721524765</v>
      </c>
      <c r="K125" s="5">
        <f>VLOOKUP($B125,'Data Vlaue (Cr)'!$C:$FB,99)</f>
        <v>1763</v>
      </c>
      <c r="L125" s="81">
        <f>VLOOKUP(B125,'OI(Value)'!$A$7:$C$232,3,0)</f>
        <v>-150</v>
      </c>
      <c r="M125" s="33">
        <f t="shared" si="44"/>
        <v>-8.5082246171298923</v>
      </c>
      <c r="N125" s="5">
        <f>VLOOKUP($B125,'Data Vlaue (Cr)'!$C:$FB,67)</f>
        <v>1143</v>
      </c>
      <c r="O125" s="5">
        <f>VLOOKUP($B125,'Data Vlaue (Cr)'!$C:$FB,68)</f>
        <v>497</v>
      </c>
      <c r="P125" s="5">
        <f t="shared" si="43"/>
        <v>56.517935258092734</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Realty</v>
      </c>
      <c r="B126" s="79" t="str">
        <f>'Data shares'!C121</f>
        <v>LODHA</v>
      </c>
      <c r="C126" s="4">
        <f>VLOOKUP($B126,'Data shares'!$C:$FB,7)</f>
        <v>856.5</v>
      </c>
      <c r="D126" s="82">
        <f>VLOOKUP($B126,'Data shares'!$C:$FB,98)</f>
        <v>29462400</v>
      </c>
      <c r="E126" s="165">
        <f>VLOOKUP(B126,'Snapshot (Volume)'!$A$7:$G$168,7,0)</f>
        <v>29159100</v>
      </c>
      <c r="F126" s="165">
        <f t="shared" si="40"/>
        <v>303300</v>
      </c>
      <c r="G126" s="166">
        <f t="shared" si="41"/>
        <v>1.0401555603568011E-2</v>
      </c>
      <c r="H126" s="165">
        <f>VLOOKUP($B126,'Data shares'!$C:$FB,66)</f>
        <v>18707850</v>
      </c>
      <c r="I126" s="165">
        <f>VLOOKUP($B126,'Data shares'!$C:$FB,67)</f>
        <v>14138550</v>
      </c>
      <c r="J126" s="81">
        <f t="shared" si="42"/>
        <v>32.318024125529135</v>
      </c>
      <c r="K126" s="5">
        <f>VLOOKUP($B126,'Data Vlaue (Cr)'!$C:$FB,99)</f>
        <v>2527</v>
      </c>
      <c r="L126" s="81">
        <f>VLOOKUP(B126,'OI(Value)'!$A$7:$C$232,3,0)</f>
        <v>26</v>
      </c>
      <c r="M126" s="33">
        <f t="shared" si="44"/>
        <v>1.0288880094974278</v>
      </c>
      <c r="N126" s="5">
        <f>VLOOKUP($B126,'Data Vlaue (Cr)'!$C:$FB,67)</f>
        <v>1605</v>
      </c>
      <c r="O126" s="5">
        <f>VLOOKUP($B126,'Data Vlaue (Cr)'!$C:$FB,68)</f>
        <v>1213</v>
      </c>
      <c r="P126" s="5">
        <f t="shared" si="43"/>
        <v>24.423676012461058</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Capital_Goods</v>
      </c>
      <c r="B127" s="79" t="str">
        <f>'Data shares'!C122</f>
        <v>LT</v>
      </c>
      <c r="C127" s="4">
        <f>VLOOKUP($B127,'Data shares'!$C:$FB,7)</f>
        <v>4054.1</v>
      </c>
      <c r="D127" s="82">
        <f>VLOOKUP($B127,'Data shares'!$C:$FB,98)</f>
        <v>33584425</v>
      </c>
      <c r="E127" s="165">
        <f>VLOOKUP(B127,'Snapshot (Volume)'!$A$7:$G$168,7,0)</f>
        <v>33511975</v>
      </c>
      <c r="F127" s="165">
        <f>D127-E127</f>
        <v>72450</v>
      </c>
      <c r="G127" s="166">
        <f>F127/E127</f>
        <v>2.1619137636620937E-3</v>
      </c>
      <c r="H127" s="165">
        <f>VLOOKUP($B127,'Data shares'!$C:$FB,66)</f>
        <v>18414725</v>
      </c>
      <c r="I127" s="165">
        <f>VLOOKUP($B127,'Data shares'!$C:$FB,67)</f>
        <v>17609900</v>
      </c>
      <c r="J127" s="81">
        <f>(H127-I127)/I127*100</f>
        <v>4.5702985252613582</v>
      </c>
      <c r="K127" s="5">
        <f>VLOOKUP($B127,'Data Vlaue (Cr)'!$C:$FB,99)</f>
        <v>13627</v>
      </c>
      <c r="L127" s="81">
        <f>VLOOKUP(B127,'OI(Value)'!$A$7:$C$232,3,0)</f>
        <v>29</v>
      </c>
      <c r="M127" s="33">
        <f t="shared" si="44"/>
        <v>0.21281279812137671</v>
      </c>
      <c r="N127" s="5">
        <f>VLOOKUP($B127,'Data Vlaue (Cr)'!$C:$FB,67)</f>
        <v>7472</v>
      </c>
      <c r="O127" s="5">
        <f>VLOOKUP($B127,'Data Vlaue (Cr)'!$C:$FB,68)</f>
        <v>7145</v>
      </c>
      <c r="P127" s="5">
        <f>(N127-O127)/N127*100</f>
        <v>4.3763383297644536</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Finance</v>
      </c>
      <c r="B128" s="79" t="str">
        <f>'Data shares'!C123</f>
        <v>LTF</v>
      </c>
      <c r="C128" s="4">
        <f>VLOOKUP($B128,'Data shares'!$C:$FB,7)</f>
        <v>292.12</v>
      </c>
      <c r="D128" s="82">
        <f>VLOOKUP($B128,'Data shares'!$C:$FB,98)</f>
        <v>86634000</v>
      </c>
      <c r="E128" s="165">
        <f>VLOOKUP(B128,'Snapshot (Volume)'!$A$7:$G$168,7,0)</f>
        <v>87455250</v>
      </c>
      <c r="F128" s="165">
        <f>D128-E128</f>
        <v>-821250</v>
      </c>
      <c r="G128" s="166">
        <f>F128/E128</f>
        <v>-9.3905168643391903E-3</v>
      </c>
      <c r="H128" s="165">
        <f>VLOOKUP($B128,'Data shares'!$C:$FB,66)</f>
        <v>63013500</v>
      </c>
      <c r="I128" s="165">
        <f>VLOOKUP($B128,'Data shares'!$C:$FB,67)</f>
        <v>29322000</v>
      </c>
      <c r="J128" s="81">
        <f>(H128-I128)/I128*100</f>
        <v>114.90178023327195</v>
      </c>
      <c r="K128" s="5">
        <f>VLOOKUP($B128,'Data Vlaue (Cr)'!$C:$FB,99)</f>
        <v>2531</v>
      </c>
      <c r="L128" s="81">
        <f>VLOOKUP(B128,'OI(Value)'!$A$7:$C$232,3,0)</f>
        <v>-24</v>
      </c>
      <c r="M128" s="33">
        <f t="shared" si="44"/>
        <v>-0.94824180165942318</v>
      </c>
      <c r="N128" s="5">
        <f>VLOOKUP($B128,'Data Vlaue (Cr)'!$C:$FB,67)</f>
        <v>1841</v>
      </c>
      <c r="O128" s="5">
        <f>VLOOKUP($B128,'Data Vlaue (Cr)'!$C:$FB,68)</f>
        <v>857</v>
      </c>
      <c r="P128" s="5">
        <f>(N128-O128)/N128*100</f>
        <v>53.449212384573599</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Technology</v>
      </c>
      <c r="B129" s="79" t="str">
        <f>'Data shares'!C124</f>
        <v>LTM</v>
      </c>
      <c r="C129" s="4">
        <f>VLOOKUP($B129,'Data shares'!$C:$FB,7)</f>
        <v>4531.5</v>
      </c>
      <c r="D129" s="82">
        <f>VLOOKUP($B129,'Data shares'!$C:$FB,98)</f>
        <v>7197300</v>
      </c>
      <c r="E129" s="165">
        <f>VLOOKUP(B129,'Snapshot (Volume)'!$A$7:$G$168,7,0)</f>
        <v>7219200</v>
      </c>
      <c r="F129" s="165">
        <f>D129-E129</f>
        <v>-21900</v>
      </c>
      <c r="G129" s="166">
        <f>F129/E129</f>
        <v>-3.0335771276595743E-3</v>
      </c>
      <c r="H129" s="165">
        <f>VLOOKUP($B129,'Data shares'!$C:$FB,66)</f>
        <v>8396100</v>
      </c>
      <c r="I129" s="165">
        <f>VLOOKUP($B129,'Data shares'!$C:$FB,67)</f>
        <v>5020500</v>
      </c>
      <c r="J129" s="81">
        <f>(H129-I129)/I129*100</f>
        <v>67.236331042724828</v>
      </c>
      <c r="K129" s="5">
        <f>VLOOKUP($B129,'Data Vlaue (Cr)'!$C:$FB,99)</f>
        <v>3262</v>
      </c>
      <c r="L129" s="81">
        <f>VLOOKUP(B129,'OI(Value)'!$A$7:$C$232,3,0)</f>
        <v>-10</v>
      </c>
      <c r="M129" s="33">
        <f t="shared" si="44"/>
        <v>-0.30656039239730226</v>
      </c>
      <c r="N129" s="5">
        <f>VLOOKUP($B129,'Data Vlaue (Cr)'!$C:$FB,67)</f>
        <v>3805</v>
      </c>
      <c r="O129" s="5">
        <f>VLOOKUP($B129,'Data Vlaue (Cr)'!$C:$FB,68)</f>
        <v>2275</v>
      </c>
      <c r="P129" s="5">
        <f>(N129-O129)/N129*100</f>
        <v>40.210249671484888</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Pharma</v>
      </c>
      <c r="B130" s="79" t="str">
        <f>'Data shares'!C125</f>
        <v>LUPIN</v>
      </c>
      <c r="C130" s="4">
        <f>VLOOKUP($B130,'Data shares'!$C:$FB,7)</f>
        <v>2341.4</v>
      </c>
      <c r="D130" s="82">
        <f>VLOOKUP($B130,'Data shares'!$C:$FB,98)</f>
        <v>12031325</v>
      </c>
      <c r="E130" s="165">
        <f>VLOOKUP(B130,'Snapshot (Volume)'!$A$7:$G$168,7,0)</f>
        <v>10959050</v>
      </c>
      <c r="F130" s="165">
        <f>D130-E130</f>
        <v>1072275</v>
      </c>
      <c r="G130" s="166">
        <f>F130/E130</f>
        <v>9.7843791204529587E-2</v>
      </c>
      <c r="H130" s="165">
        <f>VLOOKUP($B130,'Data shares'!$C:$FB,66)</f>
        <v>27368300</v>
      </c>
      <c r="I130" s="165">
        <f>VLOOKUP($B130,'Data shares'!$C:$FB,67)</f>
        <v>5495675</v>
      </c>
      <c r="J130" s="81">
        <f>(H130-I130)/I130*100</f>
        <v>397.99706132549687</v>
      </c>
      <c r="K130" s="5">
        <f>VLOOKUP($B130,'Data Vlaue (Cr)'!$C:$FB,99)</f>
        <v>2821</v>
      </c>
      <c r="L130" s="81">
        <f>VLOOKUP(B130,'OI(Value)'!$A$7:$C$232,3,0)</f>
        <v>251</v>
      </c>
      <c r="M130" s="33">
        <f t="shared" si="44"/>
        <v>8.8975540588443813</v>
      </c>
      <c r="N130" s="5">
        <f>VLOOKUP($B130,'Data Vlaue (Cr)'!$C:$FB,67)</f>
        <v>6418</v>
      </c>
      <c r="O130" s="5">
        <f>VLOOKUP($B130,'Data Vlaue (Cr)'!$C:$FB,68)</f>
        <v>1289</v>
      </c>
      <c r="P130" s="5">
        <f>(N130-O130)/N130*100</f>
        <v>79.915861639139919</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Automobile</v>
      </c>
      <c r="B131" s="79" t="str">
        <f>'Data shares'!C126</f>
        <v>M&amp;M</v>
      </c>
      <c r="C131" s="4">
        <f>VLOOKUP($B131,'Data shares'!$C:$FB,7)</f>
        <v>3047.7</v>
      </c>
      <c r="D131" s="82">
        <f>VLOOKUP($B131,'Data shares'!$C:$FB,98)</f>
        <v>29953800</v>
      </c>
      <c r="E131" s="165">
        <f>VLOOKUP(B131,'Snapshot (Volume)'!$A$7:$G$168,7,0)</f>
        <v>29101000</v>
      </c>
      <c r="F131" s="165">
        <f>D131-E131</f>
        <v>852800</v>
      </c>
      <c r="G131" s="166">
        <f>F131/E131</f>
        <v>2.9304834885399127E-2</v>
      </c>
      <c r="H131" s="165">
        <f>VLOOKUP($B131,'Data shares'!$C:$FB,66)</f>
        <v>28148800</v>
      </c>
      <c r="I131" s="165">
        <f>VLOOKUP($B131,'Data shares'!$C:$FB,67)</f>
        <v>16161000</v>
      </c>
      <c r="J131" s="81">
        <f>(H131-I131)/I131*100</f>
        <v>74.177340511106976</v>
      </c>
      <c r="K131" s="5">
        <f>VLOOKUP($B131,'Data Vlaue (Cr)'!$C:$FB,99)</f>
        <v>9131</v>
      </c>
      <c r="L131" s="81">
        <f>VLOOKUP(B131,'OI(Value)'!$A$7:$C$232,3,0)</f>
        <v>260</v>
      </c>
      <c r="M131" s="33">
        <f t="shared" si="44"/>
        <v>2.8474427773518785</v>
      </c>
      <c r="N131" s="5">
        <f>VLOOKUP($B131,'Data Vlaue (Cr)'!$C:$FB,67)</f>
        <v>8581</v>
      </c>
      <c r="O131" s="5">
        <f>VLOOKUP($B131,'Data Vlaue (Cr)'!$C:$FB,68)</f>
        <v>4927</v>
      </c>
      <c r="P131" s="5">
        <f>(N131-O131)/N131*100</f>
        <v>42.582449597948958</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Finance</v>
      </c>
      <c r="B132" s="79" t="str">
        <f>'Data shares'!C127</f>
        <v>MANAPPURAM</v>
      </c>
      <c r="C132" s="79">
        <f>VLOOKUP($B132,'Data shares'!$C:$FB,7)</f>
        <v>292.85000000000002</v>
      </c>
      <c r="D132" s="165">
        <f>VLOOKUP($B132,'Data shares'!$C:$FB,98)</f>
        <v>90387000</v>
      </c>
      <c r="E132" s="165">
        <f>VLOOKUP(B132,'Snapshot (Volume)'!$A$7:$G$168,7,0)</f>
        <v>92646000</v>
      </c>
      <c r="F132" s="165">
        <f t="shared" ref="F132:F139" si="45">D132-E132</f>
        <v>-2259000</v>
      </c>
      <c r="G132" s="166">
        <f t="shared" ref="G132:G139" si="46">F132/E132</f>
        <v>-2.4383135807266369E-2</v>
      </c>
      <c r="H132" s="165">
        <f>VLOOKUP($B132,'Data shares'!$C:$FB,66)</f>
        <v>46854000</v>
      </c>
      <c r="I132" s="165">
        <f>VLOOKUP($B132,'Data shares'!$C:$FB,67)</f>
        <v>186780000</v>
      </c>
      <c r="J132" s="81">
        <f t="shared" ref="J132:J139" si="47">(H132-I132)/I132*100</f>
        <v>-74.914873112752971</v>
      </c>
      <c r="K132" s="81">
        <f>VLOOKUP($B132,'Data Vlaue (Cr)'!$C:$FB,99)</f>
        <v>2643</v>
      </c>
      <c r="L132" s="81">
        <f>VLOOKUP(B132,'OI(Value)'!$A$7:$C$232,3,0)</f>
        <v>-66</v>
      </c>
      <c r="M132" s="81">
        <f t="shared" si="44"/>
        <v>-2.4971623155505105</v>
      </c>
      <c r="N132" s="81">
        <f>VLOOKUP($B132,'Data Vlaue (Cr)'!$C:$FB,67)</f>
        <v>1370</v>
      </c>
      <c r="O132" s="81">
        <f>VLOOKUP($B132,'Data Vlaue (Cr)'!$C:$FB,68)</f>
        <v>5461</v>
      </c>
      <c r="P132" s="81">
        <f t="shared" ref="P132:P139" si="48">(N132-O132)/N132*100</f>
        <v>-298.61313868613138</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Pharma</v>
      </c>
      <c r="B133" s="79" t="str">
        <f>'Data shares'!C128</f>
        <v>MANKIND</v>
      </c>
      <c r="C133" s="79">
        <f>VLOOKUP($B133,'Data shares'!$C:$FB,7)</f>
        <v>2292.9</v>
      </c>
      <c r="D133" s="165">
        <f>VLOOKUP($B133,'Data shares'!$C:$FB,98)</f>
        <v>4987800</v>
      </c>
      <c r="E133" s="165">
        <f>VLOOKUP(B133,'Snapshot (Volume)'!$A$7:$G$168,7,0)</f>
        <v>4589100</v>
      </c>
      <c r="F133" s="165">
        <f t="shared" si="45"/>
        <v>398700</v>
      </c>
      <c r="G133" s="166">
        <f t="shared" si="46"/>
        <v>8.6879780349088054E-2</v>
      </c>
      <c r="H133" s="165">
        <f>VLOOKUP($B133,'Data shares'!$C:$FB,66)</f>
        <v>11901600</v>
      </c>
      <c r="I133" s="165">
        <f>VLOOKUP($B133,'Data shares'!$C:$FB,67)</f>
        <v>3414825</v>
      </c>
      <c r="J133" s="81">
        <f t="shared" si="47"/>
        <v>248.52737695196677</v>
      </c>
      <c r="K133" s="81">
        <f>VLOOKUP($B133,'Data Vlaue (Cr)'!$C:$FB,99)</f>
        <v>1143</v>
      </c>
      <c r="L133" s="81">
        <f>VLOOKUP(B133,'OI(Value)'!$A$7:$C$232,3,0)</f>
        <v>91</v>
      </c>
      <c r="M133" s="81">
        <f t="shared" si="44"/>
        <v>7.9615048118985126</v>
      </c>
      <c r="N133" s="81">
        <f>VLOOKUP($B133,'Data Vlaue (Cr)'!$C:$FB,67)</f>
        <v>2728</v>
      </c>
      <c r="O133" s="81">
        <f>VLOOKUP($B133,'Data Vlaue (Cr)'!$C:$FB,68)</f>
        <v>783</v>
      </c>
      <c r="P133" s="81">
        <f t="shared" si="48"/>
        <v>71.297653958944281</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FMCG</v>
      </c>
      <c r="B134" s="79" t="str">
        <f>'Data shares'!C129</f>
        <v>MARICO</v>
      </c>
      <c r="C134" s="4">
        <f>VLOOKUP($B134,'Data shares'!$C:$FB,7)</f>
        <v>778.9</v>
      </c>
      <c r="D134" s="82">
        <f>VLOOKUP($B134,'Data shares'!$C:$FB,98)</f>
        <v>32320800</v>
      </c>
      <c r="E134" s="165">
        <f>VLOOKUP(B134,'Snapshot (Volume)'!$A$7:$G$168,7,0)</f>
        <v>32937600</v>
      </c>
      <c r="F134" s="165">
        <f t="shared" si="45"/>
        <v>-616800</v>
      </c>
      <c r="G134" s="166">
        <f t="shared" si="46"/>
        <v>-1.8726318857475954E-2</v>
      </c>
      <c r="H134" s="165">
        <f>VLOOKUP($B134,'Data shares'!$C:$FB,66)</f>
        <v>27754800</v>
      </c>
      <c r="I134" s="165">
        <f>VLOOKUP($B134,'Data shares'!$C:$FB,67)</f>
        <v>24438000</v>
      </c>
      <c r="J134" s="81">
        <f t="shared" si="47"/>
        <v>13.572305425975939</v>
      </c>
      <c r="K134" s="5">
        <f>VLOOKUP($B134,'Data Vlaue (Cr)'!$C:$FB,99)</f>
        <v>2514</v>
      </c>
      <c r="L134" s="81">
        <f>VLOOKUP(B134,'OI(Value)'!$A$7:$C$232,3,0)</f>
        <v>-48</v>
      </c>
      <c r="M134" s="33">
        <f t="shared" si="44"/>
        <v>-1.9093078758949882</v>
      </c>
      <c r="N134" s="5">
        <f>VLOOKUP($B134,'Data Vlaue (Cr)'!$C:$FB,67)</f>
        <v>2159</v>
      </c>
      <c r="O134" s="5">
        <f>VLOOKUP($B134,'Data Vlaue (Cr)'!$C:$FB,68)</f>
        <v>1901</v>
      </c>
      <c r="P134" s="5">
        <f t="shared" si="48"/>
        <v>11.949976841130153</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Automobile</v>
      </c>
      <c r="B135" s="79" t="str">
        <f>'Data shares'!C130</f>
        <v>MARUTI</v>
      </c>
      <c r="C135" s="4">
        <f>VLOOKUP($B135,'Data shares'!$C:$FB,7)</f>
        <v>13160</v>
      </c>
      <c r="D135" s="82">
        <f>VLOOKUP($B135,'Data shares'!$C:$FB,98)</f>
        <v>7104100</v>
      </c>
      <c r="E135" s="165">
        <f>VLOOKUP(B135,'Snapshot (Volume)'!$A$7:$G$168,7,0)</f>
        <v>7059000</v>
      </c>
      <c r="F135" s="165">
        <f t="shared" si="45"/>
        <v>45100</v>
      </c>
      <c r="G135" s="166">
        <f t="shared" si="46"/>
        <v>6.3890069414931291E-3</v>
      </c>
      <c r="H135" s="165">
        <f>VLOOKUP($B135,'Data shares'!$C:$FB,66)</f>
        <v>6817000</v>
      </c>
      <c r="I135" s="165">
        <f>VLOOKUP($B135,'Data shares'!$C:$FB,67)</f>
        <v>5148800</v>
      </c>
      <c r="J135" s="81">
        <f t="shared" si="47"/>
        <v>32.399782473586079</v>
      </c>
      <c r="K135" s="5">
        <f>VLOOKUP($B135,'Data Vlaue (Cr)'!$C:$FB,99)</f>
        <v>9334</v>
      </c>
      <c r="L135" s="81">
        <f>VLOOKUP(B135,'OI(Value)'!$A$7:$C$232,3,0)</f>
        <v>59</v>
      </c>
      <c r="M135" s="33">
        <f t="shared" si="44"/>
        <v>0.63209770730662096</v>
      </c>
      <c r="N135" s="5">
        <f>VLOOKUP($B135,'Data Vlaue (Cr)'!$C:$FB,67)</f>
        <v>8957</v>
      </c>
      <c r="O135" s="5">
        <f>VLOOKUP($B135,'Data Vlaue (Cr)'!$C:$FB,68)</f>
        <v>6765</v>
      </c>
      <c r="P135" s="5">
        <f t="shared" si="48"/>
        <v>24.472479624874399</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Pharma</v>
      </c>
      <c r="B136" s="79" t="str">
        <f>'Data shares'!C131</f>
        <v>MAXHEALTH</v>
      </c>
      <c r="C136" s="4">
        <f>VLOOKUP($B136,'Data shares'!$C:$FB,7)</f>
        <v>1006.75</v>
      </c>
      <c r="D136" s="82">
        <f>VLOOKUP($B136,'Data shares'!$C:$FB,98)</f>
        <v>20417775</v>
      </c>
      <c r="E136" s="165">
        <f>VLOOKUP(B136,'Snapshot (Volume)'!$A$7:$G$168,7,0)</f>
        <v>20491275</v>
      </c>
      <c r="F136" s="165">
        <f t="shared" si="45"/>
        <v>-73500</v>
      </c>
      <c r="G136" s="166">
        <f t="shared" si="46"/>
        <v>-3.5868924700878787E-3</v>
      </c>
      <c r="H136" s="165">
        <f>VLOOKUP($B136,'Data shares'!$C:$FB,66)</f>
        <v>20325375</v>
      </c>
      <c r="I136" s="165">
        <f>VLOOKUP($B136,'Data shares'!$C:$FB,67)</f>
        <v>13291425</v>
      </c>
      <c r="J136" s="81">
        <f t="shared" si="47"/>
        <v>52.920962199312719</v>
      </c>
      <c r="K136" s="5">
        <f>VLOOKUP($B136,'Data Vlaue (Cr)'!$C:$FB,99)</f>
        <v>2059</v>
      </c>
      <c r="L136" s="81">
        <f>VLOOKUP(B136,'OI(Value)'!$A$7:$C$232,3,0)</f>
        <v>-7</v>
      </c>
      <c r="M136" s="33">
        <f t="shared" si="44"/>
        <v>-0.3399708596406022</v>
      </c>
      <c r="N136" s="5">
        <f>VLOOKUP($B136,'Data Vlaue (Cr)'!$C:$FB,67)</f>
        <v>2050</v>
      </c>
      <c r="O136" s="5">
        <f>VLOOKUP($B136,'Data Vlaue (Cr)'!$C:$FB,68)</f>
        <v>1340</v>
      </c>
      <c r="P136" s="5">
        <f t="shared" si="48"/>
        <v>34.634146341463413</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Infrastructure</v>
      </c>
      <c r="B137" s="79" t="str">
        <f>'Data shares'!C132</f>
        <v>MAZDOCK</v>
      </c>
      <c r="C137" s="4">
        <f>VLOOKUP($B137,'Data shares'!$C:$FB,7)</f>
        <v>2693.8</v>
      </c>
      <c r="D137" s="82">
        <f>VLOOKUP($B137,'Data shares'!$C:$FB,98)</f>
        <v>11971400</v>
      </c>
      <c r="E137" s="165">
        <f>VLOOKUP(B137,'Snapshot (Volume)'!$A$7:$G$168,7,0)</f>
        <v>12074400</v>
      </c>
      <c r="F137" s="165">
        <f t="shared" si="45"/>
        <v>-103000</v>
      </c>
      <c r="G137" s="166">
        <f t="shared" si="46"/>
        <v>-8.5304445769562049E-3</v>
      </c>
      <c r="H137" s="165">
        <f>VLOOKUP($B137,'Data shares'!$C:$FB,66)</f>
        <v>14557000</v>
      </c>
      <c r="I137" s="165">
        <f>VLOOKUP($B137,'Data shares'!$C:$FB,67)</f>
        <v>12200400</v>
      </c>
      <c r="J137" s="81">
        <f t="shared" si="47"/>
        <v>19.315760139011836</v>
      </c>
      <c r="K137" s="5">
        <f>VLOOKUP($B137,'Data Vlaue (Cr)'!$C:$FB,99)</f>
        <v>3224</v>
      </c>
      <c r="L137" s="81">
        <f>VLOOKUP(B137,'OI(Value)'!$A$7:$C$232,3,0)</f>
        <v>-28</v>
      </c>
      <c r="M137" s="33">
        <f t="shared" si="44"/>
        <v>-0.86848635235732019</v>
      </c>
      <c r="N137" s="5">
        <f>VLOOKUP($B137,'Data Vlaue (Cr)'!$C:$FB,67)</f>
        <v>3921</v>
      </c>
      <c r="O137" s="5">
        <f>VLOOKUP($B137,'Data Vlaue (Cr)'!$C:$FB,68)</f>
        <v>3286</v>
      </c>
      <c r="P137" s="5">
        <f t="shared" si="48"/>
        <v>16.194848252996685</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MCX</v>
      </c>
      <c r="C138" s="4">
        <f>VLOOKUP($B138,'Data shares'!$C:$FB,7)</f>
        <v>2791.4</v>
      </c>
      <c r="D138" s="82">
        <f>VLOOKUP($B138,'Data shares'!$C:$FB,98)</f>
        <v>31041875</v>
      </c>
      <c r="E138" s="165">
        <f>VLOOKUP(B138,'Snapshot (Volume)'!$A$7:$G$168,7,0)</f>
        <v>31503750</v>
      </c>
      <c r="F138" s="165">
        <f t="shared" si="45"/>
        <v>-461875</v>
      </c>
      <c r="G138" s="166">
        <f t="shared" si="46"/>
        <v>-1.4660953061143515E-2</v>
      </c>
      <c r="H138" s="165">
        <f>VLOOKUP($B138,'Data shares'!$C:$FB,66)</f>
        <v>37624375</v>
      </c>
      <c r="I138" s="165">
        <f>VLOOKUP($B138,'Data shares'!$C:$FB,67)</f>
        <v>29720000</v>
      </c>
      <c r="J138" s="81">
        <f t="shared" si="47"/>
        <v>26.596147375504707</v>
      </c>
      <c r="K138" s="5">
        <f>VLOOKUP($B138,'Data Vlaue (Cr)'!$C:$FB,99)</f>
        <v>8673</v>
      </c>
      <c r="L138" s="81">
        <f>VLOOKUP(B138,'OI(Value)'!$A$7:$C$232,3,0)</f>
        <v>-129</v>
      </c>
      <c r="M138" s="33">
        <f t="shared" si="44"/>
        <v>-1.4873746108612937</v>
      </c>
      <c r="N138" s="5">
        <f>VLOOKUP($B138,'Data Vlaue (Cr)'!$C:$FB,67)</f>
        <v>10512</v>
      </c>
      <c r="O138" s="5">
        <f>VLOOKUP($B138,'Data Vlaue (Cr)'!$C:$FB,68)</f>
        <v>8303</v>
      </c>
      <c r="P138" s="5">
        <f t="shared" si="48"/>
        <v>21.014079147640789</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Finance</v>
      </c>
      <c r="B139" s="79" t="str">
        <f>'Data shares'!C134</f>
        <v>MFSL</v>
      </c>
      <c r="C139" s="4">
        <f>VLOOKUP($B139,'Data shares'!$C:$FB,7)</f>
        <v>1595.4</v>
      </c>
      <c r="D139" s="82">
        <f>VLOOKUP($B139,'Data shares'!$C:$FB,98)</f>
        <v>10754800</v>
      </c>
      <c r="E139" s="165">
        <f>VLOOKUP(B139,'Snapshot (Volume)'!$A$7:$G$168,7,0)</f>
        <v>10871200</v>
      </c>
      <c r="F139" s="165">
        <f t="shared" si="45"/>
        <v>-116400</v>
      </c>
      <c r="G139" s="166">
        <f t="shared" si="46"/>
        <v>-1.0707189638678343E-2</v>
      </c>
      <c r="H139" s="165">
        <f>VLOOKUP($B139,'Data shares'!$C:$FB,66)</f>
        <v>6814000</v>
      </c>
      <c r="I139" s="165">
        <f>VLOOKUP($B139,'Data shares'!$C:$FB,67)</f>
        <v>2901600</v>
      </c>
      <c r="J139" s="81">
        <f t="shared" si="47"/>
        <v>134.83595257788807</v>
      </c>
      <c r="K139" s="5">
        <f>VLOOKUP($B139,'Data Vlaue (Cr)'!$C:$FB,99)</f>
        <v>1715</v>
      </c>
      <c r="L139" s="81">
        <f>VLOOKUP(B139,'OI(Value)'!$A$7:$C$232,3,0)</f>
        <v>-19</v>
      </c>
      <c r="M139" s="33">
        <f t="shared" si="44"/>
        <v>-1.1078717201166182</v>
      </c>
      <c r="N139" s="5">
        <f>VLOOKUP($B139,'Data Vlaue (Cr)'!$C:$FB,67)</f>
        <v>1087</v>
      </c>
      <c r="O139" s="5">
        <f>VLOOKUP($B139,'Data Vlaue (Cr)'!$C:$FB,68)</f>
        <v>463</v>
      </c>
      <c r="P139" s="5">
        <f t="shared" si="48"/>
        <v>57.405703771849126</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Index</v>
      </c>
      <c r="B140" s="79" t="str">
        <f>'Data shares'!C135</f>
        <v>MIDCPNIFTY</v>
      </c>
      <c r="C140" s="79">
        <f>VLOOKUP($B140,'Data shares'!$C:$FB,7)</f>
        <v>13848.55</v>
      </c>
      <c r="D140" s="165">
        <f>VLOOKUP($B140,'Data shares'!$C:$FB,98)</f>
        <v>19709400</v>
      </c>
      <c r="E140" s="165">
        <f>VLOOKUP(B140,'Snapshot (Volume)'!$A$7:$G$168,7,0)</f>
        <v>19022640</v>
      </c>
      <c r="F140" s="165">
        <f>D140-E140</f>
        <v>686760</v>
      </c>
      <c r="G140" s="166">
        <f>F140/E140</f>
        <v>3.6102244483415549E-2</v>
      </c>
      <c r="H140" s="165">
        <f>VLOOKUP($B140,'Data shares'!$C:$FB,66)</f>
        <v>44863680</v>
      </c>
      <c r="I140" s="165">
        <f>VLOOKUP($B140,'Data shares'!$C:$FB,67)</f>
        <v>41111880</v>
      </c>
      <c r="J140" s="81">
        <f>(H140-I140)/I140*100</f>
        <v>9.1258293223272684</v>
      </c>
      <c r="K140" s="81">
        <f>VLOOKUP($B140,'Data Vlaue (Cr)'!$C:$FB,99)</f>
        <v>27292</v>
      </c>
      <c r="L140" s="81">
        <f>VLOOKUP(B140,'OI(Value)'!$A$7:$C$232,3,0)</f>
        <v>951</v>
      </c>
      <c r="M140" s="81">
        <f t="shared" si="44"/>
        <v>3.4845375934339735</v>
      </c>
      <c r="N140" s="81">
        <f>VLOOKUP($B140,'Data Vlaue (Cr)'!$C:$FB,67)</f>
        <v>62124</v>
      </c>
      <c r="O140" s="81">
        <f>VLOOKUP($B140,'Data Vlaue (Cr)'!$C:$FB,68)</f>
        <v>56929</v>
      </c>
      <c r="P140" s="81">
        <f>(N140-O140)/N140*100</f>
        <v>8.3623076427789584</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Automobile</v>
      </c>
      <c r="B141" s="79" t="str">
        <f>'Data shares'!C136</f>
        <v>MOTHERSON</v>
      </c>
      <c r="C141" s="4">
        <f>VLOOKUP($B141,'Data shares'!$C:$FB,7)</f>
        <v>127.22</v>
      </c>
      <c r="D141" s="82">
        <f>VLOOKUP($B141,'Data shares'!$C:$FB,98)</f>
        <v>229923900</v>
      </c>
      <c r="E141" s="165">
        <f>VLOOKUP(B141,'Snapshot (Volume)'!$A$7:$G$168,7,0)</f>
        <v>227962050</v>
      </c>
      <c r="F141" s="165">
        <f>D141-E141</f>
        <v>1961850</v>
      </c>
      <c r="G141" s="166">
        <f>F141/E141</f>
        <v>8.6060377154881709E-3</v>
      </c>
      <c r="H141" s="165">
        <f>VLOOKUP($B141,'Data shares'!$C:$FB,66)</f>
        <v>208669500</v>
      </c>
      <c r="I141" s="165">
        <f>VLOOKUP($B141,'Data shares'!$C:$FB,67)</f>
        <v>291872850</v>
      </c>
      <c r="J141" s="81">
        <f>(H141-I141)/I141*100</f>
        <v>-28.506711055858741</v>
      </c>
      <c r="K141" s="5">
        <f>VLOOKUP($B141,'Data Vlaue (Cr)'!$C:$FB,99)</f>
        <v>2919</v>
      </c>
      <c r="L141" s="81">
        <f>VLOOKUP(B141,'OI(Value)'!$A$7:$C$232,3,0)</f>
        <v>25</v>
      </c>
      <c r="M141" s="33">
        <f t="shared" si="44"/>
        <v>0.85645769099006508</v>
      </c>
      <c r="N141" s="5">
        <f>VLOOKUP($B141,'Data Vlaue (Cr)'!$C:$FB,67)</f>
        <v>2649</v>
      </c>
      <c r="O141" s="5">
        <f>VLOOKUP($B141,'Data Vlaue (Cr)'!$C:$FB,68)</f>
        <v>3706</v>
      </c>
      <c r="P141" s="5">
        <f>(N141-O141)/N141*100</f>
        <v>-39.901849754624386</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MOTILALOFS</v>
      </c>
      <c r="C142" s="4">
        <f>VLOOKUP($B142,'Data shares'!$C:$FB,7)</f>
        <v>790.85</v>
      </c>
      <c r="D142" s="82">
        <f>VLOOKUP($B142,'Data shares'!$C:$FB,98)</f>
        <v>6041125</v>
      </c>
      <c r="E142" s="165">
        <f>VLOOKUP(B142,'Snapshot (Volume)'!$A$7:$G$168,7,0)</f>
        <v>5797000</v>
      </c>
      <c r="F142" s="165">
        <f>D142-E142</f>
        <v>244125</v>
      </c>
      <c r="G142" s="166">
        <f>F142/E142</f>
        <v>4.2112299465240643E-2</v>
      </c>
      <c r="H142" s="165">
        <f>VLOOKUP($B142,'Data shares'!$C:$FB,66)</f>
        <v>11762175</v>
      </c>
      <c r="I142" s="165">
        <f>VLOOKUP($B142,'Data shares'!$C:$FB,67)</f>
        <v>5166925</v>
      </c>
      <c r="J142" s="81">
        <f>(H142-I142)/I142*100</f>
        <v>127.64361781910904</v>
      </c>
      <c r="K142" s="5">
        <f>VLOOKUP($B142,'Data Vlaue (Cr)'!$C:$FB,99)</f>
        <v>478</v>
      </c>
      <c r="L142" s="81">
        <f>VLOOKUP(B142,'OI(Value)'!$A$7:$C$232,3,0)</f>
        <v>19</v>
      </c>
      <c r="M142" s="33">
        <f t="shared" si="44"/>
        <v>3.9748953974895396</v>
      </c>
      <c r="N142" s="5">
        <f>VLOOKUP($B142,'Data Vlaue (Cr)'!$C:$FB,67)</f>
        <v>930</v>
      </c>
      <c r="O142" s="5">
        <f>VLOOKUP($B142,'Data Vlaue (Cr)'!$C:$FB,68)</f>
        <v>409</v>
      </c>
      <c r="P142" s="5">
        <f>(N142-O142)/N142*100</f>
        <v>56.021505376344081</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Technology</v>
      </c>
      <c r="B143" s="79" t="str">
        <f>'Data shares'!C138</f>
        <v>MPHASIS</v>
      </c>
      <c r="C143" s="4">
        <f>VLOOKUP($B143,'Data shares'!$C:$FB,7)</f>
        <v>2277</v>
      </c>
      <c r="D143" s="82">
        <f>VLOOKUP($B143,'Data shares'!$C:$FB,98)</f>
        <v>7759950</v>
      </c>
      <c r="E143" s="165">
        <f>VLOOKUP(B143,'Snapshot (Volume)'!$A$7:$G$168,7,0)</f>
        <v>6937425</v>
      </c>
      <c r="F143" s="165">
        <f>D143-E143</f>
        <v>822525</v>
      </c>
      <c r="G143" s="166">
        <f>F143/E143</f>
        <v>0.11856344392912356</v>
      </c>
      <c r="H143" s="165">
        <f>VLOOKUP($B143,'Data shares'!$C:$FB,66)</f>
        <v>5360025</v>
      </c>
      <c r="I143" s="165">
        <f>VLOOKUP($B143,'Data shares'!$C:$FB,67)</f>
        <v>4797100</v>
      </c>
      <c r="J143" s="81">
        <f>(H143-I143)/I143*100</f>
        <v>11.73469387755102</v>
      </c>
      <c r="K143" s="5">
        <f>VLOOKUP($B143,'Data Vlaue (Cr)'!$C:$FB,99)</f>
        <v>1766</v>
      </c>
      <c r="L143" s="81">
        <f>VLOOKUP(B143,'OI(Value)'!$A$7:$C$232,3,0)</f>
        <v>187</v>
      </c>
      <c r="M143" s="33">
        <f t="shared" si="44"/>
        <v>10.588901472253681</v>
      </c>
      <c r="N143" s="5">
        <f>VLOOKUP($B143,'Data Vlaue (Cr)'!$C:$FB,67)</f>
        <v>1220</v>
      </c>
      <c r="O143" s="5">
        <f>VLOOKUP($B143,'Data Vlaue (Cr)'!$C:$FB,68)</f>
        <v>1092</v>
      </c>
      <c r="P143" s="5">
        <f>(N143-O143)/N143*100</f>
        <v>10.491803278688524</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MUTHOOTFIN</v>
      </c>
      <c r="C144" s="4">
        <f>VLOOKUP($B144,'Data shares'!$C:$FB,7)</f>
        <v>3561.4</v>
      </c>
      <c r="D144" s="82">
        <f>VLOOKUP($B144,'Data shares'!$C:$FB,98)</f>
        <v>7600450</v>
      </c>
      <c r="E144" s="165">
        <f>VLOOKUP(B144,'Snapshot (Volume)'!$A$7:$G$168,7,0)</f>
        <v>8052550</v>
      </c>
      <c r="F144" s="165">
        <f>D144-E144</f>
        <v>-452100</v>
      </c>
      <c r="G144" s="166">
        <f>F144/E144</f>
        <v>-5.6143706031008808E-2</v>
      </c>
      <c r="H144" s="165">
        <f>VLOOKUP($B144,'Data shares'!$C:$FB,66)</f>
        <v>6516675</v>
      </c>
      <c r="I144" s="165">
        <f>VLOOKUP($B144,'Data shares'!$C:$FB,67)</f>
        <v>8513725</v>
      </c>
      <c r="J144" s="81">
        <f>(H144-I144)/I144*100</f>
        <v>-23.456830000969024</v>
      </c>
      <c r="K144" s="5">
        <f>VLOOKUP($B144,'Data Vlaue (Cr)'!$C:$FB,99)</f>
        <v>2715</v>
      </c>
      <c r="L144" s="81">
        <f>VLOOKUP(B144,'OI(Value)'!$A$7:$C$232,3,0)</f>
        <v>-161</v>
      </c>
      <c r="M144" s="33">
        <f t="shared" si="44"/>
        <v>-5.930018416206261</v>
      </c>
      <c r="N144" s="5">
        <f>VLOOKUP($B144,'Data Vlaue (Cr)'!$C:$FB,67)</f>
        <v>2328</v>
      </c>
      <c r="O144" s="5">
        <f>VLOOKUP($B144,'Data Vlaue (Cr)'!$C:$FB,68)</f>
        <v>3041</v>
      </c>
      <c r="P144" s="5">
        <f>(N144-O144)/N144*100</f>
        <v>-30.627147766323027</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Finance</v>
      </c>
      <c r="B145" s="79" t="str">
        <f>'Data shares'!C140</f>
        <v>NAM-INDIA</v>
      </c>
      <c r="C145" s="4">
        <f>VLOOKUP($B145,'Data shares'!$C:$FB,7)</f>
        <v>1031.95</v>
      </c>
      <c r="D145" s="82">
        <f>VLOOKUP($B145,'Data shares'!$C:$FB,98)</f>
        <v>5273750</v>
      </c>
      <c r="E145" s="165">
        <f>VLOOKUP(B145,'Snapshot (Volume)'!$A$7:$G$168,7,0)</f>
        <v>5588125</v>
      </c>
      <c r="F145" s="165">
        <f t="shared" ref="F145:F152" si="49">D145-E145</f>
        <v>-314375</v>
      </c>
      <c r="G145" s="166">
        <f t="shared" ref="G145:G153" si="50">F145/E145</f>
        <v>-5.6257689296499276E-2</v>
      </c>
      <c r="H145" s="165">
        <f>VLOOKUP($B145,'Data shares'!$C:$FB,66)</f>
        <v>6230000</v>
      </c>
      <c r="I145" s="165">
        <f>VLOOKUP($B145,'Data shares'!$C:$FB,67)</f>
        <v>4043750</v>
      </c>
      <c r="J145" s="81">
        <f t="shared" ref="J145:J153" si="51">(H145-I145)/I145*100</f>
        <v>54.06491499227203</v>
      </c>
      <c r="K145" s="5">
        <f>VLOOKUP($B145,'Data Vlaue (Cr)'!$C:$FB,99)</f>
        <v>546</v>
      </c>
      <c r="L145" s="81">
        <f>VLOOKUP(B145,'OI(Value)'!$A$7:$C$232,3,0)</f>
        <v>-33</v>
      </c>
      <c r="M145" s="33">
        <f t="shared" ref="M145:M153" si="52">L145/K145*100</f>
        <v>-6.0439560439560438</v>
      </c>
      <c r="N145" s="5">
        <f>VLOOKUP($B145,'Data Vlaue (Cr)'!$C:$FB,67)</f>
        <v>645</v>
      </c>
      <c r="O145" s="5">
        <f>VLOOKUP($B145,'Data Vlaue (Cr)'!$C:$FB,68)</f>
        <v>419</v>
      </c>
      <c r="P145" s="5">
        <f t="shared" ref="P145:P152" si="53">(N145-O145)/N145*100</f>
        <v>35.038759689922486</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Metals</v>
      </c>
      <c r="B146" s="79" t="str">
        <f>'Data shares'!C141</f>
        <v>NATIONALUM</v>
      </c>
      <c r="C146" s="4">
        <f>VLOOKUP($B146,'Data shares'!$C:$FB,7)</f>
        <v>439.25</v>
      </c>
      <c r="D146" s="82">
        <f>VLOOKUP($B146,'Data shares'!$C:$FB,98)</f>
        <v>128133750</v>
      </c>
      <c r="E146" s="165">
        <f>VLOOKUP(B146,'Snapshot (Volume)'!$A$7:$G$168,7,0)</f>
        <v>127462500</v>
      </c>
      <c r="F146" s="165">
        <f t="shared" si="49"/>
        <v>671250</v>
      </c>
      <c r="G146" s="166">
        <f t="shared" si="50"/>
        <v>5.2662547808178875E-3</v>
      </c>
      <c r="H146" s="165">
        <f>VLOOKUP($B146,'Data shares'!$C:$FB,66)</f>
        <v>131321250</v>
      </c>
      <c r="I146" s="165">
        <f>VLOOKUP($B146,'Data shares'!$C:$FB,67)</f>
        <v>153337500</v>
      </c>
      <c r="J146" s="81">
        <f t="shared" si="51"/>
        <v>-14.358033749082905</v>
      </c>
      <c r="K146" s="5">
        <f>VLOOKUP($B146,'Data Vlaue (Cr)'!$C:$FB,99)</f>
        <v>5635</v>
      </c>
      <c r="L146" s="81">
        <f>VLOOKUP(B146,'OI(Value)'!$A$7:$C$232,3,0)</f>
        <v>30</v>
      </c>
      <c r="M146" s="33">
        <f t="shared" si="52"/>
        <v>0.53238686779059452</v>
      </c>
      <c r="N146" s="5">
        <f>VLOOKUP($B146,'Data Vlaue (Cr)'!$C:$FB,67)</f>
        <v>5775</v>
      </c>
      <c r="O146" s="5">
        <f>VLOOKUP($B146,'Data Vlaue (Cr)'!$C:$FB,68)</f>
        <v>6743</v>
      </c>
      <c r="P146" s="5">
        <f t="shared" si="53"/>
        <v>-16.761904761904763</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New_Age</v>
      </c>
      <c r="B147" s="79" t="str">
        <f>'Data shares'!C142</f>
        <v>NAUKRI</v>
      </c>
      <c r="C147" s="4">
        <f>VLOOKUP($B147,'Data shares'!$C:$FB,7)</f>
        <v>1018.05</v>
      </c>
      <c r="D147" s="82">
        <f>VLOOKUP($B147,'Data shares'!$C:$FB,98)</f>
        <v>15998625</v>
      </c>
      <c r="E147" s="165">
        <f>VLOOKUP(B147,'Snapshot (Volume)'!$A$7:$G$168,7,0)</f>
        <v>15115875</v>
      </c>
      <c r="F147" s="165">
        <f t="shared" si="49"/>
        <v>882750</v>
      </c>
      <c r="G147" s="166">
        <f t="shared" si="50"/>
        <v>5.8398868738991291E-2</v>
      </c>
      <c r="H147" s="165">
        <f>VLOOKUP($B147,'Data shares'!$C:$FB,66)</f>
        <v>18528000</v>
      </c>
      <c r="I147" s="165">
        <f>VLOOKUP($B147,'Data shares'!$C:$FB,67)</f>
        <v>8414625</v>
      </c>
      <c r="J147" s="81">
        <f t="shared" si="51"/>
        <v>120.18806542181024</v>
      </c>
      <c r="K147" s="5">
        <f>VLOOKUP($B147,'Data Vlaue (Cr)'!$C:$FB,99)</f>
        <v>1634</v>
      </c>
      <c r="L147" s="81">
        <f>VLOOKUP(B147,'OI(Value)'!$A$7:$C$232,3,0)</f>
        <v>90</v>
      </c>
      <c r="M147" s="33">
        <f t="shared" si="52"/>
        <v>5.5079559363525092</v>
      </c>
      <c r="N147" s="5">
        <f>VLOOKUP($B147,'Data Vlaue (Cr)'!$C:$FB,67)</f>
        <v>1892</v>
      </c>
      <c r="O147" s="5">
        <f>VLOOKUP($B147,'Data Vlaue (Cr)'!$C:$FB,68)</f>
        <v>859</v>
      </c>
      <c r="P147" s="5">
        <f t="shared" si="53"/>
        <v>54.598308668076115</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Realty</v>
      </c>
      <c r="B148" s="79" t="str">
        <f>'Data shares'!C143</f>
        <v>NBCC</v>
      </c>
      <c r="C148" s="4">
        <f>VLOOKUP($B148,'Data shares'!$C:$FB,7)</f>
        <v>93.31</v>
      </c>
      <c r="D148" s="82">
        <f>VLOOKUP($B148,'Data shares'!$C:$FB,98)</f>
        <v>118144000</v>
      </c>
      <c r="E148" s="165">
        <f>VLOOKUP(B148,'Snapshot (Volume)'!$A$7:$G$168,7,0)</f>
        <v>115576500</v>
      </c>
      <c r="F148" s="165">
        <f t="shared" si="49"/>
        <v>2567500</v>
      </c>
      <c r="G148" s="166">
        <f t="shared" si="50"/>
        <v>2.2214723581350879E-2</v>
      </c>
      <c r="H148" s="165">
        <f>VLOOKUP($B148,'Data shares'!$C:$FB,66)</f>
        <v>73365500</v>
      </c>
      <c r="I148" s="165">
        <f>VLOOKUP($B148,'Data shares'!$C:$FB,67)</f>
        <v>32188000</v>
      </c>
      <c r="J148" s="81">
        <f t="shared" si="51"/>
        <v>127.92810985460422</v>
      </c>
      <c r="K148" s="5">
        <f>VLOOKUP($B148,'Data Vlaue (Cr)'!$C:$FB,99)</f>
        <v>1103</v>
      </c>
      <c r="L148" s="81">
        <f>VLOOKUP(B148,'OI(Value)'!$A$7:$C$232,3,0)</f>
        <v>24</v>
      </c>
      <c r="M148" s="33">
        <f t="shared" si="52"/>
        <v>2.1758839528558478</v>
      </c>
      <c r="N148" s="5">
        <f>VLOOKUP($B148,'Data Vlaue (Cr)'!$C:$FB,67)</f>
        <v>685</v>
      </c>
      <c r="O148" s="5">
        <f>VLOOKUP($B148,'Data Vlaue (Cr)'!$C:$FB,68)</f>
        <v>301</v>
      </c>
      <c r="P148" s="5">
        <f t="shared" si="53"/>
        <v>56.058394160583944</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FMCG</v>
      </c>
      <c r="B149" s="79" t="str">
        <f>'Data shares'!C144</f>
        <v>NESTLEIND</v>
      </c>
      <c r="C149" s="4">
        <f>VLOOKUP($B149,'Data shares'!$C:$FB,7)</f>
        <v>1410.5</v>
      </c>
      <c r="D149" s="82">
        <f>VLOOKUP($B149,'Data shares'!$C:$FB,98)</f>
        <v>35534500</v>
      </c>
      <c r="E149" s="165">
        <f>VLOOKUP(B149,'Snapshot (Volume)'!$A$7:$G$168,7,0)</f>
        <v>37905500</v>
      </c>
      <c r="F149" s="165">
        <f t="shared" si="49"/>
        <v>-2371000</v>
      </c>
      <c r="G149" s="166">
        <f t="shared" si="50"/>
        <v>-6.2550289535819342E-2</v>
      </c>
      <c r="H149" s="165">
        <f>VLOOKUP($B149,'Data shares'!$C:$FB,66)</f>
        <v>41264000</v>
      </c>
      <c r="I149" s="165">
        <f>VLOOKUP($B149,'Data shares'!$C:$FB,67)</f>
        <v>131672500</v>
      </c>
      <c r="J149" s="81">
        <f t="shared" si="51"/>
        <v>-68.661641572841717</v>
      </c>
      <c r="K149" s="5">
        <f>VLOOKUP($B149,'Data Vlaue (Cr)'!$C:$FB,99)</f>
        <v>5005</v>
      </c>
      <c r="L149" s="81">
        <f>VLOOKUP(B149,'OI(Value)'!$A$7:$C$232,3,0)</f>
        <v>-334</v>
      </c>
      <c r="M149" s="33">
        <f t="shared" si="52"/>
        <v>-6.6733266733266738</v>
      </c>
      <c r="N149" s="5">
        <f>VLOOKUP($B149,'Data Vlaue (Cr)'!$C:$FB,67)</f>
        <v>5812</v>
      </c>
      <c r="O149" s="5">
        <f>VLOOKUP($B149,'Data Vlaue (Cr)'!$C:$FB,68)</f>
        <v>18547</v>
      </c>
      <c r="P149" s="5">
        <f t="shared" si="53"/>
        <v>-219.11562284927734</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Power</v>
      </c>
      <c r="B150" s="79" t="str">
        <f>'Data shares'!C145</f>
        <v>NHPC</v>
      </c>
      <c r="C150" s="4">
        <f>VLOOKUP($B150,'Data shares'!$C:$FB,7)</f>
        <v>81.459999999999994</v>
      </c>
      <c r="D150" s="82">
        <f>VLOOKUP($B150,'Data shares'!$C:$FB,98)</f>
        <v>157612800</v>
      </c>
      <c r="E150" s="165">
        <f>VLOOKUP(B150,'Snapshot (Volume)'!$A$7:$G$168,7,0)</f>
        <v>158009600</v>
      </c>
      <c r="F150" s="165">
        <f t="shared" si="49"/>
        <v>-396800</v>
      </c>
      <c r="G150" s="166">
        <f t="shared" si="50"/>
        <v>-2.5112398234031349E-3</v>
      </c>
      <c r="H150" s="165">
        <f>VLOOKUP($B150,'Data shares'!$C:$FB,66)</f>
        <v>154476800</v>
      </c>
      <c r="I150" s="165">
        <f>VLOOKUP($B150,'Data shares'!$C:$FB,67)</f>
        <v>59961600</v>
      </c>
      <c r="J150" s="81">
        <f t="shared" si="51"/>
        <v>157.62621411036397</v>
      </c>
      <c r="K150" s="5">
        <f>VLOOKUP($B150,'Data Vlaue (Cr)'!$C:$FB,99)</f>
        <v>1283</v>
      </c>
      <c r="L150" s="81">
        <f>VLOOKUP(B150,'OI(Value)'!$A$7:$C$232,3,0)</f>
        <v>-3</v>
      </c>
      <c r="M150" s="33">
        <f t="shared" si="52"/>
        <v>-0.23382696804364772</v>
      </c>
      <c r="N150" s="5">
        <f>VLOOKUP($B150,'Data Vlaue (Cr)'!$C:$FB,67)</f>
        <v>1257</v>
      </c>
      <c r="O150" s="5">
        <f>VLOOKUP($B150,'Data Vlaue (Cr)'!$C:$FB,68)</f>
        <v>488</v>
      </c>
      <c r="P150" s="5">
        <f t="shared" si="53"/>
        <v>61.177406523468584</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Index</v>
      </c>
      <c r="B151" s="79" t="str">
        <f>'Data shares'!C146</f>
        <v>NIFTY</v>
      </c>
      <c r="C151" s="4">
        <f>VLOOKUP($B151,'Data shares'!$C:$FB,7)</f>
        <v>24173.05</v>
      </c>
      <c r="D151" s="82">
        <f>VLOOKUP($B151,'Data shares'!$C:$FB,98)</f>
        <v>457711120</v>
      </c>
      <c r="E151" s="165">
        <f>VLOOKUP(B151,'Snapshot (Volume)'!$A$7:$G$168,7,0)</f>
        <v>397210205</v>
      </c>
      <c r="F151" s="165">
        <f t="shared" si="49"/>
        <v>60500915</v>
      </c>
      <c r="G151" s="166">
        <f t="shared" si="50"/>
        <v>0.15231460380027245</v>
      </c>
      <c r="H151" s="165">
        <f>VLOOKUP($B151,'Data shares'!$C:$FB,66)</f>
        <v>2482675715</v>
      </c>
      <c r="I151" s="165">
        <f>VLOOKUP($B151,'Data shares'!$C:$FB,67)</f>
        <v>2256948720</v>
      </c>
      <c r="J151" s="81">
        <f t="shared" si="51"/>
        <v>10.001423293303713</v>
      </c>
      <c r="K151" s="5">
        <f>VLOOKUP($B151,'Data Vlaue (Cr)'!$C:$FB,99)</f>
        <v>1105967</v>
      </c>
      <c r="L151" s="81">
        <f>VLOOKUP(B151,'OI(Value)'!$A$7:$C$232,3,0)</f>
        <v>146188</v>
      </c>
      <c r="M151" s="33">
        <f t="shared" si="52"/>
        <v>13.218115911234241</v>
      </c>
      <c r="N151" s="5">
        <f>VLOOKUP($B151,'Data Vlaue (Cr)'!$C:$FB,67)</f>
        <v>5998889</v>
      </c>
      <c r="O151" s="5">
        <f>VLOOKUP($B151,'Data Vlaue (Cr)'!$C:$FB,68)</f>
        <v>5453465</v>
      </c>
      <c r="P151" s="5">
        <f t="shared" si="53"/>
        <v>9.0920835508041566</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Index</v>
      </c>
      <c r="B152" s="79" t="str">
        <f>'Data shares'!C147</f>
        <v>NIFTYNXT50</v>
      </c>
      <c r="C152" s="4">
        <f>VLOOKUP($B152,'Data shares'!$C:$FB,7)</f>
        <v>70410.350000000006</v>
      </c>
      <c r="D152" s="82">
        <f>VLOOKUP($B152,'Data shares'!$C:$FB,98)</f>
        <v>51400</v>
      </c>
      <c r="E152" s="165">
        <f>VLOOKUP(B152,'Snapshot (Volume)'!$A$7:$G$168,7,0)</f>
        <v>50825</v>
      </c>
      <c r="F152" s="165">
        <f t="shared" si="49"/>
        <v>575</v>
      </c>
      <c r="G152" s="166">
        <f t="shared" si="50"/>
        <v>1.1313330054107231E-2</v>
      </c>
      <c r="H152" s="165">
        <f>VLOOKUP($B152,'Data shares'!$C:$FB,66)</f>
        <v>29550</v>
      </c>
      <c r="I152" s="165">
        <f>VLOOKUP($B152,'Data shares'!$C:$FB,67)</f>
        <v>38225</v>
      </c>
      <c r="J152" s="81">
        <f t="shared" si="51"/>
        <v>-22.694571615434924</v>
      </c>
      <c r="K152" s="5">
        <f>VLOOKUP($B152,'Data Vlaue (Cr)'!$C:$FB,99)</f>
        <v>362</v>
      </c>
      <c r="L152" s="81">
        <f>VLOOKUP(B152,'OI(Value)'!$A$7:$C$232,3,0)</f>
        <v>4</v>
      </c>
      <c r="M152" s="33">
        <f t="shared" si="52"/>
        <v>1.1049723756906076</v>
      </c>
      <c r="N152" s="5">
        <f>VLOOKUP($B152,'Data Vlaue (Cr)'!$C:$FB,67)</f>
        <v>208</v>
      </c>
      <c r="O152" s="5">
        <f>VLOOKUP($B152,'Data Vlaue (Cr)'!$C:$FB,68)</f>
        <v>269</v>
      </c>
      <c r="P152" s="5">
        <f t="shared" si="53"/>
        <v>-29.326923076923077</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Metals</v>
      </c>
      <c r="B153" s="79" t="str">
        <f>'Data shares'!C148</f>
        <v>NMDC</v>
      </c>
      <c r="C153" s="4">
        <f>VLOOKUP($B153,'Data shares'!$C:$FB,7)</f>
        <v>87.31</v>
      </c>
      <c r="D153" s="82">
        <f>VLOOKUP($B153,'Data shares'!$C:$FB,98)</f>
        <v>462915000</v>
      </c>
      <c r="E153" s="165">
        <f>VLOOKUP(B153,'Snapshot (Volume)'!$A$7:$G$168,7,0)</f>
        <v>457049250</v>
      </c>
      <c r="F153" s="165">
        <f>D153-E153</f>
        <v>5865750</v>
      </c>
      <c r="G153" s="166">
        <f t="shared" si="50"/>
        <v>1.2833956078037542E-2</v>
      </c>
      <c r="H153" s="165">
        <f>VLOOKUP($B153,'Data shares'!$C:$FB,66)</f>
        <v>192091500</v>
      </c>
      <c r="I153" s="165">
        <f>VLOOKUP($B153,'Data shares'!$C:$FB,67)</f>
        <v>162128250</v>
      </c>
      <c r="J153" s="81">
        <f t="shared" si="51"/>
        <v>18.481202381448021</v>
      </c>
      <c r="K153" s="5">
        <f>VLOOKUP($B153,'Data Vlaue (Cr)'!$C:$FB,99)</f>
        <v>4047</v>
      </c>
      <c r="L153" s="81">
        <f>VLOOKUP(B153,'OI(Value)'!$A$7:$C$232,3,0)</f>
        <v>51</v>
      </c>
      <c r="M153" s="33">
        <f t="shared" si="52"/>
        <v>1.2601927353595257</v>
      </c>
      <c r="N153" s="5">
        <f>VLOOKUP($B153,'Data Vlaue (Cr)'!$C:$FB,67)</f>
        <v>1679</v>
      </c>
      <c r="O153" s="5">
        <f>VLOOKUP($B153,'Data Vlaue (Cr)'!$C:$FB,68)</f>
        <v>1417</v>
      </c>
      <c r="P153" s="5">
        <f>(N153-O153)/N153*100</f>
        <v>15.604526503871352</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Power</v>
      </c>
      <c r="B154" s="79" t="str">
        <f>'Data shares'!C149</f>
        <v>NTPC</v>
      </c>
      <c r="C154" s="4">
        <f>VLOOKUP($B154,'Data shares'!$C:$FB,7)</f>
        <v>402.25</v>
      </c>
      <c r="D154" s="82">
        <f>VLOOKUP($B154,'Data shares'!$C:$FB,98)</f>
        <v>228256500</v>
      </c>
      <c r="E154" s="165">
        <f>VLOOKUP(B154,'Snapshot (Volume)'!$A$7:$G$168,7,0)</f>
        <v>227260500</v>
      </c>
      <c r="F154" s="165">
        <f t="shared" ref="F154:F166" si="54">D154-E154</f>
        <v>996000</v>
      </c>
      <c r="G154" s="166">
        <f t="shared" ref="G154:G166" si="55">F154/E154</f>
        <v>4.3826357858052761E-3</v>
      </c>
      <c r="H154" s="165">
        <f>VLOOKUP($B154,'Data shares'!$C:$FB,66)</f>
        <v>164421000</v>
      </c>
      <c r="I154" s="165">
        <f>VLOOKUP($B154,'Data shares'!$C:$FB,67)</f>
        <v>264457500</v>
      </c>
      <c r="J154" s="81">
        <f t="shared" ref="J154:J166" si="56">(H154-I154)/I154*100</f>
        <v>-37.827061058960325</v>
      </c>
      <c r="K154" s="5">
        <f>VLOOKUP($B154,'Data Vlaue (Cr)'!$C:$FB,99)</f>
        <v>9170</v>
      </c>
      <c r="L154" s="81">
        <f>VLOOKUP(B154,'OI(Value)'!$A$7:$C$232,3,0)</f>
        <v>40</v>
      </c>
      <c r="M154" s="33">
        <f t="shared" ref="M154:M166" si="57">L154/K154*100</f>
        <v>0.43620501635768816</v>
      </c>
      <c r="N154" s="5">
        <f>VLOOKUP($B154,'Data Vlaue (Cr)'!$C:$FB,67)</f>
        <v>6606</v>
      </c>
      <c r="O154" s="5">
        <f>VLOOKUP($B154,'Data Vlaue (Cr)'!$C:$FB,68)</f>
        <v>10625</v>
      </c>
      <c r="P154" s="5">
        <f t="shared" ref="P154:P161" si="58">(N154-O154)/N154*100</f>
        <v>-60.838631547078414</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Finance</v>
      </c>
      <c r="B155" s="79" t="str">
        <f>'Data shares'!C150</f>
        <v>NUVAMA</v>
      </c>
      <c r="C155" s="4">
        <f>VLOOKUP($B155,'Data shares'!$C:$FB,7)</f>
        <v>1376.7</v>
      </c>
      <c r="D155" s="82">
        <f>VLOOKUP($B155,'Data shares'!$C:$FB,98)</f>
        <v>4127500</v>
      </c>
      <c r="E155" s="165">
        <f>VLOOKUP(B155,'Snapshot (Volume)'!$A$7:$G$168,7,0)</f>
        <v>4091500</v>
      </c>
      <c r="F155" s="165">
        <f t="shared" si="54"/>
        <v>36000</v>
      </c>
      <c r="G155" s="166">
        <f t="shared" si="55"/>
        <v>8.7987290724673099E-3</v>
      </c>
      <c r="H155" s="165">
        <f>VLOOKUP($B155,'Data shares'!$C:$FB,66)</f>
        <v>2958500</v>
      </c>
      <c r="I155" s="165">
        <f>VLOOKUP($B155,'Data shares'!$C:$FB,67)</f>
        <v>2094500</v>
      </c>
      <c r="J155" s="81">
        <f t="shared" si="56"/>
        <v>41.250895201718784</v>
      </c>
      <c r="K155" s="5">
        <f>VLOOKUP($B155,'Data Vlaue (Cr)'!$C:$FB,99)</f>
        <v>569</v>
      </c>
      <c r="L155" s="81">
        <f>VLOOKUP(B155,'OI(Value)'!$A$7:$C$232,3,0)</f>
        <v>5</v>
      </c>
      <c r="M155" s="33">
        <f t="shared" si="57"/>
        <v>0.87873462214411258</v>
      </c>
      <c r="N155" s="5">
        <f>VLOOKUP($B155,'Data Vlaue (Cr)'!$C:$FB,67)</f>
        <v>408</v>
      </c>
      <c r="O155" s="5">
        <f>VLOOKUP($B155,'Data Vlaue (Cr)'!$C:$FB,68)</f>
        <v>289</v>
      </c>
      <c r="P155" s="5">
        <f t="shared" si="58"/>
        <v>29.166666666666668</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New_Age</v>
      </c>
      <c r="B156" s="79" t="str">
        <f>'Data shares'!C151</f>
        <v>NYKAA</v>
      </c>
      <c r="C156" s="4">
        <f>VLOOKUP($B156,'Data shares'!$C:$FB,7)</f>
        <v>261.85000000000002</v>
      </c>
      <c r="D156" s="82">
        <f>VLOOKUP($B156,'Data shares'!$C:$FB,98)</f>
        <v>69371875</v>
      </c>
      <c r="E156" s="165">
        <f>VLOOKUP(B156,'Snapshot (Volume)'!$A$7:$G$168,7,0)</f>
        <v>66446875</v>
      </c>
      <c r="F156" s="165">
        <f t="shared" si="54"/>
        <v>2925000</v>
      </c>
      <c r="G156" s="166">
        <f t="shared" si="55"/>
        <v>4.4020128862343036E-2</v>
      </c>
      <c r="H156" s="165">
        <f>VLOOKUP($B156,'Data shares'!$C:$FB,66)</f>
        <v>38787500</v>
      </c>
      <c r="I156" s="165">
        <f>VLOOKUP($B156,'Data shares'!$C:$FB,67)</f>
        <v>23540625</v>
      </c>
      <c r="J156" s="81">
        <f t="shared" si="56"/>
        <v>64.76835258197265</v>
      </c>
      <c r="K156" s="5">
        <f>VLOOKUP($B156,'Data Vlaue (Cr)'!$C:$FB,99)</f>
        <v>1815</v>
      </c>
      <c r="L156" s="81">
        <f>VLOOKUP(B156,'OI(Value)'!$A$7:$C$232,3,0)</f>
        <v>77</v>
      </c>
      <c r="M156" s="33">
        <f t="shared" si="57"/>
        <v>4.2424242424242431</v>
      </c>
      <c r="N156" s="5">
        <f>VLOOKUP($B156,'Data Vlaue (Cr)'!$C:$FB,67)</f>
        <v>1015</v>
      </c>
      <c r="O156" s="5">
        <f>VLOOKUP($B156,'Data Vlaue (Cr)'!$C:$FB,68)</f>
        <v>616</v>
      </c>
      <c r="P156" s="5">
        <f t="shared" si="58"/>
        <v>39.310344827586206</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Realty</v>
      </c>
      <c r="B157" s="79" t="str">
        <f>'Data shares'!C152</f>
        <v>OBEROIRLTY</v>
      </c>
      <c r="C157" s="4">
        <f>VLOOKUP($B157,'Data shares'!$C:$FB,7)</f>
        <v>1707.7</v>
      </c>
      <c r="D157" s="82">
        <f>VLOOKUP($B157,'Data shares'!$C:$FB,98)</f>
        <v>11321800</v>
      </c>
      <c r="E157" s="165">
        <f>VLOOKUP(B157,'Snapshot (Volume)'!$A$7:$G$168,7,0)</f>
        <v>12768700</v>
      </c>
      <c r="F157" s="165">
        <f t="shared" si="54"/>
        <v>-1446900</v>
      </c>
      <c r="G157" s="166">
        <f t="shared" si="55"/>
        <v>-0.1133161559125048</v>
      </c>
      <c r="H157" s="165">
        <f>VLOOKUP($B157,'Data shares'!$C:$FB,66)</f>
        <v>7348250</v>
      </c>
      <c r="I157" s="165">
        <f>VLOOKUP($B157,'Data shares'!$C:$FB,67)</f>
        <v>2790200</v>
      </c>
      <c r="J157" s="81">
        <f t="shared" si="56"/>
        <v>163.35925740090315</v>
      </c>
      <c r="K157" s="5">
        <f>VLOOKUP($B157,'Data Vlaue (Cr)'!$C:$FB,99)</f>
        <v>1936</v>
      </c>
      <c r="L157" s="81">
        <f>VLOOKUP(B157,'OI(Value)'!$A$7:$C$232,3,0)</f>
        <v>-247</v>
      </c>
      <c r="M157" s="33">
        <f t="shared" si="57"/>
        <v>-12.758264462809917</v>
      </c>
      <c r="N157" s="5">
        <f>VLOOKUP($B157,'Data Vlaue (Cr)'!$C:$FB,67)</f>
        <v>1256</v>
      </c>
      <c r="O157" s="5">
        <f>VLOOKUP($B157,'Data Vlaue (Cr)'!$C:$FB,68)</f>
        <v>477</v>
      </c>
      <c r="P157" s="5">
        <f t="shared" si="58"/>
        <v>62.022292993630565</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Technology</v>
      </c>
      <c r="B158" s="79" t="str">
        <f>'Data shares'!C153</f>
        <v>OFSS</v>
      </c>
      <c r="C158" s="4">
        <f>VLOOKUP($B158,'Data shares'!$C:$FB,7)</f>
        <v>8791.5</v>
      </c>
      <c r="D158" s="82">
        <f>VLOOKUP($B158,'Data shares'!$C:$FB,98)</f>
        <v>4451625</v>
      </c>
      <c r="E158" s="165">
        <f>VLOOKUP(B158,'Snapshot (Volume)'!$A$7:$G$168,7,0)</f>
        <v>3895350</v>
      </c>
      <c r="F158" s="165">
        <f t="shared" si="54"/>
        <v>556275</v>
      </c>
      <c r="G158" s="166">
        <f t="shared" si="55"/>
        <v>0.14280488274481112</v>
      </c>
      <c r="H158" s="165">
        <f>VLOOKUP($B158,'Data shares'!$C:$FB,66)</f>
        <v>35901825</v>
      </c>
      <c r="I158" s="165">
        <f>VLOOKUP($B158,'Data shares'!$C:$FB,67)</f>
        <v>8512275</v>
      </c>
      <c r="J158" s="81">
        <f t="shared" si="56"/>
        <v>321.76533300439655</v>
      </c>
      <c r="K158" s="5">
        <f>VLOOKUP($B158,'Data Vlaue (Cr)'!$C:$FB,99)</f>
        <v>3910</v>
      </c>
      <c r="L158" s="81">
        <f>VLOOKUP(B158,'OI(Value)'!$A$7:$C$232,3,0)</f>
        <v>489</v>
      </c>
      <c r="M158" s="33">
        <f t="shared" si="57"/>
        <v>12.506393861892583</v>
      </c>
      <c r="N158" s="5">
        <f>VLOOKUP($B158,'Data Vlaue (Cr)'!$C:$FB,67)</f>
        <v>31533</v>
      </c>
      <c r="O158" s="5">
        <f>VLOOKUP($B158,'Data Vlaue (Cr)'!$C:$FB,68)</f>
        <v>7476</v>
      </c>
      <c r="P158" s="5">
        <f t="shared" si="58"/>
        <v>76.291504138521546</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Oil_Gas</v>
      </c>
      <c r="B159" s="79" t="str">
        <f>'Data shares'!C154</f>
        <v>OIL</v>
      </c>
      <c r="C159" s="4">
        <f>VLOOKUP($B159,'Data shares'!$C:$FB,7)</f>
        <v>473.9</v>
      </c>
      <c r="D159" s="82">
        <f>VLOOKUP($B159,'Data shares'!$C:$FB,98)</f>
        <v>34988800</v>
      </c>
      <c r="E159" s="165">
        <f>VLOOKUP(B159,'Snapshot (Volume)'!$A$7:$G$168,7,0)</f>
        <v>35350000</v>
      </c>
      <c r="F159" s="165">
        <f t="shared" si="54"/>
        <v>-361200</v>
      </c>
      <c r="G159" s="166">
        <f t="shared" si="55"/>
        <v>-1.0217821782178218E-2</v>
      </c>
      <c r="H159" s="165">
        <f>VLOOKUP($B159,'Data shares'!$C:$FB,66)</f>
        <v>43031800</v>
      </c>
      <c r="I159" s="165">
        <f>VLOOKUP($B159,'Data shares'!$C:$FB,67)</f>
        <v>17109400</v>
      </c>
      <c r="J159" s="81">
        <f t="shared" si="56"/>
        <v>151.50969642418787</v>
      </c>
      <c r="K159" s="5">
        <f>VLOOKUP($B159,'Data Vlaue (Cr)'!$C:$FB,99)</f>
        <v>1660</v>
      </c>
      <c r="L159" s="81">
        <f>VLOOKUP(B159,'OI(Value)'!$A$7:$C$232,3,0)</f>
        <v>-17</v>
      </c>
      <c r="M159" s="33">
        <f t="shared" si="57"/>
        <v>-1.0240963855421688</v>
      </c>
      <c r="N159" s="5">
        <f>VLOOKUP($B159,'Data Vlaue (Cr)'!$C:$FB,67)</f>
        <v>2041</v>
      </c>
      <c r="O159" s="5">
        <f>VLOOKUP($B159,'Data Vlaue (Cr)'!$C:$FB,68)</f>
        <v>811</v>
      </c>
      <c r="P159" s="5">
        <f t="shared" si="58"/>
        <v>60.264576188143067</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Oil_Gas</v>
      </c>
      <c r="B160" s="79" t="str">
        <f>'Data shares'!C155</f>
        <v>ONGC</v>
      </c>
      <c r="C160" s="4">
        <f>VLOOKUP($B160,'Data shares'!$C:$FB,7)</f>
        <v>286.25</v>
      </c>
      <c r="D160" s="82">
        <f>VLOOKUP($B160,'Data shares'!$C:$FB,98)</f>
        <v>237161250</v>
      </c>
      <c r="E160" s="165">
        <f>VLOOKUP(B160,'Snapshot (Volume)'!$A$7:$G$168,7,0)</f>
        <v>233867250</v>
      </c>
      <c r="F160" s="165">
        <f t="shared" si="54"/>
        <v>3294000</v>
      </c>
      <c r="G160" s="166">
        <f t="shared" si="55"/>
        <v>1.4084913556729299E-2</v>
      </c>
      <c r="H160" s="165">
        <f>VLOOKUP($B160,'Data shares'!$C:$FB,66)</f>
        <v>241596000</v>
      </c>
      <c r="I160" s="165">
        <f>VLOOKUP($B160,'Data shares'!$C:$FB,67)</f>
        <v>89622000</v>
      </c>
      <c r="J160" s="81">
        <f t="shared" si="56"/>
        <v>169.57220325366541</v>
      </c>
      <c r="K160" s="5">
        <f>VLOOKUP($B160,'Data Vlaue (Cr)'!$C:$FB,99)</f>
        <v>6798</v>
      </c>
      <c r="L160" s="81">
        <f>VLOOKUP(B160,'OI(Value)'!$A$7:$C$232,3,0)</f>
        <v>94</v>
      </c>
      <c r="M160" s="33">
        <f t="shared" si="57"/>
        <v>1.3827596351868197</v>
      </c>
      <c r="N160" s="5">
        <f>VLOOKUP($B160,'Data Vlaue (Cr)'!$C:$FB,67)</f>
        <v>6925</v>
      </c>
      <c r="O160" s="5">
        <f>VLOOKUP($B160,'Data Vlaue (Cr)'!$C:$FB,68)</f>
        <v>2569</v>
      </c>
      <c r="P160" s="5">
        <f t="shared" si="58"/>
        <v>62.902527075812273</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Textile</v>
      </c>
      <c r="B161" s="79" t="str">
        <f>'Data shares'!C156</f>
        <v>PAGEIND</v>
      </c>
      <c r="C161" s="4">
        <f>VLOOKUP($B161,'Data shares'!$C:$FB,7)</f>
        <v>37965</v>
      </c>
      <c r="D161" s="82">
        <f>VLOOKUP($B161,'Data shares'!$C:$FB,98)</f>
        <v>490230</v>
      </c>
      <c r="E161" s="165">
        <f>VLOOKUP(B161,'Snapshot (Volume)'!$A$7:$G$168,7,0)</f>
        <v>498720</v>
      </c>
      <c r="F161" s="165">
        <f t="shared" si="54"/>
        <v>-8490</v>
      </c>
      <c r="G161" s="166">
        <f t="shared" si="55"/>
        <v>-1.7023580365736285E-2</v>
      </c>
      <c r="H161" s="165">
        <f>VLOOKUP($B161,'Data shares'!$C:$FB,66)</f>
        <v>420795</v>
      </c>
      <c r="I161" s="165">
        <f>VLOOKUP($B161,'Data shares'!$C:$FB,67)</f>
        <v>126315</v>
      </c>
      <c r="J161" s="81">
        <f t="shared" si="56"/>
        <v>233.13145707160672</v>
      </c>
      <c r="K161" s="5">
        <f>VLOOKUP($B161,'Data Vlaue (Cr)'!$C:$FB,99)</f>
        <v>1863</v>
      </c>
      <c r="L161" s="81">
        <f>VLOOKUP(B161,'OI(Value)'!$A$7:$C$232,3,0)</f>
        <v>-32</v>
      </c>
      <c r="M161" s="33">
        <f t="shared" si="57"/>
        <v>-1.7176596886741815</v>
      </c>
      <c r="N161" s="5">
        <f>VLOOKUP($B161,'Data Vlaue (Cr)'!$C:$FB,67)</f>
        <v>1599</v>
      </c>
      <c r="O161" s="5">
        <f>VLOOKUP($B161,'Data Vlaue (Cr)'!$C:$FB,68)</f>
        <v>480</v>
      </c>
      <c r="P161" s="5">
        <f t="shared" si="58"/>
        <v>69.981238273921193</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FMCG</v>
      </c>
      <c r="B162" s="79" t="str">
        <f>'Data shares'!C157</f>
        <v>PATANJALI</v>
      </c>
      <c r="C162" s="4">
        <f>VLOOKUP($B162,'Data shares'!$C:$FB,7)</f>
        <v>469.25</v>
      </c>
      <c r="D162" s="82">
        <f>VLOOKUP($B162,'Data shares'!$C:$FB,98)</f>
        <v>45693900</v>
      </c>
      <c r="E162" s="165">
        <f>VLOOKUP(B162,'Snapshot (Volume)'!$A$7:$G$168,7,0)</f>
        <v>46764000</v>
      </c>
      <c r="F162" s="165">
        <f t="shared" si="54"/>
        <v>-1070100</v>
      </c>
      <c r="G162" s="166">
        <f t="shared" si="55"/>
        <v>-2.2882986913010009E-2</v>
      </c>
      <c r="H162" s="165">
        <f>VLOOKUP($B162,'Data shares'!$C:$FB,66)</f>
        <v>23202900</v>
      </c>
      <c r="I162" s="165">
        <f>VLOOKUP($B162,'Data shares'!$C:$FB,67)</f>
        <v>19026900</v>
      </c>
      <c r="J162" s="81">
        <f t="shared" si="56"/>
        <v>21.947873799725652</v>
      </c>
      <c r="K162" s="5">
        <f>VLOOKUP($B162,'Data Vlaue (Cr)'!$C:$FB,99)</f>
        <v>2139</v>
      </c>
      <c r="L162" s="81">
        <f>VLOOKUP(B162,'OI(Value)'!$A$7:$C$232,3,0)</f>
        <v>-50</v>
      </c>
      <c r="M162" s="33">
        <f t="shared" si="57"/>
        <v>-2.3375409069658719</v>
      </c>
      <c r="N162" s="5">
        <f>VLOOKUP($B162,'Data Vlaue (Cr)'!$C:$FB,67)</f>
        <v>1086</v>
      </c>
      <c r="O162" s="5">
        <f>VLOOKUP($B162,'Data Vlaue (Cr)'!$C:$FB,68)</f>
        <v>891</v>
      </c>
      <c r="P162" s="5">
        <f>(N162-O162)/N162*100</f>
        <v>17.955801104972377</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New_Age</v>
      </c>
      <c r="B163" s="79" t="str">
        <f>'Data shares'!C158</f>
        <v>PAYTM</v>
      </c>
      <c r="C163" s="4">
        <f>VLOOKUP($B163,'Data shares'!$C:$FB,7)</f>
        <v>1159.55</v>
      </c>
      <c r="D163" s="82">
        <f>VLOOKUP($B163,'Data shares'!$C:$FB,98)</f>
        <v>26640850</v>
      </c>
      <c r="E163" s="165">
        <f>VLOOKUP(B163,'Snapshot (Volume)'!$A$7:$G$168,7,0)</f>
        <v>27503600</v>
      </c>
      <c r="F163" s="165">
        <f t="shared" si="54"/>
        <v>-862750</v>
      </c>
      <c r="G163" s="166">
        <f t="shared" si="55"/>
        <v>-3.1368620835090677E-2</v>
      </c>
      <c r="H163" s="165">
        <f>VLOOKUP($B163,'Data shares'!$C:$FB,66)</f>
        <v>17178875</v>
      </c>
      <c r="I163" s="165">
        <f>VLOOKUP($B163,'Data shares'!$C:$FB,67)</f>
        <v>14314400</v>
      </c>
      <c r="J163" s="81">
        <f t="shared" si="56"/>
        <v>20.011142625607782</v>
      </c>
      <c r="K163" s="5">
        <f>VLOOKUP($B163,'Data Vlaue (Cr)'!$C:$FB,99)</f>
        <v>3082</v>
      </c>
      <c r="L163" s="81">
        <f>VLOOKUP(B163,'OI(Value)'!$A$7:$C$232,3,0)</f>
        <v>-100</v>
      </c>
      <c r="M163" s="33">
        <f t="shared" si="57"/>
        <v>-3.2446463335496429</v>
      </c>
      <c r="N163" s="5">
        <f>VLOOKUP($B163,'Data Vlaue (Cr)'!$C:$FB,67)</f>
        <v>1988</v>
      </c>
      <c r="O163" s="5">
        <f>VLOOKUP($B163,'Data Vlaue (Cr)'!$C:$FB,68)</f>
        <v>1656</v>
      </c>
      <c r="P163" s="5">
        <f>(N163-O163)/N163*100</f>
        <v>16.700201207243463</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Technology</v>
      </c>
      <c r="B164" s="79" t="str">
        <f>'Data shares'!C159</f>
        <v>PERSISTENT</v>
      </c>
      <c r="C164" s="4">
        <f>VLOOKUP($B164,'Data shares'!$C:$FB,7)</f>
        <v>5065.2</v>
      </c>
      <c r="D164" s="82">
        <f>VLOOKUP($B164,'Data shares'!$C:$FB,98)</f>
        <v>9633700</v>
      </c>
      <c r="E164" s="165">
        <f>VLOOKUP(B164,'Snapshot (Volume)'!$A$7:$G$168,7,0)</f>
        <v>10635700</v>
      </c>
      <c r="F164" s="165">
        <f t="shared" si="54"/>
        <v>-1002000</v>
      </c>
      <c r="G164" s="166">
        <f t="shared" si="55"/>
        <v>-9.4211006327745234E-2</v>
      </c>
      <c r="H164" s="165">
        <f>VLOOKUP($B164,'Data shares'!$C:$FB,66)</f>
        <v>12611500</v>
      </c>
      <c r="I164" s="165">
        <f>VLOOKUP($B164,'Data shares'!$C:$FB,67)</f>
        <v>22157500</v>
      </c>
      <c r="J164" s="81">
        <f t="shared" si="56"/>
        <v>-43.082477716348869</v>
      </c>
      <c r="K164" s="5">
        <f>VLOOKUP($B164,'Data Vlaue (Cr)'!$C:$FB,99)</f>
        <v>4883</v>
      </c>
      <c r="L164" s="81">
        <f>VLOOKUP(B164,'OI(Value)'!$A$7:$C$232,3,0)</f>
        <v>-508</v>
      </c>
      <c r="M164" s="33">
        <f t="shared" si="57"/>
        <v>-10.403440507884497</v>
      </c>
      <c r="N164" s="5">
        <f>VLOOKUP($B164,'Data Vlaue (Cr)'!$C:$FB,67)</f>
        <v>6393</v>
      </c>
      <c r="O164" s="5">
        <f>VLOOKUP($B164,'Data Vlaue (Cr)'!$C:$FB,68)</f>
        <v>11231</v>
      </c>
      <c r="P164" s="5">
        <f>(N164-O164)/N164*100</f>
        <v>-75.676521195057092</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VLOOKUP(B165,'OI(Value)'!$A$7:$C$232,3,0)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shares'!B220</f>
        <v>Pharma</v>
      </c>
      <c r="B166" s="79" t="str">
        <f>'Data shares'!C220</f>
        <v>ZYDUSLIFE</v>
      </c>
      <c r="C166" s="4">
        <f>VLOOKUP($B166,'Data shares'!$C:$FB,7)</f>
        <v>946.35</v>
      </c>
      <c r="D166" s="82">
        <f>VLOOKUP($B166,'Data shares'!$C:$FB,98)</f>
        <v>16158600</v>
      </c>
      <c r="E166" s="165" t="e">
        <f>VLOOKUP(B166,'Snapshot (Volume)'!$A$7:$G$168,7,0)</f>
        <v>#N/A</v>
      </c>
      <c r="F166" s="165" t="e">
        <f t="shared" si="54"/>
        <v>#N/A</v>
      </c>
      <c r="G166" s="166" t="e">
        <f t="shared" si="55"/>
        <v>#N/A</v>
      </c>
      <c r="H166" s="165">
        <f>VLOOKUP($B166,'Data shares'!$C:$FB,66)</f>
        <v>31648500</v>
      </c>
      <c r="I166" s="165">
        <f>VLOOKUP($B166,'Data shares'!$C:$FB,67)</f>
        <v>5025600</v>
      </c>
      <c r="J166" s="81">
        <f t="shared" si="56"/>
        <v>529.74570200573066</v>
      </c>
      <c r="K166" s="5">
        <f>VLOOKUP($B166,'Data Vlaue (Cr)'!$C:$FB,99)</f>
        <v>1529</v>
      </c>
      <c r="L166" s="81">
        <f>VLOOKUP(B166,'OI(Value)'!$A$7:$C$232,3,0)</f>
        <v>109</v>
      </c>
      <c r="M166" s="33">
        <f t="shared" si="57"/>
        <v>7.1288423806409416</v>
      </c>
      <c r="N166" s="5">
        <f>VLOOKUP($B166,'Data Vlaue (Cr)'!$C:$FB,67)</f>
        <v>2996</v>
      </c>
      <c r="O166" s="5">
        <f>VLOOKUP($B166,'Data Vlaue (Cr)'!$C:$FB,68)</f>
        <v>476</v>
      </c>
      <c r="P166" s="5">
        <f>(N166-O166)/N166*100</f>
        <v>84.112149532710276</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8"/>
  <sheetViews>
    <sheetView zoomScale="85" zoomScaleNormal="85" workbookViewId="0">
      <pane ySplit="6" topLeftCell="A7" activePane="bottomLeft" state="frozen"/>
      <selection activeCell="Q163" sqref="Q163"/>
      <selection pane="bottomLeft" activeCell="A7" sqref="A7:A225"/>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5" t="s">
        <v>334</v>
      </c>
      <c r="B3" s="276"/>
      <c r="C3" s="276"/>
      <c r="D3" s="277"/>
      <c r="E3" s="278"/>
      <c r="F3" s="278"/>
      <c r="G3" s="278"/>
      <c r="H3" s="278"/>
      <c r="I3" s="278"/>
      <c r="J3" s="278"/>
      <c r="K3" s="278"/>
      <c r="L3" s="278"/>
      <c r="M3" s="278"/>
      <c r="N3" s="278"/>
      <c r="O3" s="279"/>
    </row>
    <row r="4" spans="1:15" s="84" customFormat="1" x14ac:dyDescent="0.25">
      <c r="A4" s="272" t="s">
        <v>330</v>
      </c>
      <c r="B4" s="272" t="s">
        <v>340</v>
      </c>
      <c r="C4" s="272"/>
      <c r="D4" s="272"/>
      <c r="E4" s="272"/>
      <c r="F4" s="272"/>
      <c r="G4" s="272"/>
      <c r="H4" s="272"/>
      <c r="I4" s="272"/>
      <c r="J4" s="272"/>
      <c r="K4" s="272"/>
      <c r="L4" s="272"/>
      <c r="M4" s="272"/>
      <c r="N4" s="272"/>
      <c r="O4" s="272"/>
    </row>
    <row r="5" spans="1:15" s="84" customFormat="1" x14ac:dyDescent="0.25">
      <c r="A5" s="273"/>
      <c r="B5" s="273" t="s">
        <v>314</v>
      </c>
      <c r="C5" s="273"/>
      <c r="D5" s="273"/>
      <c r="E5" s="273" t="s">
        <v>341</v>
      </c>
      <c r="F5" s="273"/>
      <c r="G5" s="273"/>
      <c r="H5" s="273" t="s">
        <v>336</v>
      </c>
      <c r="I5" s="273"/>
      <c r="J5" s="273"/>
      <c r="K5" s="273" t="s">
        <v>342</v>
      </c>
      <c r="L5" s="273"/>
      <c r="M5" s="273"/>
      <c r="N5" s="273" t="s">
        <v>338</v>
      </c>
      <c r="O5" s="273"/>
    </row>
    <row r="6" spans="1:15" s="84" customFormat="1" x14ac:dyDescent="0.25">
      <c r="A6" s="71" t="s">
        <v>318</v>
      </c>
      <c r="B6" s="66">
        <f>'OI(Value)'!B6</f>
        <v>46135</v>
      </c>
      <c r="C6" s="71" t="s">
        <v>333</v>
      </c>
      <c r="D6" s="71" t="s">
        <v>328</v>
      </c>
      <c r="E6" s="66">
        <f>B6</f>
        <v>46135</v>
      </c>
      <c r="F6" s="71" t="s">
        <v>333</v>
      </c>
      <c r="G6" s="71" t="s">
        <v>328</v>
      </c>
      <c r="H6" s="66">
        <f>B6</f>
        <v>46135</v>
      </c>
      <c r="I6" s="71" t="s">
        <v>333</v>
      </c>
      <c r="J6" s="71" t="s">
        <v>328</v>
      </c>
      <c r="K6" s="66">
        <f>B6</f>
        <v>46135</v>
      </c>
      <c r="L6" s="71" t="s">
        <v>333</v>
      </c>
      <c r="M6" s="71" t="s">
        <v>328</v>
      </c>
      <c r="N6" s="71" t="s">
        <v>339</v>
      </c>
      <c r="O6" s="71" t="s">
        <v>328</v>
      </c>
    </row>
    <row r="7" spans="1:15" x14ac:dyDescent="0.25">
      <c r="A7" s="100" t="str">
        <f>'Data Vlaue (Cr)'!C2</f>
        <v>360ONE</v>
      </c>
      <c r="B7" s="82">
        <f>VLOOKUP(A7,'Data shares'!$C$2:$CV$220,98,0)</f>
        <v>13753000</v>
      </c>
      <c r="C7" s="82">
        <f>VLOOKUP(A7,'Data shares'!$C$2:$CX$220,100,0)</f>
        <v>-1069500</v>
      </c>
      <c r="D7" s="141">
        <f>VLOOKUP(A7,'Data shares'!$C$2:$CY$543,101,0)</f>
        <v>-7.22E-2</v>
      </c>
      <c r="E7" s="86">
        <f>VLOOKUP($A7,'Data shares'!$C:$FA,74)</f>
        <v>6042500</v>
      </c>
      <c r="F7" s="86">
        <f>VLOOKUP($A7,'Data shares'!$C:$FA,76)</f>
        <v>224000</v>
      </c>
      <c r="G7" s="87">
        <f>VLOOKUP(A7,'Data shares'!$C$2:$CA$220,77,0)</f>
        <v>3.85E-2</v>
      </c>
      <c r="H7" s="86">
        <f>VLOOKUP($A7,'Data shares'!$C:$FA,90)</f>
        <v>5435000</v>
      </c>
      <c r="I7" s="86">
        <f>VLOOKUP($A7,'Data shares'!$C:$FA,92)</f>
        <v>-862000</v>
      </c>
      <c r="J7" s="87">
        <f>VLOOKUP($A7,'Data shares'!$C:$FA,93)</f>
        <v>-0.13689999999999999</v>
      </c>
      <c r="K7" s="86">
        <f>VLOOKUP($A7,'Data shares'!$C:$FA,94)</f>
        <v>2275500</v>
      </c>
      <c r="L7" s="86">
        <f>VLOOKUP($A7,'Data shares'!$C:$FA,96)</f>
        <v>-431500</v>
      </c>
      <c r="M7" s="87">
        <f>VLOOKUP($A7,'Data shares'!$C:$FA,97)</f>
        <v>-0.15939999999999999</v>
      </c>
      <c r="N7" s="86">
        <f>VLOOKUP($A7,'Data shares'!$C:$FA,78)</f>
        <v>3963000</v>
      </c>
      <c r="O7" s="87">
        <f>VLOOKUP($A7,'Data shares'!$C:$FA,81)</f>
        <v>-0.1444</v>
      </c>
    </row>
    <row r="8" spans="1:15" x14ac:dyDescent="0.25">
      <c r="A8" s="100" t="str">
        <f>'Data Vlaue (Cr)'!C3</f>
        <v>ABB</v>
      </c>
      <c r="B8" s="82">
        <f>VLOOKUP(A8,'Data shares'!$C$2:$CV$220,98,0)</f>
        <v>6245250</v>
      </c>
      <c r="C8" s="82">
        <f>VLOOKUP(A8,'Data shares'!$C$2:$CX$220,100,0)</f>
        <v>-186750</v>
      </c>
      <c r="D8" s="141">
        <f>VLOOKUP(A8,'Data shares'!$C$2:$CY$543,101,0)</f>
        <v>-2.9000000000000001E-2</v>
      </c>
      <c r="E8" s="86">
        <f>VLOOKUP($A8,'Data shares'!$C:$FA,74)</f>
        <v>2610625</v>
      </c>
      <c r="F8" s="86">
        <f>VLOOKUP($A8,'Data shares'!$C:$FA,76)</f>
        <v>-47750</v>
      </c>
      <c r="G8" s="87">
        <f>VLOOKUP(A8,'Data shares'!$C$2:$CA$220,77,0)</f>
        <v>-1.7999999999999999E-2</v>
      </c>
      <c r="H8" s="86">
        <f>VLOOKUP($A8,'Data shares'!$C:$FA,90)</f>
        <v>1998625</v>
      </c>
      <c r="I8" s="86">
        <f>VLOOKUP($A8,'Data shares'!$C:$FA,92)</f>
        <v>-32375</v>
      </c>
      <c r="J8" s="87">
        <f>VLOOKUP($A8,'Data shares'!$C:$FA,93)</f>
        <v>-1.5900000000000001E-2</v>
      </c>
      <c r="K8" s="86">
        <f>VLOOKUP($A8,'Data shares'!$C:$FA,94)</f>
        <v>1636000</v>
      </c>
      <c r="L8" s="86">
        <f>VLOOKUP($A8,'Data shares'!$C:$FA,96)</f>
        <v>-106625</v>
      </c>
      <c r="M8" s="87">
        <f>VLOOKUP($A8,'Data shares'!$C:$FA,97)</f>
        <v>-6.1199999999999997E-2</v>
      </c>
      <c r="N8" s="86">
        <f>VLOOKUP($A8,'Data shares'!$C:$FA,78)</f>
        <v>1586750</v>
      </c>
      <c r="O8" s="87">
        <f>VLOOKUP($A8,'Data shares'!$C:$FA,81)</f>
        <v>-0.29959999999999998</v>
      </c>
    </row>
    <row r="9" spans="1:15" x14ac:dyDescent="0.25">
      <c r="A9" s="100" t="str">
        <f>'Data Vlaue (Cr)'!C4</f>
        <v>ABCAPITAL</v>
      </c>
      <c r="B9" s="82">
        <f>VLOOKUP(A9,'Data shares'!$C$2:$CV$220,98,0)</f>
        <v>65162000</v>
      </c>
      <c r="C9" s="82">
        <f>VLOOKUP(A9,'Data shares'!$C$2:$CX$220,100,0)</f>
        <v>-176700</v>
      </c>
      <c r="D9" s="141">
        <f>VLOOKUP(A9,'Data shares'!$C$2:$CY$543,101,0)</f>
        <v>-2.7000000000000001E-3</v>
      </c>
      <c r="E9" s="86">
        <f>VLOOKUP($A9,'Data shares'!$C:$FA,74)</f>
        <v>41660900</v>
      </c>
      <c r="F9" s="86">
        <f>VLOOKUP($A9,'Data shares'!$C:$FA,76)</f>
        <v>291400</v>
      </c>
      <c r="G9" s="87">
        <f>VLOOKUP(A9,'Data shares'!$C$2:$CA$220,77,0)</f>
        <v>7.0000000000000001E-3</v>
      </c>
      <c r="H9" s="86">
        <f>VLOOKUP($A9,'Data shares'!$C:$FA,90)</f>
        <v>13007600</v>
      </c>
      <c r="I9" s="86">
        <f>VLOOKUP($A9,'Data shares'!$C:$FA,92)</f>
        <v>-139500</v>
      </c>
      <c r="J9" s="87">
        <f>VLOOKUP($A9,'Data shares'!$C:$FA,93)</f>
        <v>-1.06E-2</v>
      </c>
      <c r="K9" s="86">
        <f>VLOOKUP($A9,'Data shares'!$C:$FA,94)</f>
        <v>10493500</v>
      </c>
      <c r="L9" s="86">
        <f>VLOOKUP($A9,'Data shares'!$C:$FA,96)</f>
        <v>-328600</v>
      </c>
      <c r="M9" s="87">
        <f>VLOOKUP($A9,'Data shares'!$C:$FA,97)</f>
        <v>-3.04E-2</v>
      </c>
      <c r="N9" s="86">
        <f>VLOOKUP($A9,'Data shares'!$C:$FA,78)</f>
        <v>28780400</v>
      </c>
      <c r="O9" s="87">
        <f>VLOOKUP($A9,'Data shares'!$C:$FA,81)</f>
        <v>-0.26190000000000002</v>
      </c>
    </row>
    <row r="10" spans="1:15" x14ac:dyDescent="0.25">
      <c r="A10" s="100" t="str">
        <f>'Data Vlaue (Cr)'!C5</f>
        <v>ADANIENSOL</v>
      </c>
      <c r="B10" s="82">
        <f>VLOOKUP(A10,'Data shares'!$C$2:$CV$220,98,0)</f>
        <v>34359525</v>
      </c>
      <c r="C10" s="82">
        <f>VLOOKUP(A10,'Data shares'!$C$2:$CX$220,100,0)</f>
        <v>2656800</v>
      </c>
      <c r="D10" s="141">
        <f>VLOOKUP(A10,'Data shares'!$C$2:$CY$543,101,0)</f>
        <v>8.3799999999999999E-2</v>
      </c>
      <c r="E10" s="86">
        <f>VLOOKUP($A10,'Data shares'!$C:$FA,74)</f>
        <v>21818700</v>
      </c>
      <c r="F10" s="86">
        <f>VLOOKUP($A10,'Data shares'!$C:$FA,76)</f>
        <v>-101925</v>
      </c>
      <c r="G10" s="87">
        <f>VLOOKUP(A10,'Data shares'!$C$2:$CA$220,77,0)</f>
        <v>-4.5999999999999999E-3</v>
      </c>
      <c r="H10" s="86">
        <f>VLOOKUP($A10,'Data shares'!$C:$FA,90)</f>
        <v>7618725</v>
      </c>
      <c r="I10" s="86">
        <f>VLOOKUP($A10,'Data shares'!$C:$FA,92)</f>
        <v>1891350</v>
      </c>
      <c r="J10" s="87">
        <f>VLOOKUP($A10,'Data shares'!$C:$FA,93)</f>
        <v>0.33019999999999999</v>
      </c>
      <c r="K10" s="86">
        <f>VLOOKUP($A10,'Data shares'!$C:$FA,94)</f>
        <v>4922100</v>
      </c>
      <c r="L10" s="86">
        <f>VLOOKUP($A10,'Data shares'!$C:$FA,96)</f>
        <v>867375</v>
      </c>
      <c r="M10" s="87">
        <f>VLOOKUP($A10,'Data shares'!$C:$FA,97)</f>
        <v>0.21390000000000001</v>
      </c>
      <c r="N10" s="86">
        <f>VLOOKUP($A10,'Data shares'!$C:$FA,78)</f>
        <v>11923200</v>
      </c>
      <c r="O10" s="87">
        <f>VLOOKUP($A10,'Data shares'!$C:$FA,81)</f>
        <v>-0.24479999999999999</v>
      </c>
    </row>
    <row r="11" spans="1:15" x14ac:dyDescent="0.25">
      <c r="A11" s="100" t="str">
        <f>'Data Vlaue (Cr)'!C6</f>
        <v>ADANIENT</v>
      </c>
      <c r="B11" s="82">
        <f>VLOOKUP(A11,'Data shares'!$C$2:$CV$220,98,0)</f>
        <v>34910511</v>
      </c>
      <c r="C11" s="82">
        <f>VLOOKUP(A11,'Data shares'!$C$2:$CX$220,100,0)</f>
        <v>1428507</v>
      </c>
      <c r="D11" s="141">
        <f>VLOOKUP(A11,'Data shares'!$C$2:$CY$543,101,0)</f>
        <v>4.2700000000000002E-2</v>
      </c>
      <c r="E11" s="86">
        <f>VLOOKUP($A11,'Data shares'!$C:$FA,74)</f>
        <v>19292106</v>
      </c>
      <c r="F11" s="86">
        <f>VLOOKUP($A11,'Data shares'!$C:$FA,76)</f>
        <v>527154</v>
      </c>
      <c r="G11" s="87">
        <f>VLOOKUP(A11,'Data shares'!$C$2:$CA$220,77,0)</f>
        <v>2.81E-2</v>
      </c>
      <c r="H11" s="86">
        <f>VLOOKUP($A11,'Data shares'!$C:$FA,90)</f>
        <v>8326932</v>
      </c>
      <c r="I11" s="86">
        <f>VLOOKUP($A11,'Data shares'!$C:$FA,92)</f>
        <v>798456</v>
      </c>
      <c r="J11" s="87">
        <f>VLOOKUP($A11,'Data shares'!$C:$FA,93)</f>
        <v>0.1061</v>
      </c>
      <c r="K11" s="86">
        <f>VLOOKUP($A11,'Data shares'!$C:$FA,94)</f>
        <v>7291473</v>
      </c>
      <c r="L11" s="86">
        <f>VLOOKUP($A11,'Data shares'!$C:$FA,96)</f>
        <v>102897</v>
      </c>
      <c r="M11" s="87">
        <f>VLOOKUP($A11,'Data shares'!$C:$FA,97)</f>
        <v>1.43E-2</v>
      </c>
      <c r="N11" s="86">
        <f>VLOOKUP($A11,'Data shares'!$C:$FA,78)</f>
        <v>12455172</v>
      </c>
      <c r="O11" s="87">
        <f>VLOOKUP($A11,'Data shares'!$C:$FA,81)</f>
        <v>-0.1704</v>
      </c>
    </row>
    <row r="12" spans="1:15" x14ac:dyDescent="0.25">
      <c r="A12" s="100" t="str">
        <f>'Data Vlaue (Cr)'!C7</f>
        <v>ADANIGREEN</v>
      </c>
      <c r="B12" s="82">
        <f>VLOOKUP(A12,'Data shares'!$C$2:$CV$220,98,0)</f>
        <v>42630000</v>
      </c>
      <c r="C12" s="82">
        <f>VLOOKUP(A12,'Data shares'!$C$2:$CX$220,100,0)</f>
        <v>3293400</v>
      </c>
      <c r="D12" s="141">
        <f>VLOOKUP(A12,'Data shares'!$C$2:$CY$543,101,0)</f>
        <v>8.3699999999999997E-2</v>
      </c>
      <c r="E12" s="86">
        <f>VLOOKUP($A12,'Data shares'!$C:$FA,74)</f>
        <v>22129200</v>
      </c>
      <c r="F12" s="86">
        <f>VLOOKUP($A12,'Data shares'!$C:$FA,76)</f>
        <v>511200</v>
      </c>
      <c r="G12" s="87">
        <f>VLOOKUP(A12,'Data shares'!$C$2:$CA$220,77,0)</f>
        <v>2.3599999999999999E-2</v>
      </c>
      <c r="H12" s="86">
        <f>VLOOKUP($A12,'Data shares'!$C:$FA,90)</f>
        <v>12267600</v>
      </c>
      <c r="I12" s="86">
        <f>VLOOKUP($A12,'Data shares'!$C:$FA,92)</f>
        <v>2058600</v>
      </c>
      <c r="J12" s="87">
        <f>VLOOKUP($A12,'Data shares'!$C:$FA,93)</f>
        <v>0.2016</v>
      </c>
      <c r="K12" s="86">
        <f>VLOOKUP($A12,'Data shares'!$C:$FA,94)</f>
        <v>8233200</v>
      </c>
      <c r="L12" s="86">
        <f>VLOOKUP($A12,'Data shares'!$C:$FA,96)</f>
        <v>723600</v>
      </c>
      <c r="M12" s="87">
        <f>VLOOKUP($A12,'Data shares'!$C:$FA,97)</f>
        <v>9.64E-2</v>
      </c>
      <c r="N12" s="86">
        <f>VLOOKUP($A12,'Data shares'!$C:$FA,78)</f>
        <v>11593800</v>
      </c>
      <c r="O12" s="87">
        <f>VLOOKUP($A12,'Data shares'!$C:$FA,81)</f>
        <v>-0.25700000000000001</v>
      </c>
    </row>
    <row r="13" spans="1:15" x14ac:dyDescent="0.25">
      <c r="A13" s="100" t="str">
        <f>'Data Vlaue (Cr)'!C8</f>
        <v>ADANIPORTS</v>
      </c>
      <c r="B13" s="82">
        <f>VLOOKUP(A13,'Data shares'!$C$2:$CV$220,98,0)</f>
        <v>39292475</v>
      </c>
      <c r="C13" s="82">
        <f>VLOOKUP(A13,'Data shares'!$C$2:$CX$220,100,0)</f>
        <v>-249850</v>
      </c>
      <c r="D13" s="141">
        <f>VLOOKUP(A13,'Data shares'!$C$2:$CY$543,101,0)</f>
        <v>-6.3E-3</v>
      </c>
      <c r="E13" s="86">
        <f>VLOOKUP($A13,'Data shares'!$C:$FA,74)</f>
        <v>20196050</v>
      </c>
      <c r="F13" s="86">
        <f>VLOOKUP($A13,'Data shares'!$C:$FA,76)</f>
        <v>188100</v>
      </c>
      <c r="G13" s="87">
        <f>VLOOKUP(A13,'Data shares'!$C$2:$CA$220,77,0)</f>
        <v>9.4000000000000004E-3</v>
      </c>
      <c r="H13" s="86">
        <f>VLOOKUP($A13,'Data shares'!$C:$FA,90)</f>
        <v>10317950</v>
      </c>
      <c r="I13" s="86">
        <f>VLOOKUP($A13,'Data shares'!$C:$FA,92)</f>
        <v>-107825</v>
      </c>
      <c r="J13" s="87">
        <f>VLOOKUP($A13,'Data shares'!$C:$FA,93)</f>
        <v>-1.03E-2</v>
      </c>
      <c r="K13" s="86">
        <f>VLOOKUP($A13,'Data shares'!$C:$FA,94)</f>
        <v>8778475</v>
      </c>
      <c r="L13" s="86">
        <f>VLOOKUP($A13,'Data shares'!$C:$FA,96)</f>
        <v>-330125</v>
      </c>
      <c r="M13" s="87">
        <f>VLOOKUP($A13,'Data shares'!$C:$FA,97)</f>
        <v>-3.6200000000000003E-2</v>
      </c>
      <c r="N13" s="86">
        <f>VLOOKUP($A13,'Data shares'!$C:$FA,78)</f>
        <v>12168550</v>
      </c>
      <c r="O13" s="87">
        <f>VLOOKUP($A13,'Data shares'!$C:$FA,81)</f>
        <v>-0.23350000000000001</v>
      </c>
    </row>
    <row r="14" spans="1:15" x14ac:dyDescent="0.25">
      <c r="A14" s="100" t="str">
        <f>'Data Vlaue (Cr)'!C9</f>
        <v>ADANIPOWER</v>
      </c>
      <c r="B14" s="82">
        <f>VLOOKUP(A14,'Data shares'!$C$2:$CV$220,98,0)</f>
        <v>154684150</v>
      </c>
      <c r="C14" s="82">
        <f>VLOOKUP(A14,'Data shares'!$C$2:$CX$220,100,0)</f>
        <v>1821150</v>
      </c>
      <c r="D14" s="141">
        <f>VLOOKUP(A14,'Data shares'!$C$2:$CY$543,101,0)</f>
        <v>1.1900000000000001E-2</v>
      </c>
      <c r="E14" s="86">
        <f>VLOOKUP($A14,'Data shares'!$C:$FA,74)</f>
        <v>83094850</v>
      </c>
      <c r="F14" s="86">
        <f>VLOOKUP($A14,'Data shares'!$C:$FA,76)</f>
        <v>-532500</v>
      </c>
      <c r="G14" s="87">
        <f>VLOOKUP(A14,'Data shares'!$C$2:$CA$220,77,0)</f>
        <v>-6.4000000000000003E-3</v>
      </c>
      <c r="H14" s="86">
        <f>VLOOKUP($A14,'Data shares'!$C:$FA,90)</f>
        <v>40047550</v>
      </c>
      <c r="I14" s="86">
        <f>VLOOKUP($A14,'Data shares'!$C:$FA,92)</f>
        <v>2907450</v>
      </c>
      <c r="J14" s="87">
        <f>VLOOKUP($A14,'Data shares'!$C:$FA,93)</f>
        <v>7.8299999999999995E-2</v>
      </c>
      <c r="K14" s="86">
        <f>VLOOKUP($A14,'Data shares'!$C:$FA,94)</f>
        <v>31541750</v>
      </c>
      <c r="L14" s="86">
        <f>VLOOKUP($A14,'Data shares'!$C:$FA,96)</f>
        <v>-553800</v>
      </c>
      <c r="M14" s="87">
        <f>VLOOKUP($A14,'Data shares'!$C:$FA,97)</f>
        <v>-1.7299999999999999E-2</v>
      </c>
      <c r="N14" s="86">
        <f>VLOOKUP($A14,'Data shares'!$C:$FA,78)</f>
        <v>56498250</v>
      </c>
      <c r="O14" s="87">
        <f>VLOOKUP($A14,'Data shares'!$C:$FA,81)</f>
        <v>-0.16850000000000001</v>
      </c>
    </row>
    <row r="15" spans="1:15" x14ac:dyDescent="0.25">
      <c r="A15" s="100" t="str">
        <f>'Data Vlaue (Cr)'!C10</f>
        <v>ALKEM</v>
      </c>
      <c r="B15" s="82">
        <f>VLOOKUP(A15,'Data shares'!$C$2:$CV$220,98,0)</f>
        <v>1786750</v>
      </c>
      <c r="C15" s="82">
        <f>VLOOKUP(A15,'Data shares'!$C$2:$CX$220,100,0)</f>
        <v>38625</v>
      </c>
      <c r="D15" s="141">
        <f>VLOOKUP(A15,'Data shares'!$C$2:$CY$543,101,0)</f>
        <v>2.2100000000000002E-2</v>
      </c>
      <c r="E15" s="86">
        <f>VLOOKUP($A15,'Data shares'!$C:$FA,74)</f>
        <v>1236625</v>
      </c>
      <c r="F15" s="86">
        <f>VLOOKUP($A15,'Data shares'!$C:$FA,76)</f>
        <v>64125</v>
      </c>
      <c r="G15" s="87">
        <f>VLOOKUP(A15,'Data shares'!$C$2:$CA$220,77,0)</f>
        <v>5.4699999999999999E-2</v>
      </c>
      <c r="H15" s="86">
        <f>VLOOKUP($A15,'Data shares'!$C:$FA,90)</f>
        <v>325000</v>
      </c>
      <c r="I15" s="86">
        <f>VLOOKUP($A15,'Data shares'!$C:$FA,92)</f>
        <v>-3250</v>
      </c>
      <c r="J15" s="87">
        <f>VLOOKUP($A15,'Data shares'!$C:$FA,93)</f>
        <v>-9.9000000000000008E-3</v>
      </c>
      <c r="K15" s="86">
        <f>VLOOKUP($A15,'Data shares'!$C:$FA,94)</f>
        <v>225125</v>
      </c>
      <c r="L15" s="86">
        <f>VLOOKUP($A15,'Data shares'!$C:$FA,96)</f>
        <v>-22250</v>
      </c>
      <c r="M15" s="87">
        <f>VLOOKUP($A15,'Data shares'!$C:$FA,97)</f>
        <v>-8.9899999999999994E-2</v>
      </c>
      <c r="N15" s="86">
        <f>VLOOKUP($A15,'Data shares'!$C:$FA,78)</f>
        <v>815500</v>
      </c>
      <c r="O15" s="87">
        <f>VLOOKUP($A15,'Data shares'!$C:$FA,81)</f>
        <v>-0.27450000000000002</v>
      </c>
    </row>
    <row r="16" spans="1:15" x14ac:dyDescent="0.25">
      <c r="A16" s="100" t="str">
        <f>'Data Vlaue (Cr)'!C11</f>
        <v>AMBER</v>
      </c>
      <c r="B16" s="82">
        <f>VLOOKUP(A16,'Data shares'!$C$2:$CV$220,98,0)</f>
        <v>2873800</v>
      </c>
      <c r="C16" s="82">
        <f>VLOOKUP(A16,'Data shares'!$C$2:$CX$220,100,0)</f>
        <v>-92500</v>
      </c>
      <c r="D16" s="141">
        <f>VLOOKUP(A16,'Data shares'!$C$2:$CY$543,101,0)</f>
        <v>-3.1199999999999999E-2</v>
      </c>
      <c r="E16" s="86">
        <f>VLOOKUP($A16,'Data shares'!$C:$FA,74)</f>
        <v>1303700</v>
      </c>
      <c r="F16" s="86">
        <f>VLOOKUP($A16,'Data shares'!$C:$FA,76)</f>
        <v>-69700</v>
      </c>
      <c r="G16" s="87">
        <f>VLOOKUP(A16,'Data shares'!$C$2:$CA$220,77,0)</f>
        <v>-5.0700000000000002E-2</v>
      </c>
      <c r="H16" s="86">
        <f>VLOOKUP($A16,'Data shares'!$C:$FA,90)</f>
        <v>883400</v>
      </c>
      <c r="I16" s="86">
        <f>VLOOKUP($A16,'Data shares'!$C:$FA,92)</f>
        <v>-29700</v>
      </c>
      <c r="J16" s="87">
        <f>VLOOKUP($A16,'Data shares'!$C:$FA,93)</f>
        <v>-3.2500000000000001E-2</v>
      </c>
      <c r="K16" s="86">
        <f>VLOOKUP($A16,'Data shares'!$C:$FA,94)</f>
        <v>686700</v>
      </c>
      <c r="L16" s="86">
        <f>VLOOKUP($A16,'Data shares'!$C:$FA,96)</f>
        <v>6900</v>
      </c>
      <c r="M16" s="87">
        <f>VLOOKUP($A16,'Data shares'!$C:$FA,97)</f>
        <v>1.0200000000000001E-2</v>
      </c>
      <c r="N16" s="86">
        <f>VLOOKUP($A16,'Data shares'!$C:$FA,78)</f>
        <v>849500</v>
      </c>
      <c r="O16" s="87">
        <f>VLOOKUP($A16,'Data shares'!$C:$FA,81)</f>
        <v>-0.26369999999999999</v>
      </c>
    </row>
    <row r="17" spans="1:15" x14ac:dyDescent="0.25">
      <c r="A17" s="100" t="str">
        <f>'Data Vlaue (Cr)'!C12</f>
        <v>AMBUJACEM</v>
      </c>
      <c r="B17" s="82">
        <f>VLOOKUP(A17,'Data shares'!$C$2:$CV$220,98,0)</f>
        <v>80059350</v>
      </c>
      <c r="C17" s="82">
        <f>VLOOKUP(A17,'Data shares'!$C$2:$CX$220,100,0)</f>
        <v>816900</v>
      </c>
      <c r="D17" s="141">
        <f>VLOOKUP(A17,'Data shares'!$C$2:$CY$543,101,0)</f>
        <v>1.03E-2</v>
      </c>
      <c r="E17" s="86">
        <f>VLOOKUP($A17,'Data shares'!$C:$FA,74)</f>
        <v>60545100</v>
      </c>
      <c r="F17" s="86">
        <f>VLOOKUP($A17,'Data shares'!$C:$FA,76)</f>
        <v>213150</v>
      </c>
      <c r="G17" s="87">
        <f>VLOOKUP(A17,'Data shares'!$C$2:$CA$220,77,0)</f>
        <v>3.5000000000000001E-3</v>
      </c>
      <c r="H17" s="86">
        <f>VLOOKUP($A17,'Data shares'!$C:$FA,90)</f>
        <v>10616550</v>
      </c>
      <c r="I17" s="86">
        <f>VLOOKUP($A17,'Data shares'!$C:$FA,92)</f>
        <v>796950</v>
      </c>
      <c r="J17" s="87">
        <f>VLOOKUP($A17,'Data shares'!$C:$FA,93)</f>
        <v>8.1199999999999994E-2</v>
      </c>
      <c r="K17" s="86">
        <f>VLOOKUP($A17,'Data shares'!$C:$FA,94)</f>
        <v>8897700</v>
      </c>
      <c r="L17" s="86">
        <f>VLOOKUP($A17,'Data shares'!$C:$FA,96)</f>
        <v>-193200</v>
      </c>
      <c r="M17" s="87">
        <f>VLOOKUP($A17,'Data shares'!$C:$FA,97)</f>
        <v>-2.1299999999999999E-2</v>
      </c>
      <c r="N17" s="86">
        <f>VLOOKUP($A17,'Data shares'!$C:$FA,78)</f>
        <v>28930650</v>
      </c>
      <c r="O17" s="87">
        <f>VLOOKUP($A17,'Data shares'!$C:$FA,81)</f>
        <v>-0.26519999999999999</v>
      </c>
    </row>
    <row r="18" spans="1:15" x14ac:dyDescent="0.25">
      <c r="A18" s="100" t="str">
        <f>'Data Vlaue (Cr)'!C13</f>
        <v>ANGELONE</v>
      </c>
      <c r="B18" s="82">
        <f>VLOOKUP(A18,'Data shares'!$C$2:$CV$220,98,0)</f>
        <v>87907500</v>
      </c>
      <c r="C18" s="82">
        <f>VLOOKUP(A18,'Data shares'!$C$2:$CX$220,100,0)</f>
        <v>-6822500</v>
      </c>
      <c r="D18" s="141">
        <f>VLOOKUP(A18,'Data shares'!$C$2:$CY$543,101,0)</f>
        <v>-7.1999999999999995E-2</v>
      </c>
      <c r="E18" s="86">
        <f>VLOOKUP($A18,'Data shares'!$C:$FA,74)</f>
        <v>27345000</v>
      </c>
      <c r="F18" s="86">
        <f>VLOOKUP($A18,'Data shares'!$C:$FA,76)</f>
        <v>-1507500</v>
      </c>
      <c r="G18" s="87">
        <f>VLOOKUP(A18,'Data shares'!$C$2:$CA$220,77,0)</f>
        <v>-5.2200000000000003E-2</v>
      </c>
      <c r="H18" s="86">
        <f>VLOOKUP($A18,'Data shares'!$C:$FA,90)</f>
        <v>29945000</v>
      </c>
      <c r="I18" s="86">
        <f>VLOOKUP($A18,'Data shares'!$C:$FA,92)</f>
        <v>-1012500</v>
      </c>
      <c r="J18" s="87">
        <f>VLOOKUP($A18,'Data shares'!$C:$FA,93)</f>
        <v>-3.27E-2</v>
      </c>
      <c r="K18" s="86">
        <f>VLOOKUP($A18,'Data shares'!$C:$FA,94)</f>
        <v>30617500</v>
      </c>
      <c r="L18" s="86">
        <f>VLOOKUP($A18,'Data shares'!$C:$FA,96)</f>
        <v>-4302500</v>
      </c>
      <c r="M18" s="87">
        <f>VLOOKUP($A18,'Data shares'!$C:$FA,97)</f>
        <v>-0.1232</v>
      </c>
      <c r="N18" s="86">
        <f>VLOOKUP($A18,'Data shares'!$C:$FA,78)</f>
        <v>16175000</v>
      </c>
      <c r="O18" s="87">
        <f>VLOOKUP($A18,'Data shares'!$C:$FA,81)</f>
        <v>-0.28889999999999999</v>
      </c>
    </row>
    <row r="19" spans="1:15" x14ac:dyDescent="0.25">
      <c r="A19" s="100" t="str">
        <f>'Data Vlaue (Cr)'!C14</f>
        <v>APLAPOLLO</v>
      </c>
      <c r="B19" s="82">
        <f>VLOOKUP(A19,'Data shares'!$C$2:$CV$220,98,0)</f>
        <v>7261100</v>
      </c>
      <c r="C19" s="82">
        <f>VLOOKUP(A19,'Data shares'!$C$2:$CX$220,100,0)</f>
        <v>315000</v>
      </c>
      <c r="D19" s="141">
        <f>VLOOKUP(A19,'Data shares'!$C$2:$CY$543,101,0)</f>
        <v>4.53E-2</v>
      </c>
      <c r="E19" s="86">
        <f>VLOOKUP($A19,'Data shares'!$C:$FA,74)</f>
        <v>4814250</v>
      </c>
      <c r="F19" s="86">
        <f>VLOOKUP($A19,'Data shares'!$C:$FA,76)</f>
        <v>25550</v>
      </c>
      <c r="G19" s="87">
        <f>VLOOKUP(A19,'Data shares'!$C$2:$CA$220,77,0)</f>
        <v>5.3E-3</v>
      </c>
      <c r="H19" s="86">
        <f>VLOOKUP($A19,'Data shares'!$C:$FA,90)</f>
        <v>1395100</v>
      </c>
      <c r="I19" s="86">
        <f>VLOOKUP($A19,'Data shares'!$C:$FA,92)</f>
        <v>102200</v>
      </c>
      <c r="J19" s="87">
        <f>VLOOKUP($A19,'Data shares'!$C:$FA,93)</f>
        <v>7.9000000000000001E-2</v>
      </c>
      <c r="K19" s="86">
        <f>VLOOKUP($A19,'Data shares'!$C:$FA,94)</f>
        <v>1051750</v>
      </c>
      <c r="L19" s="86">
        <f>VLOOKUP($A19,'Data shares'!$C:$FA,96)</f>
        <v>187250</v>
      </c>
      <c r="M19" s="87">
        <f>VLOOKUP($A19,'Data shares'!$C:$FA,97)</f>
        <v>0.21659999999999999</v>
      </c>
      <c r="N19" s="86">
        <f>VLOOKUP($A19,'Data shares'!$C:$FA,78)</f>
        <v>2315950</v>
      </c>
      <c r="O19" s="87">
        <f>VLOOKUP($A19,'Data shares'!$C:$FA,81)</f>
        <v>-0.42199999999999999</v>
      </c>
    </row>
    <row r="20" spans="1:15" x14ac:dyDescent="0.25">
      <c r="A20" s="100" t="str">
        <f>'Data Vlaue (Cr)'!C15</f>
        <v>APOLLOHOSP</v>
      </c>
      <c r="B20" s="82">
        <f>VLOOKUP(A20,'Data shares'!$C$2:$CV$220,98,0)</f>
        <v>3907500</v>
      </c>
      <c r="C20" s="82">
        <f>VLOOKUP(A20,'Data shares'!$C$2:$CX$220,100,0)</f>
        <v>-33625</v>
      </c>
      <c r="D20" s="141">
        <f>VLOOKUP(A20,'Data shares'!$C$2:$CY$543,101,0)</f>
        <v>-8.5000000000000006E-3</v>
      </c>
      <c r="E20" s="86">
        <f>VLOOKUP($A20,'Data shares'!$C:$FA,74)</f>
        <v>2116375</v>
      </c>
      <c r="F20" s="86">
        <f>VLOOKUP($A20,'Data shares'!$C:$FA,76)</f>
        <v>-36750</v>
      </c>
      <c r="G20" s="87">
        <f>VLOOKUP(A20,'Data shares'!$C$2:$CA$220,77,0)</f>
        <v>-1.7100000000000001E-2</v>
      </c>
      <c r="H20" s="86">
        <f>VLOOKUP($A20,'Data shares'!$C:$FA,90)</f>
        <v>840000</v>
      </c>
      <c r="I20" s="86">
        <f>VLOOKUP($A20,'Data shares'!$C:$FA,92)</f>
        <v>-80875</v>
      </c>
      <c r="J20" s="87">
        <f>VLOOKUP($A20,'Data shares'!$C:$FA,93)</f>
        <v>-8.7800000000000003E-2</v>
      </c>
      <c r="K20" s="86">
        <f>VLOOKUP($A20,'Data shares'!$C:$FA,94)</f>
        <v>951125</v>
      </c>
      <c r="L20" s="86">
        <f>VLOOKUP($A20,'Data shares'!$C:$FA,96)</f>
        <v>84000</v>
      </c>
      <c r="M20" s="87">
        <f>VLOOKUP($A20,'Data shares'!$C:$FA,97)</f>
        <v>9.69E-2</v>
      </c>
      <c r="N20" s="86">
        <f>VLOOKUP($A20,'Data shares'!$C:$FA,78)</f>
        <v>1355625</v>
      </c>
      <c r="O20" s="87">
        <f>VLOOKUP($A20,'Data shares'!$C:$FA,81)</f>
        <v>-0.25430000000000003</v>
      </c>
    </row>
    <row r="21" spans="1:15" x14ac:dyDescent="0.25">
      <c r="A21" s="100" t="str">
        <f>'Data Vlaue (Cr)'!C16</f>
        <v>ASHOKLEY</v>
      </c>
      <c r="B21" s="82">
        <f>VLOOKUP(A21,'Data shares'!$C$2:$CV$220,98,0)</f>
        <v>328660000</v>
      </c>
      <c r="C21" s="82">
        <f>VLOOKUP(A21,'Data shares'!$C$2:$CX$220,100,0)</f>
        <v>15725000</v>
      </c>
      <c r="D21" s="141">
        <f>VLOOKUP(A21,'Data shares'!$C$2:$CY$543,101,0)</f>
        <v>5.0299999999999997E-2</v>
      </c>
      <c r="E21" s="86">
        <f>VLOOKUP($A21,'Data shares'!$C:$FA,74)</f>
        <v>146220000</v>
      </c>
      <c r="F21" s="86">
        <f>VLOOKUP($A21,'Data shares'!$C:$FA,76)</f>
        <v>1570000</v>
      </c>
      <c r="G21" s="87">
        <f>VLOOKUP(A21,'Data shares'!$C$2:$CA$220,77,0)</f>
        <v>1.09E-2</v>
      </c>
      <c r="H21" s="86">
        <f>VLOOKUP($A21,'Data shares'!$C:$FA,90)</f>
        <v>111885000</v>
      </c>
      <c r="I21" s="86">
        <f>VLOOKUP($A21,'Data shares'!$C:$FA,92)</f>
        <v>12420000</v>
      </c>
      <c r="J21" s="87">
        <f>VLOOKUP($A21,'Data shares'!$C:$FA,93)</f>
        <v>0.1249</v>
      </c>
      <c r="K21" s="86">
        <f>VLOOKUP($A21,'Data shares'!$C:$FA,94)</f>
        <v>70555000</v>
      </c>
      <c r="L21" s="86">
        <f>VLOOKUP($A21,'Data shares'!$C:$FA,96)</f>
        <v>1735000</v>
      </c>
      <c r="M21" s="87">
        <f>VLOOKUP($A21,'Data shares'!$C:$FA,97)</f>
        <v>2.52E-2</v>
      </c>
      <c r="N21" s="86">
        <f>VLOOKUP($A21,'Data shares'!$C:$FA,78)</f>
        <v>89360000</v>
      </c>
      <c r="O21" s="87">
        <f>VLOOKUP($A21,'Data shares'!$C:$FA,81)</f>
        <v>-0.24610000000000001</v>
      </c>
    </row>
    <row r="22" spans="1:15" x14ac:dyDescent="0.25">
      <c r="A22" s="100" t="str">
        <f>'Data Vlaue (Cr)'!C17</f>
        <v>ASIANPAINT</v>
      </c>
      <c r="B22" s="82">
        <f>VLOOKUP(A22,'Data shares'!$C$2:$CV$220,98,0)</f>
        <v>25227750</v>
      </c>
      <c r="C22" s="82">
        <f>VLOOKUP(A22,'Data shares'!$C$2:$CX$220,100,0)</f>
        <v>-613250</v>
      </c>
      <c r="D22" s="141">
        <f>VLOOKUP(A22,'Data shares'!$C$2:$CY$543,101,0)</f>
        <v>-2.3699999999999999E-2</v>
      </c>
      <c r="E22" s="86">
        <f>VLOOKUP($A22,'Data shares'!$C:$FA,74)</f>
        <v>14343500</v>
      </c>
      <c r="F22" s="86">
        <f>VLOOKUP($A22,'Data shares'!$C:$FA,76)</f>
        <v>-100750</v>
      </c>
      <c r="G22" s="87">
        <f>VLOOKUP(A22,'Data shares'!$C$2:$CA$220,77,0)</f>
        <v>-7.0000000000000001E-3</v>
      </c>
      <c r="H22" s="86">
        <f>VLOOKUP($A22,'Data shares'!$C:$FA,90)</f>
        <v>5094000</v>
      </c>
      <c r="I22" s="86">
        <f>VLOOKUP($A22,'Data shares'!$C:$FA,92)</f>
        <v>24000</v>
      </c>
      <c r="J22" s="87">
        <f>VLOOKUP($A22,'Data shares'!$C:$FA,93)</f>
        <v>4.7000000000000002E-3</v>
      </c>
      <c r="K22" s="86">
        <f>VLOOKUP($A22,'Data shares'!$C:$FA,94)</f>
        <v>5790250</v>
      </c>
      <c r="L22" s="86">
        <f>VLOOKUP($A22,'Data shares'!$C:$FA,96)</f>
        <v>-536500</v>
      </c>
      <c r="M22" s="87">
        <f>VLOOKUP($A22,'Data shares'!$C:$FA,97)</f>
        <v>-8.48E-2</v>
      </c>
      <c r="N22" s="86">
        <f>VLOOKUP($A22,'Data shares'!$C:$FA,78)</f>
        <v>8633000</v>
      </c>
      <c r="O22" s="87">
        <f>VLOOKUP($A22,'Data shares'!$C:$FA,81)</f>
        <v>-0.25850000000000001</v>
      </c>
    </row>
    <row r="23" spans="1:15" x14ac:dyDescent="0.25">
      <c r="A23" s="100" t="str">
        <f>'Data Vlaue (Cr)'!C18</f>
        <v>ASTRAL</v>
      </c>
      <c r="B23" s="82">
        <f>VLOOKUP(A23,'Data shares'!$C$2:$CV$220,98,0)</f>
        <v>18219325</v>
      </c>
      <c r="C23" s="82">
        <f>VLOOKUP(A23,'Data shares'!$C$2:$CX$220,100,0)</f>
        <v>-2407200</v>
      </c>
      <c r="D23" s="141">
        <f>VLOOKUP(A23,'Data shares'!$C$2:$CY$543,101,0)</f>
        <v>-0.1167</v>
      </c>
      <c r="E23" s="86">
        <f>VLOOKUP($A23,'Data shares'!$C:$FA,74)</f>
        <v>13044950</v>
      </c>
      <c r="F23" s="86">
        <f>VLOOKUP($A23,'Data shares'!$C:$FA,76)</f>
        <v>-1876375</v>
      </c>
      <c r="G23" s="87">
        <f>VLOOKUP(A23,'Data shares'!$C$2:$CA$220,77,0)</f>
        <v>-0.1258</v>
      </c>
      <c r="H23" s="86">
        <f>VLOOKUP($A23,'Data shares'!$C:$FA,90)</f>
        <v>3057025</v>
      </c>
      <c r="I23" s="86">
        <f>VLOOKUP($A23,'Data shares'!$C:$FA,92)</f>
        <v>-460700</v>
      </c>
      <c r="J23" s="87">
        <f>VLOOKUP($A23,'Data shares'!$C:$FA,93)</f>
        <v>-0.13100000000000001</v>
      </c>
      <c r="K23" s="86">
        <f>VLOOKUP($A23,'Data shares'!$C:$FA,94)</f>
        <v>2117350</v>
      </c>
      <c r="L23" s="86">
        <f>VLOOKUP($A23,'Data shares'!$C:$FA,96)</f>
        <v>-70125</v>
      </c>
      <c r="M23" s="87">
        <f>VLOOKUP($A23,'Data shares'!$C:$FA,97)</f>
        <v>-3.2099999999999997E-2</v>
      </c>
      <c r="N23" s="86">
        <f>VLOOKUP($A23,'Data shares'!$C:$FA,78)</f>
        <v>6778750</v>
      </c>
      <c r="O23" s="87">
        <f>VLOOKUP($A23,'Data shares'!$C:$FA,81)</f>
        <v>-0.35460000000000003</v>
      </c>
    </row>
    <row r="24" spans="1:15" x14ac:dyDescent="0.25">
      <c r="A24" s="100" t="str">
        <f>'Data Vlaue (Cr)'!C19</f>
        <v>AUBANK</v>
      </c>
      <c r="B24" s="82">
        <f>VLOOKUP(A24,'Data shares'!$C$2:$CV$220,98,0)</f>
        <v>44555000</v>
      </c>
      <c r="C24" s="82">
        <f>VLOOKUP(A24,'Data shares'!$C$2:$CX$220,100,0)</f>
        <v>2468000</v>
      </c>
      <c r="D24" s="141">
        <f>VLOOKUP(A24,'Data shares'!$C$2:$CY$543,101,0)</f>
        <v>5.8599999999999999E-2</v>
      </c>
      <c r="E24" s="86">
        <f>VLOOKUP($A24,'Data shares'!$C:$FA,74)</f>
        <v>26278000</v>
      </c>
      <c r="F24" s="86">
        <f>VLOOKUP($A24,'Data shares'!$C:$FA,76)</f>
        <v>752000</v>
      </c>
      <c r="G24" s="87">
        <f>VLOOKUP(A24,'Data shares'!$C$2:$CA$220,77,0)</f>
        <v>2.9499999999999998E-2</v>
      </c>
      <c r="H24" s="86">
        <f>VLOOKUP($A24,'Data shares'!$C:$FA,90)</f>
        <v>10007000</v>
      </c>
      <c r="I24" s="86">
        <f>VLOOKUP($A24,'Data shares'!$C:$FA,92)</f>
        <v>1228000</v>
      </c>
      <c r="J24" s="87">
        <f>VLOOKUP($A24,'Data shares'!$C:$FA,93)</f>
        <v>0.1399</v>
      </c>
      <c r="K24" s="86">
        <f>VLOOKUP($A24,'Data shares'!$C:$FA,94)</f>
        <v>8270000</v>
      </c>
      <c r="L24" s="86">
        <f>VLOOKUP($A24,'Data shares'!$C:$FA,96)</f>
        <v>488000</v>
      </c>
      <c r="M24" s="87">
        <f>VLOOKUP($A24,'Data shares'!$C:$FA,97)</f>
        <v>6.2700000000000006E-2</v>
      </c>
      <c r="N24" s="86">
        <f>VLOOKUP($A24,'Data shares'!$C:$FA,78)</f>
        <v>16763000</v>
      </c>
      <c r="O24" s="87">
        <f>VLOOKUP($A24,'Data shares'!$C:$FA,81)</f>
        <v>-0.25669999999999998</v>
      </c>
    </row>
    <row r="25" spans="1:15" x14ac:dyDescent="0.25">
      <c r="A25" s="100" t="str">
        <f>'Data Vlaue (Cr)'!C20</f>
        <v>AUROPHARMA</v>
      </c>
      <c r="B25" s="82">
        <f>VLOOKUP(A25,'Data shares'!$C$2:$CV$220,98,0)</f>
        <v>30328100</v>
      </c>
      <c r="C25" s="82">
        <f>VLOOKUP(A25,'Data shares'!$C$2:$CX$220,100,0)</f>
        <v>908600</v>
      </c>
      <c r="D25" s="141">
        <f>VLOOKUP(A25,'Data shares'!$C$2:$CY$543,101,0)</f>
        <v>3.09E-2</v>
      </c>
      <c r="E25" s="86">
        <f>VLOOKUP($A25,'Data shares'!$C:$FA,74)</f>
        <v>22482350</v>
      </c>
      <c r="F25" s="86">
        <f>VLOOKUP($A25,'Data shares'!$C:$FA,76)</f>
        <v>496650</v>
      </c>
      <c r="G25" s="87">
        <f>VLOOKUP(A25,'Data shares'!$C$2:$CA$220,77,0)</f>
        <v>2.2599999999999999E-2</v>
      </c>
      <c r="H25" s="86">
        <f>VLOOKUP($A25,'Data shares'!$C:$FA,90)</f>
        <v>4470400</v>
      </c>
      <c r="I25" s="86">
        <f>VLOOKUP($A25,'Data shares'!$C:$FA,92)</f>
        <v>17050</v>
      </c>
      <c r="J25" s="87">
        <f>VLOOKUP($A25,'Data shares'!$C:$FA,93)</f>
        <v>3.8E-3</v>
      </c>
      <c r="K25" s="86">
        <f>VLOOKUP($A25,'Data shares'!$C:$FA,94)</f>
        <v>3375350</v>
      </c>
      <c r="L25" s="86">
        <f>VLOOKUP($A25,'Data shares'!$C:$FA,96)</f>
        <v>394900</v>
      </c>
      <c r="M25" s="87">
        <f>VLOOKUP($A25,'Data shares'!$C:$FA,97)</f>
        <v>0.13250000000000001</v>
      </c>
      <c r="N25" s="86">
        <f>VLOOKUP($A25,'Data shares'!$C:$FA,78)</f>
        <v>6822750</v>
      </c>
      <c r="O25" s="87">
        <f>VLOOKUP($A25,'Data shares'!$C:$FA,81)</f>
        <v>-0.29349999999999998</v>
      </c>
    </row>
    <row r="26" spans="1:15" x14ac:dyDescent="0.25">
      <c r="A26" s="100" t="str">
        <f>'Data Vlaue (Cr)'!C21</f>
        <v>AXISBANK</v>
      </c>
      <c r="B26" s="82">
        <f>VLOOKUP(A26,'Data shares'!$C$2:$CV$220,98,0)</f>
        <v>99314375</v>
      </c>
      <c r="C26" s="82">
        <f>VLOOKUP(A26,'Data shares'!$C$2:$CX$220,100,0)</f>
        <v>3390000</v>
      </c>
      <c r="D26" s="141">
        <f>VLOOKUP(A26,'Data shares'!$C$2:$CY$543,101,0)</f>
        <v>3.5299999999999998E-2</v>
      </c>
      <c r="E26" s="86">
        <f>VLOOKUP($A26,'Data shares'!$C:$FA,74)</f>
        <v>66256250</v>
      </c>
      <c r="F26" s="86">
        <f>VLOOKUP($A26,'Data shares'!$C:$FA,76)</f>
        <v>1918750</v>
      </c>
      <c r="G26" s="87">
        <f>VLOOKUP(A26,'Data shares'!$C$2:$CA$220,77,0)</f>
        <v>2.98E-2</v>
      </c>
      <c r="H26" s="86">
        <f>VLOOKUP($A26,'Data shares'!$C:$FA,90)</f>
        <v>18750625</v>
      </c>
      <c r="I26" s="86">
        <f>VLOOKUP($A26,'Data shares'!$C:$FA,92)</f>
        <v>1511250</v>
      </c>
      <c r="J26" s="87">
        <f>VLOOKUP($A26,'Data shares'!$C:$FA,93)</f>
        <v>8.77E-2</v>
      </c>
      <c r="K26" s="86">
        <f>VLOOKUP($A26,'Data shares'!$C:$FA,94)</f>
        <v>14307500</v>
      </c>
      <c r="L26" s="86">
        <f>VLOOKUP($A26,'Data shares'!$C:$FA,96)</f>
        <v>-40000</v>
      </c>
      <c r="M26" s="87">
        <f>VLOOKUP($A26,'Data shares'!$C:$FA,97)</f>
        <v>-2.8E-3</v>
      </c>
      <c r="N26" s="86">
        <f>VLOOKUP($A26,'Data shares'!$C:$FA,78)</f>
        <v>27733125</v>
      </c>
      <c r="O26" s="87">
        <f>VLOOKUP($A26,'Data shares'!$C:$FA,81)</f>
        <v>-0.3216</v>
      </c>
    </row>
    <row r="27" spans="1:15" x14ac:dyDescent="0.25">
      <c r="A27" s="100" t="str">
        <f>'Data Vlaue (Cr)'!C22</f>
        <v>BAJAJ-AUTO</v>
      </c>
      <c r="B27" s="82">
        <f>VLOOKUP(A27,'Data shares'!$C$2:$CV$220,98,0)</f>
        <v>5352075</v>
      </c>
      <c r="C27" s="82">
        <f>VLOOKUP(A27,'Data shares'!$C$2:$CX$220,100,0)</f>
        <v>-172050</v>
      </c>
      <c r="D27" s="141">
        <f>VLOOKUP(A27,'Data shares'!$C$2:$CY$543,101,0)</f>
        <v>-3.1099999999999999E-2</v>
      </c>
      <c r="E27" s="86">
        <f>VLOOKUP($A27,'Data shares'!$C:$FA,74)</f>
        <v>2833800</v>
      </c>
      <c r="F27" s="86">
        <f>VLOOKUP($A27,'Data shares'!$C:$FA,76)</f>
        <v>-238800</v>
      </c>
      <c r="G27" s="87">
        <f>VLOOKUP(A27,'Data shares'!$C$2:$CA$220,77,0)</f>
        <v>-7.7700000000000005E-2</v>
      </c>
      <c r="H27" s="86">
        <f>VLOOKUP($A27,'Data shares'!$C:$FA,90)</f>
        <v>1306200</v>
      </c>
      <c r="I27" s="86">
        <f>VLOOKUP($A27,'Data shares'!$C:$FA,92)</f>
        <v>-10800</v>
      </c>
      <c r="J27" s="87">
        <f>VLOOKUP($A27,'Data shares'!$C:$FA,93)</f>
        <v>-8.2000000000000007E-3</v>
      </c>
      <c r="K27" s="86">
        <f>VLOOKUP($A27,'Data shares'!$C:$FA,94)</f>
        <v>1212075</v>
      </c>
      <c r="L27" s="86">
        <f>VLOOKUP($A27,'Data shares'!$C:$FA,96)</f>
        <v>77550</v>
      </c>
      <c r="M27" s="87">
        <f>VLOOKUP($A27,'Data shares'!$C:$FA,97)</f>
        <v>6.8400000000000002E-2</v>
      </c>
      <c r="N27" s="86">
        <f>VLOOKUP($A27,'Data shares'!$C:$FA,78)</f>
        <v>1747950</v>
      </c>
      <c r="O27" s="87">
        <f>VLOOKUP($A27,'Data shares'!$C:$FA,81)</f>
        <v>-0.33040000000000003</v>
      </c>
    </row>
    <row r="28" spans="1:15" x14ac:dyDescent="0.25">
      <c r="A28" s="100" t="str">
        <f>'Data Vlaue (Cr)'!C23</f>
        <v>BAJAJFINSV</v>
      </c>
      <c r="B28" s="82">
        <f>VLOOKUP(A28,'Data shares'!$C$2:$CV$220,98,0)</f>
        <v>18712500</v>
      </c>
      <c r="C28" s="82">
        <f>VLOOKUP(A28,'Data shares'!$C$2:$CX$220,100,0)</f>
        <v>503750</v>
      </c>
      <c r="D28" s="141">
        <f>VLOOKUP(A28,'Data shares'!$C$2:$CY$543,101,0)</f>
        <v>2.7699999999999999E-2</v>
      </c>
      <c r="E28" s="86">
        <f>VLOOKUP($A28,'Data shares'!$C:$FA,74)</f>
        <v>10881750</v>
      </c>
      <c r="F28" s="86">
        <f>VLOOKUP($A28,'Data shares'!$C:$FA,76)</f>
        <v>-15250</v>
      </c>
      <c r="G28" s="87">
        <f>VLOOKUP(A28,'Data shares'!$C$2:$CA$220,77,0)</f>
        <v>-1.4E-3</v>
      </c>
      <c r="H28" s="86">
        <f>VLOOKUP($A28,'Data shares'!$C:$FA,90)</f>
        <v>4157750</v>
      </c>
      <c r="I28" s="86">
        <f>VLOOKUP($A28,'Data shares'!$C:$FA,92)</f>
        <v>466000</v>
      </c>
      <c r="J28" s="87">
        <f>VLOOKUP($A28,'Data shares'!$C:$FA,93)</f>
        <v>0.12620000000000001</v>
      </c>
      <c r="K28" s="86">
        <f>VLOOKUP($A28,'Data shares'!$C:$FA,94)</f>
        <v>3673000</v>
      </c>
      <c r="L28" s="86">
        <f>VLOOKUP($A28,'Data shares'!$C:$FA,96)</f>
        <v>53000</v>
      </c>
      <c r="M28" s="87">
        <f>VLOOKUP($A28,'Data shares'!$C:$FA,97)</f>
        <v>1.46E-2</v>
      </c>
      <c r="N28" s="86">
        <f>VLOOKUP($A28,'Data shares'!$C:$FA,78)</f>
        <v>6179750</v>
      </c>
      <c r="O28" s="87">
        <f>VLOOKUP($A28,'Data shares'!$C:$FA,81)</f>
        <v>-0.247</v>
      </c>
    </row>
    <row r="29" spans="1:15" x14ac:dyDescent="0.25">
      <c r="A29" s="100" t="str">
        <f>'Data Vlaue (Cr)'!C24</f>
        <v>BAJAJHLDNG</v>
      </c>
      <c r="B29" s="82">
        <f>VLOOKUP(A29,'Data shares'!$C$2:$CV$220,98,0)</f>
        <v>402250</v>
      </c>
      <c r="C29" s="82">
        <f>VLOOKUP(A29,'Data shares'!$C$2:$CX$220,100,0)</f>
        <v>-14000</v>
      </c>
      <c r="D29" s="141">
        <f>VLOOKUP(A29,'Data shares'!$C$2:$CY$543,101,0)</f>
        <v>-3.3599999999999998E-2</v>
      </c>
      <c r="E29" s="86">
        <f>VLOOKUP($A29,'Data shares'!$C:$FA,74)</f>
        <v>279800</v>
      </c>
      <c r="F29" s="86">
        <f>VLOOKUP($A29,'Data shares'!$C:$FA,76)</f>
        <v>-7200</v>
      </c>
      <c r="G29" s="87">
        <f>VLOOKUP(A29,'Data shares'!$C$2:$CA$220,77,0)</f>
        <v>-2.5100000000000001E-2</v>
      </c>
      <c r="H29" s="86">
        <f>VLOOKUP($A29,'Data shares'!$C:$FA,90)</f>
        <v>72450</v>
      </c>
      <c r="I29" s="86">
        <f>VLOOKUP($A29,'Data shares'!$C:$FA,92)</f>
        <v>-1450</v>
      </c>
      <c r="J29" s="87">
        <f>VLOOKUP($A29,'Data shares'!$C:$FA,93)</f>
        <v>-1.9599999999999999E-2</v>
      </c>
      <c r="K29" s="86">
        <f>VLOOKUP($A29,'Data shares'!$C:$FA,94)</f>
        <v>50000</v>
      </c>
      <c r="L29" s="86">
        <f>VLOOKUP($A29,'Data shares'!$C:$FA,96)</f>
        <v>-5350</v>
      </c>
      <c r="M29" s="87">
        <f>VLOOKUP($A29,'Data shares'!$C:$FA,97)</f>
        <v>-9.6699999999999994E-2</v>
      </c>
      <c r="N29" s="86">
        <f>VLOOKUP($A29,'Data shares'!$C:$FA,78)</f>
        <v>178400</v>
      </c>
      <c r="O29" s="87">
        <f>VLOOKUP($A29,'Data shares'!$C:$FA,81)</f>
        <v>-0.27379999999999999</v>
      </c>
    </row>
    <row r="30" spans="1:15" x14ac:dyDescent="0.25">
      <c r="A30" s="100" t="str">
        <f>'Data Vlaue (Cr)'!C25</f>
        <v>BAJFINANCE</v>
      </c>
      <c r="B30" s="82">
        <f>VLOOKUP(A30,'Data shares'!$C$2:$CV$220,98,0)</f>
        <v>112378500</v>
      </c>
      <c r="C30" s="82">
        <f>VLOOKUP(A30,'Data shares'!$C$2:$CX$220,100,0)</f>
        <v>1102500</v>
      </c>
      <c r="D30" s="141">
        <f>VLOOKUP(A30,'Data shares'!$C$2:$CY$543,101,0)</f>
        <v>9.9000000000000008E-3</v>
      </c>
      <c r="E30" s="86">
        <f>VLOOKUP($A30,'Data shares'!$C:$FA,74)</f>
        <v>72369750</v>
      </c>
      <c r="F30" s="86">
        <f>VLOOKUP($A30,'Data shares'!$C:$FA,76)</f>
        <v>1779000</v>
      </c>
      <c r="G30" s="87">
        <f>VLOOKUP(A30,'Data shares'!$C$2:$CA$220,77,0)</f>
        <v>2.52E-2</v>
      </c>
      <c r="H30" s="86">
        <f>VLOOKUP($A30,'Data shares'!$C:$FA,90)</f>
        <v>22275750</v>
      </c>
      <c r="I30" s="86">
        <f>VLOOKUP($A30,'Data shares'!$C:$FA,92)</f>
        <v>-690000</v>
      </c>
      <c r="J30" s="87">
        <f>VLOOKUP($A30,'Data shares'!$C:$FA,93)</f>
        <v>-0.03</v>
      </c>
      <c r="K30" s="86">
        <f>VLOOKUP($A30,'Data shares'!$C:$FA,94)</f>
        <v>17733000</v>
      </c>
      <c r="L30" s="86">
        <f>VLOOKUP($A30,'Data shares'!$C:$FA,96)</f>
        <v>13500</v>
      </c>
      <c r="M30" s="87">
        <f>VLOOKUP($A30,'Data shares'!$C:$FA,97)</f>
        <v>8.0000000000000004E-4</v>
      </c>
      <c r="N30" s="86">
        <f>VLOOKUP($A30,'Data shares'!$C:$FA,78)</f>
        <v>41298750</v>
      </c>
      <c r="O30" s="87">
        <f>VLOOKUP($A30,'Data shares'!$C:$FA,81)</f>
        <v>-0.29389999999999999</v>
      </c>
    </row>
    <row r="31" spans="1:15" x14ac:dyDescent="0.25">
      <c r="A31" s="100" t="str">
        <f>'Data Vlaue (Cr)'!C26</f>
        <v>BANDHANBNK</v>
      </c>
      <c r="B31" s="82">
        <f>VLOOKUP(A31,'Data shares'!$C$2:$CV$220,98,0)</f>
        <v>138225600</v>
      </c>
      <c r="C31" s="82">
        <f>VLOOKUP(A31,'Data shares'!$C$2:$CX$220,100,0)</f>
        <v>381600</v>
      </c>
      <c r="D31" s="141">
        <f>VLOOKUP(A31,'Data shares'!$C$2:$CY$543,101,0)</f>
        <v>2.8E-3</v>
      </c>
      <c r="E31" s="86">
        <f>VLOOKUP($A31,'Data shares'!$C:$FA,74)</f>
        <v>87976800</v>
      </c>
      <c r="F31" s="86">
        <f>VLOOKUP($A31,'Data shares'!$C:$FA,76)</f>
        <v>-284400</v>
      </c>
      <c r="G31" s="87">
        <f>VLOOKUP(A31,'Data shares'!$C$2:$CA$220,77,0)</f>
        <v>-3.2000000000000002E-3</v>
      </c>
      <c r="H31" s="86">
        <f>VLOOKUP($A31,'Data shares'!$C:$FA,90)</f>
        <v>29606400</v>
      </c>
      <c r="I31" s="86">
        <f>VLOOKUP($A31,'Data shares'!$C:$FA,92)</f>
        <v>360000</v>
      </c>
      <c r="J31" s="87">
        <f>VLOOKUP($A31,'Data shares'!$C:$FA,93)</f>
        <v>1.23E-2</v>
      </c>
      <c r="K31" s="86">
        <f>VLOOKUP($A31,'Data shares'!$C:$FA,94)</f>
        <v>20642400</v>
      </c>
      <c r="L31" s="86">
        <f>VLOOKUP($A31,'Data shares'!$C:$FA,96)</f>
        <v>306000</v>
      </c>
      <c r="M31" s="87">
        <f>VLOOKUP($A31,'Data shares'!$C:$FA,97)</f>
        <v>1.4999999999999999E-2</v>
      </c>
      <c r="N31" s="86">
        <f>VLOOKUP($A31,'Data shares'!$C:$FA,78)</f>
        <v>51760800</v>
      </c>
      <c r="O31" s="87">
        <f>VLOOKUP($A31,'Data shares'!$C:$FA,81)</f>
        <v>-0.1898</v>
      </c>
    </row>
    <row r="32" spans="1:15" x14ac:dyDescent="0.25">
      <c r="A32" s="100" t="str">
        <f>'Data Vlaue (Cr)'!C27</f>
        <v>BANKBARODA</v>
      </c>
      <c r="B32" s="82">
        <f>VLOOKUP(A32,'Data shares'!$C$2:$CV$220,98,0)</f>
        <v>204516000</v>
      </c>
      <c r="C32" s="82">
        <f>VLOOKUP(A32,'Data shares'!$C$2:$CX$220,100,0)</f>
        <v>12150450</v>
      </c>
      <c r="D32" s="141">
        <f>VLOOKUP(A32,'Data shares'!$C$2:$CY$543,101,0)</f>
        <v>6.3200000000000006E-2</v>
      </c>
      <c r="E32" s="86">
        <f>VLOOKUP($A32,'Data shares'!$C:$FA,74)</f>
        <v>103685400</v>
      </c>
      <c r="F32" s="86">
        <f>VLOOKUP($A32,'Data shares'!$C:$FA,76)</f>
        <v>3703050</v>
      </c>
      <c r="G32" s="87">
        <f>VLOOKUP(A32,'Data shares'!$C$2:$CA$220,77,0)</f>
        <v>3.6999999999999998E-2</v>
      </c>
      <c r="H32" s="86">
        <f>VLOOKUP($A32,'Data shares'!$C:$FA,90)</f>
        <v>55539900</v>
      </c>
      <c r="I32" s="86">
        <f>VLOOKUP($A32,'Data shares'!$C:$FA,92)</f>
        <v>6788925</v>
      </c>
      <c r="J32" s="87">
        <f>VLOOKUP($A32,'Data shares'!$C:$FA,93)</f>
        <v>0.13930000000000001</v>
      </c>
      <c r="K32" s="86">
        <f>VLOOKUP($A32,'Data shares'!$C:$FA,94)</f>
        <v>45290700</v>
      </c>
      <c r="L32" s="86">
        <f>VLOOKUP($A32,'Data shares'!$C:$FA,96)</f>
        <v>1658475</v>
      </c>
      <c r="M32" s="87">
        <f>VLOOKUP($A32,'Data shares'!$C:$FA,97)</f>
        <v>3.7999999999999999E-2</v>
      </c>
      <c r="N32" s="86">
        <f>VLOOKUP($A32,'Data shares'!$C:$FA,78)</f>
        <v>58801275</v>
      </c>
      <c r="O32" s="87">
        <f>VLOOKUP($A32,'Data shares'!$C:$FA,81)</f>
        <v>-0.1908</v>
      </c>
    </row>
    <row r="33" spans="1:15" x14ac:dyDescent="0.25">
      <c r="A33" s="100" t="str">
        <f>'Data Vlaue (Cr)'!C28</f>
        <v>BANKINDIA</v>
      </c>
      <c r="B33" s="82">
        <f>VLOOKUP(A33,'Data shares'!$C$2:$CV$220,98,0)</f>
        <v>105840800</v>
      </c>
      <c r="C33" s="82">
        <f>VLOOKUP(A33,'Data shares'!$C$2:$CX$220,100,0)</f>
        <v>-3920800</v>
      </c>
      <c r="D33" s="141">
        <f>VLOOKUP(A33,'Data shares'!$C$2:$CY$543,101,0)</f>
        <v>-3.5700000000000003E-2</v>
      </c>
      <c r="E33" s="86">
        <f>VLOOKUP($A33,'Data shares'!$C:$FA,74)</f>
        <v>52712400</v>
      </c>
      <c r="F33" s="86">
        <f>VLOOKUP($A33,'Data shares'!$C:$FA,76)</f>
        <v>-3624400</v>
      </c>
      <c r="G33" s="87">
        <f>VLOOKUP(A33,'Data shares'!$C$2:$CA$220,77,0)</f>
        <v>-6.4299999999999996E-2</v>
      </c>
      <c r="H33" s="86">
        <f>VLOOKUP($A33,'Data shares'!$C:$FA,90)</f>
        <v>27892800</v>
      </c>
      <c r="I33" s="86">
        <f>VLOOKUP($A33,'Data shares'!$C:$FA,92)</f>
        <v>-296400</v>
      </c>
      <c r="J33" s="87">
        <f>VLOOKUP($A33,'Data shares'!$C:$FA,93)</f>
        <v>-1.0500000000000001E-2</v>
      </c>
      <c r="K33" s="86">
        <f>VLOOKUP($A33,'Data shares'!$C:$FA,94)</f>
        <v>25235600</v>
      </c>
      <c r="L33" s="86">
        <f>VLOOKUP($A33,'Data shares'!$C:$FA,96)</f>
        <v>0</v>
      </c>
      <c r="M33" s="87">
        <f>VLOOKUP($A33,'Data shares'!$C:$FA,97)</f>
        <v>0</v>
      </c>
      <c r="N33" s="86">
        <f>VLOOKUP($A33,'Data shares'!$C:$FA,78)</f>
        <v>27840800</v>
      </c>
      <c r="O33" s="87">
        <f>VLOOKUP($A33,'Data shares'!$C:$FA,81)</f>
        <v>-0.38069999999999998</v>
      </c>
    </row>
    <row r="34" spans="1:15" x14ac:dyDescent="0.25">
      <c r="A34" s="100" t="str">
        <f>'Data Vlaue (Cr)'!C29</f>
        <v>BANKNIFTY</v>
      </c>
      <c r="B34" s="82">
        <f>VLOOKUP(A34,'Data shares'!$C$2:$CV$220,98,0)</f>
        <v>45145020</v>
      </c>
      <c r="C34" s="82">
        <f>VLOOKUP(A34,'Data shares'!$C$2:$CX$220,100,0)</f>
        <v>1141890</v>
      </c>
      <c r="D34" s="141">
        <f>VLOOKUP(A34,'Data shares'!$C$2:$CY$543,101,0)</f>
        <v>2.5999999999999999E-2</v>
      </c>
      <c r="E34" s="86">
        <f>VLOOKUP($A34,'Data shares'!$C:$FA,74)</f>
        <v>2446620</v>
      </c>
      <c r="F34" s="86">
        <f>VLOOKUP($A34,'Data shares'!$C:$FA,76)</f>
        <v>71850</v>
      </c>
      <c r="G34" s="87">
        <f>VLOOKUP(A34,'Data shares'!$C$2:$CA$220,77,0)</f>
        <v>3.0300000000000001E-2</v>
      </c>
      <c r="H34" s="86">
        <f>VLOOKUP($A34,'Data shares'!$C:$FA,90)</f>
        <v>22326720</v>
      </c>
      <c r="I34" s="86">
        <f>VLOOKUP($A34,'Data shares'!$C:$FA,92)</f>
        <v>1457160</v>
      </c>
      <c r="J34" s="87">
        <f>VLOOKUP($A34,'Data shares'!$C:$FA,93)</f>
        <v>6.9800000000000001E-2</v>
      </c>
      <c r="K34" s="86">
        <f>VLOOKUP($A34,'Data shares'!$C:$FA,94)</f>
        <v>20371680</v>
      </c>
      <c r="L34" s="86">
        <f>VLOOKUP($A34,'Data shares'!$C:$FA,96)</f>
        <v>-387120</v>
      </c>
      <c r="M34" s="87">
        <f>VLOOKUP($A34,'Data shares'!$C:$FA,97)</f>
        <v>-1.8599999999999998E-2</v>
      </c>
      <c r="N34" s="86">
        <f>VLOOKUP($A34,'Data shares'!$C:$FA,78)</f>
        <v>1548360</v>
      </c>
      <c r="O34" s="87">
        <f>VLOOKUP($A34,'Data shares'!$C:$FA,81)</f>
        <v>-8.3699999999999997E-2</v>
      </c>
    </row>
    <row r="35" spans="1:15" x14ac:dyDescent="0.25">
      <c r="A35" s="100" t="str">
        <f>'Data Vlaue (Cr)'!C30</f>
        <v>BDL</v>
      </c>
      <c r="B35" s="82">
        <f>VLOOKUP(A35,'Data shares'!$C$2:$CV$220,98,0)</f>
        <v>11016950</v>
      </c>
      <c r="C35" s="82">
        <f>VLOOKUP(A35,'Data shares'!$C$2:$CX$220,100,0)</f>
        <v>430500</v>
      </c>
      <c r="D35" s="141">
        <f>VLOOKUP(A35,'Data shares'!$C$2:$CY$543,101,0)</f>
        <v>4.07E-2</v>
      </c>
      <c r="E35" s="86">
        <f>VLOOKUP($A35,'Data shares'!$C:$FA,74)</f>
        <v>4210850</v>
      </c>
      <c r="F35" s="86">
        <f>VLOOKUP($A35,'Data shares'!$C:$FA,76)</f>
        <v>-54950</v>
      </c>
      <c r="G35" s="87">
        <f>VLOOKUP(A35,'Data shares'!$C$2:$CA$220,77,0)</f>
        <v>-1.29E-2</v>
      </c>
      <c r="H35" s="86">
        <f>VLOOKUP($A35,'Data shares'!$C:$FA,90)</f>
        <v>3695300</v>
      </c>
      <c r="I35" s="86">
        <f>VLOOKUP($A35,'Data shares'!$C:$FA,92)</f>
        <v>203000</v>
      </c>
      <c r="J35" s="87">
        <f>VLOOKUP($A35,'Data shares'!$C:$FA,93)</f>
        <v>5.8099999999999999E-2</v>
      </c>
      <c r="K35" s="86">
        <f>VLOOKUP($A35,'Data shares'!$C:$FA,94)</f>
        <v>3110800</v>
      </c>
      <c r="L35" s="86">
        <f>VLOOKUP($A35,'Data shares'!$C:$FA,96)</f>
        <v>282450</v>
      </c>
      <c r="M35" s="87">
        <f>VLOOKUP($A35,'Data shares'!$C:$FA,97)</f>
        <v>9.9900000000000003E-2</v>
      </c>
      <c r="N35" s="86">
        <f>VLOOKUP($A35,'Data shares'!$C:$FA,78)</f>
        <v>2237900</v>
      </c>
      <c r="O35" s="87">
        <f>VLOOKUP($A35,'Data shares'!$C:$FA,81)</f>
        <v>-0.26240000000000002</v>
      </c>
    </row>
    <row r="36" spans="1:15" x14ac:dyDescent="0.25">
      <c r="A36" s="100" t="str">
        <f>'Data Vlaue (Cr)'!C31</f>
        <v>BEL</v>
      </c>
      <c r="B36" s="82">
        <f>VLOOKUP(A36,'Data shares'!$C$2:$CV$220,98,0)</f>
        <v>188080050</v>
      </c>
      <c r="C36" s="82">
        <f>VLOOKUP(A36,'Data shares'!$C$2:$CX$220,100,0)</f>
        <v>400425</v>
      </c>
      <c r="D36" s="141">
        <f>VLOOKUP(A36,'Data shares'!$C$2:$CY$543,101,0)</f>
        <v>2.0999999999999999E-3</v>
      </c>
      <c r="E36" s="86">
        <f>VLOOKUP($A36,'Data shares'!$C:$FA,74)</f>
        <v>107292525</v>
      </c>
      <c r="F36" s="86">
        <f>VLOOKUP($A36,'Data shares'!$C:$FA,76)</f>
        <v>81225</v>
      </c>
      <c r="G36" s="87">
        <f>VLOOKUP(A36,'Data shares'!$C$2:$CA$220,77,0)</f>
        <v>8.0000000000000004E-4</v>
      </c>
      <c r="H36" s="86">
        <f>VLOOKUP($A36,'Data shares'!$C:$FA,90)</f>
        <v>48093750</v>
      </c>
      <c r="I36" s="86">
        <f>VLOOKUP($A36,'Data shares'!$C:$FA,92)</f>
        <v>688275</v>
      </c>
      <c r="J36" s="87">
        <f>VLOOKUP($A36,'Data shares'!$C:$FA,93)</f>
        <v>1.4500000000000001E-2</v>
      </c>
      <c r="K36" s="86">
        <f>VLOOKUP($A36,'Data shares'!$C:$FA,94)</f>
        <v>32693775</v>
      </c>
      <c r="L36" s="86">
        <f>VLOOKUP($A36,'Data shares'!$C:$FA,96)</f>
        <v>-369075</v>
      </c>
      <c r="M36" s="87">
        <f>VLOOKUP($A36,'Data shares'!$C:$FA,97)</f>
        <v>-1.12E-2</v>
      </c>
      <c r="N36" s="86">
        <f>VLOOKUP($A36,'Data shares'!$C:$FA,78)</f>
        <v>62137125</v>
      </c>
      <c r="O36" s="87">
        <f>VLOOKUP($A36,'Data shares'!$C:$FA,81)</f>
        <v>-0.2104</v>
      </c>
    </row>
    <row r="37" spans="1:15" x14ac:dyDescent="0.25">
      <c r="A37" s="100" t="str">
        <f>'Data Vlaue (Cr)'!C32</f>
        <v>BHARATFORG</v>
      </c>
      <c r="B37" s="82">
        <f>VLOOKUP(A37,'Data shares'!$C$2:$CV$220,98,0)</f>
        <v>16088000</v>
      </c>
      <c r="C37" s="82">
        <f>VLOOKUP(A37,'Data shares'!$C$2:$CX$220,100,0)</f>
        <v>1170500</v>
      </c>
      <c r="D37" s="141">
        <f>VLOOKUP(A37,'Data shares'!$C$2:$CY$543,101,0)</f>
        <v>7.85E-2</v>
      </c>
      <c r="E37" s="86">
        <f>VLOOKUP($A37,'Data shares'!$C:$FA,74)</f>
        <v>9616500</v>
      </c>
      <c r="F37" s="86">
        <f>VLOOKUP($A37,'Data shares'!$C:$FA,76)</f>
        <v>831500</v>
      </c>
      <c r="G37" s="87">
        <f>VLOOKUP(A37,'Data shares'!$C$2:$CA$220,77,0)</f>
        <v>9.4600000000000004E-2</v>
      </c>
      <c r="H37" s="86">
        <f>VLOOKUP($A37,'Data shares'!$C:$FA,90)</f>
        <v>3852500</v>
      </c>
      <c r="I37" s="86">
        <f>VLOOKUP($A37,'Data shares'!$C:$FA,92)</f>
        <v>184500</v>
      </c>
      <c r="J37" s="87">
        <f>VLOOKUP($A37,'Data shares'!$C:$FA,93)</f>
        <v>5.0299999999999997E-2</v>
      </c>
      <c r="K37" s="86">
        <f>VLOOKUP($A37,'Data shares'!$C:$FA,94)</f>
        <v>2619000</v>
      </c>
      <c r="L37" s="86">
        <f>VLOOKUP($A37,'Data shares'!$C:$FA,96)</f>
        <v>154500</v>
      </c>
      <c r="M37" s="87">
        <f>VLOOKUP($A37,'Data shares'!$C:$FA,97)</f>
        <v>6.2700000000000006E-2</v>
      </c>
      <c r="N37" s="86">
        <f>VLOOKUP($A37,'Data shares'!$C:$FA,78)</f>
        <v>6444000</v>
      </c>
      <c r="O37" s="87">
        <f>VLOOKUP($A37,'Data shares'!$C:$FA,81)</f>
        <v>-0.1643</v>
      </c>
    </row>
    <row r="38" spans="1:15" x14ac:dyDescent="0.25">
      <c r="A38" s="100" t="str">
        <f>'Data Vlaue (Cr)'!C33</f>
        <v>BHARTIARTL</v>
      </c>
      <c r="B38" s="82">
        <f>VLOOKUP(A38,'Data shares'!$C$2:$CV$220,98,0)</f>
        <v>84268800</v>
      </c>
      <c r="C38" s="82">
        <f>VLOOKUP(A38,'Data shares'!$C$2:$CX$220,100,0)</f>
        <v>-708225</v>
      </c>
      <c r="D38" s="141">
        <f>VLOOKUP(A38,'Data shares'!$C$2:$CY$543,101,0)</f>
        <v>-8.3000000000000001E-3</v>
      </c>
      <c r="E38" s="86">
        <f>VLOOKUP($A38,'Data shares'!$C:$FA,74)</f>
        <v>61524375</v>
      </c>
      <c r="F38" s="86">
        <f>VLOOKUP($A38,'Data shares'!$C:$FA,76)</f>
        <v>-119225</v>
      </c>
      <c r="G38" s="87">
        <f>VLOOKUP(A38,'Data shares'!$C$2:$CA$220,77,0)</f>
        <v>-1.9E-3</v>
      </c>
      <c r="H38" s="86">
        <f>VLOOKUP($A38,'Data shares'!$C:$FA,90)</f>
        <v>13862400</v>
      </c>
      <c r="I38" s="86">
        <f>VLOOKUP($A38,'Data shares'!$C:$FA,92)</f>
        <v>-359575</v>
      </c>
      <c r="J38" s="87">
        <f>VLOOKUP($A38,'Data shares'!$C:$FA,93)</f>
        <v>-2.53E-2</v>
      </c>
      <c r="K38" s="86">
        <f>VLOOKUP($A38,'Data shares'!$C:$FA,94)</f>
        <v>8882025</v>
      </c>
      <c r="L38" s="86">
        <f>VLOOKUP($A38,'Data shares'!$C:$FA,96)</f>
        <v>-229425</v>
      </c>
      <c r="M38" s="87">
        <f>VLOOKUP($A38,'Data shares'!$C:$FA,97)</f>
        <v>-2.52E-2</v>
      </c>
      <c r="N38" s="86">
        <f>VLOOKUP($A38,'Data shares'!$C:$FA,78)</f>
        <v>30165350</v>
      </c>
      <c r="O38" s="87">
        <f>VLOOKUP($A38,'Data shares'!$C:$FA,81)</f>
        <v>-0.2351</v>
      </c>
    </row>
    <row r="39" spans="1:15" x14ac:dyDescent="0.25">
      <c r="A39" s="100" t="str">
        <f>'Data Vlaue (Cr)'!C34</f>
        <v>BHEL</v>
      </c>
      <c r="B39" s="82">
        <f>VLOOKUP(A39,'Data shares'!$C$2:$CV$220,98,0)</f>
        <v>210228375</v>
      </c>
      <c r="C39" s="82">
        <f>VLOOKUP(A39,'Data shares'!$C$2:$CX$220,100,0)</f>
        <v>-1165500</v>
      </c>
      <c r="D39" s="141">
        <f>VLOOKUP(A39,'Data shares'!$C$2:$CY$543,101,0)</f>
        <v>-5.4999999999999997E-3</v>
      </c>
      <c r="E39" s="86">
        <f>VLOOKUP($A39,'Data shares'!$C:$FA,74)</f>
        <v>115332000</v>
      </c>
      <c r="F39" s="86">
        <f>VLOOKUP($A39,'Data shares'!$C:$FA,76)</f>
        <v>2370375</v>
      </c>
      <c r="G39" s="87">
        <f>VLOOKUP(A39,'Data shares'!$C$2:$CA$220,77,0)</f>
        <v>2.1000000000000001E-2</v>
      </c>
      <c r="H39" s="86">
        <f>VLOOKUP($A39,'Data shares'!$C:$FA,90)</f>
        <v>49746375</v>
      </c>
      <c r="I39" s="86">
        <f>VLOOKUP($A39,'Data shares'!$C:$FA,92)</f>
        <v>-3945375</v>
      </c>
      <c r="J39" s="87">
        <f>VLOOKUP($A39,'Data shares'!$C:$FA,93)</f>
        <v>-7.3499999999999996E-2</v>
      </c>
      <c r="K39" s="86">
        <f>VLOOKUP($A39,'Data shares'!$C:$FA,94)</f>
        <v>45150000</v>
      </c>
      <c r="L39" s="86">
        <f>VLOOKUP($A39,'Data shares'!$C:$FA,96)</f>
        <v>409500</v>
      </c>
      <c r="M39" s="87">
        <f>VLOOKUP($A39,'Data shares'!$C:$FA,97)</f>
        <v>9.1999999999999998E-3</v>
      </c>
      <c r="N39" s="86">
        <f>VLOOKUP($A39,'Data shares'!$C:$FA,78)</f>
        <v>71520750</v>
      </c>
      <c r="O39" s="87">
        <f>VLOOKUP($A39,'Data shares'!$C:$FA,81)</f>
        <v>-0.25700000000000001</v>
      </c>
    </row>
    <row r="40" spans="1:15" x14ac:dyDescent="0.25">
      <c r="A40" s="100" t="str">
        <f>'Data Vlaue (Cr)'!C35</f>
        <v>BIOCON</v>
      </c>
      <c r="B40" s="82">
        <f>VLOOKUP(A40,'Data shares'!$C$2:$CV$220,98,0)</f>
        <v>75197500</v>
      </c>
      <c r="C40" s="82">
        <f>VLOOKUP(A40,'Data shares'!$C$2:$CX$220,100,0)</f>
        <v>1772500</v>
      </c>
      <c r="D40" s="141">
        <f>VLOOKUP(A40,'Data shares'!$C$2:$CY$543,101,0)</f>
        <v>2.41E-2</v>
      </c>
      <c r="E40" s="86">
        <f>VLOOKUP($A40,'Data shares'!$C:$FA,74)</f>
        <v>36367500</v>
      </c>
      <c r="F40" s="86">
        <f>VLOOKUP($A40,'Data shares'!$C:$FA,76)</f>
        <v>752500</v>
      </c>
      <c r="G40" s="87">
        <f>VLOOKUP(A40,'Data shares'!$C$2:$CA$220,77,0)</f>
        <v>2.1100000000000001E-2</v>
      </c>
      <c r="H40" s="86">
        <f>VLOOKUP($A40,'Data shares'!$C:$FA,90)</f>
        <v>23957500</v>
      </c>
      <c r="I40" s="86">
        <f>VLOOKUP($A40,'Data shares'!$C:$FA,92)</f>
        <v>1330000</v>
      </c>
      <c r="J40" s="87">
        <f>VLOOKUP($A40,'Data shares'!$C:$FA,93)</f>
        <v>5.8799999999999998E-2</v>
      </c>
      <c r="K40" s="86">
        <f>VLOOKUP($A40,'Data shares'!$C:$FA,94)</f>
        <v>14872500</v>
      </c>
      <c r="L40" s="86">
        <f>VLOOKUP($A40,'Data shares'!$C:$FA,96)</f>
        <v>-310000</v>
      </c>
      <c r="M40" s="87">
        <f>VLOOKUP($A40,'Data shares'!$C:$FA,97)</f>
        <v>-2.0400000000000001E-2</v>
      </c>
      <c r="N40" s="86">
        <f>VLOOKUP($A40,'Data shares'!$C:$FA,78)</f>
        <v>24325000</v>
      </c>
      <c r="O40" s="87">
        <f>VLOOKUP($A40,'Data shares'!$C:$FA,81)</f>
        <v>-0.154</v>
      </c>
    </row>
    <row r="41" spans="1:15" x14ac:dyDescent="0.25">
      <c r="A41" s="100" t="str">
        <f>'Data Vlaue (Cr)'!C36</f>
        <v>BLUESTARCO</v>
      </c>
      <c r="B41" s="82">
        <f>VLOOKUP(A41,'Data shares'!$C$2:$CV$220,98,0)</f>
        <v>6435000</v>
      </c>
      <c r="C41" s="82">
        <f>VLOOKUP(A41,'Data shares'!$C$2:$CX$220,100,0)</f>
        <v>-589875</v>
      </c>
      <c r="D41" s="141">
        <f>VLOOKUP(A41,'Data shares'!$C$2:$CY$543,101,0)</f>
        <v>-8.4000000000000005E-2</v>
      </c>
      <c r="E41" s="86">
        <f>VLOOKUP($A41,'Data shares'!$C:$FA,74)</f>
        <v>3514875</v>
      </c>
      <c r="F41" s="86">
        <f>VLOOKUP($A41,'Data shares'!$C:$FA,76)</f>
        <v>-495625</v>
      </c>
      <c r="G41" s="87">
        <f>VLOOKUP(A41,'Data shares'!$C$2:$CA$220,77,0)</f>
        <v>-0.1236</v>
      </c>
      <c r="H41" s="86">
        <f>VLOOKUP($A41,'Data shares'!$C:$FA,90)</f>
        <v>1658475</v>
      </c>
      <c r="I41" s="86">
        <f>VLOOKUP($A41,'Data shares'!$C:$FA,92)</f>
        <v>-105625</v>
      </c>
      <c r="J41" s="87">
        <f>VLOOKUP($A41,'Data shares'!$C:$FA,93)</f>
        <v>-5.9900000000000002E-2</v>
      </c>
      <c r="K41" s="86">
        <f>VLOOKUP($A41,'Data shares'!$C:$FA,94)</f>
        <v>1261650</v>
      </c>
      <c r="L41" s="86">
        <f>VLOOKUP($A41,'Data shares'!$C:$FA,96)</f>
        <v>11375</v>
      </c>
      <c r="M41" s="87">
        <f>VLOOKUP($A41,'Data shares'!$C:$FA,97)</f>
        <v>9.1000000000000004E-3</v>
      </c>
      <c r="N41" s="86">
        <f>VLOOKUP($A41,'Data shares'!$C:$FA,78)</f>
        <v>1710150</v>
      </c>
      <c r="O41" s="87">
        <f>VLOOKUP($A41,'Data shares'!$C:$FA,81)</f>
        <v>-0.37780000000000002</v>
      </c>
    </row>
    <row r="42" spans="1:15" x14ac:dyDescent="0.25">
      <c r="A42" s="100" t="str">
        <f>'Data Vlaue (Cr)'!C37</f>
        <v>BOSCHLTD</v>
      </c>
      <c r="B42" s="82">
        <f>VLOOKUP(A42,'Data shares'!$C$2:$CV$220,98,0)</f>
        <v>707125</v>
      </c>
      <c r="C42" s="82">
        <f>VLOOKUP(A42,'Data shares'!$C$2:$CX$220,100,0)</f>
        <v>-37275</v>
      </c>
      <c r="D42" s="141">
        <f>VLOOKUP(A42,'Data shares'!$C$2:$CY$543,101,0)</f>
        <v>-5.0099999999999999E-2</v>
      </c>
      <c r="E42" s="86">
        <f>VLOOKUP($A42,'Data shares'!$C:$FA,74)</f>
        <v>271800</v>
      </c>
      <c r="F42" s="86">
        <f>VLOOKUP($A42,'Data shares'!$C:$FA,76)</f>
        <v>-2950</v>
      </c>
      <c r="G42" s="87">
        <f>VLOOKUP(A42,'Data shares'!$C$2:$CA$220,77,0)</f>
        <v>-1.0699999999999999E-2</v>
      </c>
      <c r="H42" s="86">
        <f>VLOOKUP($A42,'Data shares'!$C:$FA,90)</f>
        <v>218175</v>
      </c>
      <c r="I42" s="86">
        <f>VLOOKUP($A42,'Data shares'!$C:$FA,92)</f>
        <v>-24950</v>
      </c>
      <c r="J42" s="87">
        <f>VLOOKUP($A42,'Data shares'!$C:$FA,93)</f>
        <v>-0.1026</v>
      </c>
      <c r="K42" s="86">
        <f>VLOOKUP($A42,'Data shares'!$C:$FA,94)</f>
        <v>217150</v>
      </c>
      <c r="L42" s="86">
        <f>VLOOKUP($A42,'Data shares'!$C:$FA,96)</f>
        <v>-9375</v>
      </c>
      <c r="M42" s="87">
        <f>VLOOKUP($A42,'Data shares'!$C:$FA,97)</f>
        <v>-4.1399999999999999E-2</v>
      </c>
      <c r="N42" s="86">
        <f>VLOOKUP($A42,'Data shares'!$C:$FA,78)</f>
        <v>196000</v>
      </c>
      <c r="O42" s="87">
        <f>VLOOKUP($A42,'Data shares'!$C:$FA,81)</f>
        <v>-0.23180000000000001</v>
      </c>
    </row>
    <row r="43" spans="1:15" x14ac:dyDescent="0.25">
      <c r="A43" s="100" t="str">
        <f>'Data Vlaue (Cr)'!C38</f>
        <v>BPCL</v>
      </c>
      <c r="B43" s="82">
        <f>VLOOKUP(A43,'Data shares'!$C$2:$CV$220,98,0)</f>
        <v>107979175</v>
      </c>
      <c r="C43" s="82">
        <f>VLOOKUP(A43,'Data shares'!$C$2:$CX$220,100,0)</f>
        <v>49375</v>
      </c>
      <c r="D43" s="141">
        <f>VLOOKUP(A43,'Data shares'!$C$2:$CY$543,101,0)</f>
        <v>5.0000000000000001E-4</v>
      </c>
      <c r="E43" s="86">
        <f>VLOOKUP($A43,'Data shares'!$C:$FA,74)</f>
        <v>56014950</v>
      </c>
      <c r="F43" s="86">
        <f>VLOOKUP($A43,'Data shares'!$C:$FA,76)</f>
        <v>616200</v>
      </c>
      <c r="G43" s="87">
        <f>VLOOKUP(A43,'Data shares'!$C$2:$CA$220,77,0)</f>
        <v>1.11E-2</v>
      </c>
      <c r="H43" s="86">
        <f>VLOOKUP($A43,'Data shares'!$C:$FA,90)</f>
        <v>29931125</v>
      </c>
      <c r="I43" s="86">
        <f>VLOOKUP($A43,'Data shares'!$C:$FA,92)</f>
        <v>369325</v>
      </c>
      <c r="J43" s="87">
        <f>VLOOKUP($A43,'Data shares'!$C:$FA,93)</f>
        <v>1.2500000000000001E-2</v>
      </c>
      <c r="K43" s="86">
        <f>VLOOKUP($A43,'Data shares'!$C:$FA,94)</f>
        <v>22033100</v>
      </c>
      <c r="L43" s="86">
        <f>VLOOKUP($A43,'Data shares'!$C:$FA,96)</f>
        <v>-936150</v>
      </c>
      <c r="M43" s="87">
        <f>VLOOKUP($A43,'Data shares'!$C:$FA,97)</f>
        <v>-4.0800000000000003E-2</v>
      </c>
      <c r="N43" s="86">
        <f>VLOOKUP($A43,'Data shares'!$C:$FA,78)</f>
        <v>37301825</v>
      </c>
      <c r="O43" s="87">
        <f>VLOOKUP($A43,'Data shares'!$C:$FA,81)</f>
        <v>-0.19550000000000001</v>
      </c>
    </row>
    <row r="44" spans="1:15" x14ac:dyDescent="0.25">
      <c r="A44" s="100" t="str">
        <f>'Data Vlaue (Cr)'!C39</f>
        <v>BRITANNIA</v>
      </c>
      <c r="B44" s="82">
        <f>VLOOKUP(A44,'Data shares'!$C$2:$CV$220,98,0)</f>
        <v>4713500</v>
      </c>
      <c r="C44" s="82">
        <f>VLOOKUP(A44,'Data shares'!$C$2:$CX$220,100,0)</f>
        <v>-42125</v>
      </c>
      <c r="D44" s="141">
        <f>VLOOKUP(A44,'Data shares'!$C$2:$CY$543,101,0)</f>
        <v>-8.8999999999999999E-3</v>
      </c>
      <c r="E44" s="86">
        <f>VLOOKUP($A44,'Data shares'!$C:$FA,74)</f>
        <v>3050625</v>
      </c>
      <c r="F44" s="86">
        <f>VLOOKUP($A44,'Data shares'!$C:$FA,76)</f>
        <v>23375</v>
      </c>
      <c r="G44" s="87">
        <f>VLOOKUP(A44,'Data shares'!$C$2:$CA$220,77,0)</f>
        <v>7.7000000000000002E-3</v>
      </c>
      <c r="H44" s="86">
        <f>VLOOKUP($A44,'Data shares'!$C:$FA,90)</f>
        <v>956750</v>
      </c>
      <c r="I44" s="86">
        <f>VLOOKUP($A44,'Data shares'!$C:$FA,92)</f>
        <v>-57500</v>
      </c>
      <c r="J44" s="87">
        <f>VLOOKUP($A44,'Data shares'!$C:$FA,93)</f>
        <v>-5.67E-2</v>
      </c>
      <c r="K44" s="86">
        <f>VLOOKUP($A44,'Data shares'!$C:$FA,94)</f>
        <v>706125</v>
      </c>
      <c r="L44" s="86">
        <f>VLOOKUP($A44,'Data shares'!$C:$FA,96)</f>
        <v>-8000</v>
      </c>
      <c r="M44" s="87">
        <f>VLOOKUP($A44,'Data shares'!$C:$FA,97)</f>
        <v>-1.12E-2</v>
      </c>
      <c r="N44" s="86">
        <f>VLOOKUP($A44,'Data shares'!$C:$FA,78)</f>
        <v>1664250</v>
      </c>
      <c r="O44" s="87">
        <f>VLOOKUP($A44,'Data shares'!$C:$FA,81)</f>
        <v>-0.33829999999999999</v>
      </c>
    </row>
    <row r="45" spans="1:15" x14ac:dyDescent="0.25">
      <c r="A45" s="100" t="str">
        <f>'Data Vlaue (Cr)'!C40</f>
        <v>BSE</v>
      </c>
      <c r="B45" s="82">
        <f>VLOOKUP(A45,'Data shares'!$C$2:$CV$220,98,0)</f>
        <v>25542750</v>
      </c>
      <c r="C45" s="82">
        <f>VLOOKUP(A45,'Data shares'!$C$2:$CX$220,100,0)</f>
        <v>-770625</v>
      </c>
      <c r="D45" s="141">
        <f>VLOOKUP(A45,'Data shares'!$C$2:$CY$543,101,0)</f>
        <v>-2.93E-2</v>
      </c>
      <c r="E45" s="86">
        <f>VLOOKUP($A45,'Data shares'!$C:$FA,74)</f>
        <v>8585250</v>
      </c>
      <c r="F45" s="86">
        <f>VLOOKUP($A45,'Data shares'!$C:$FA,76)</f>
        <v>240000</v>
      </c>
      <c r="G45" s="87">
        <f>VLOOKUP(A45,'Data shares'!$C$2:$CA$220,77,0)</f>
        <v>2.8799999999999999E-2</v>
      </c>
      <c r="H45" s="86">
        <f>VLOOKUP($A45,'Data shares'!$C:$FA,90)</f>
        <v>8076000</v>
      </c>
      <c r="I45" s="86">
        <f>VLOOKUP($A45,'Data shares'!$C:$FA,92)</f>
        <v>-321375</v>
      </c>
      <c r="J45" s="87">
        <f>VLOOKUP($A45,'Data shares'!$C:$FA,93)</f>
        <v>-3.8300000000000001E-2</v>
      </c>
      <c r="K45" s="86">
        <f>VLOOKUP($A45,'Data shares'!$C:$FA,94)</f>
        <v>8881500</v>
      </c>
      <c r="L45" s="86">
        <f>VLOOKUP($A45,'Data shares'!$C:$FA,96)</f>
        <v>-689250</v>
      </c>
      <c r="M45" s="87">
        <f>VLOOKUP($A45,'Data shares'!$C:$FA,97)</f>
        <v>-7.1999999999999995E-2</v>
      </c>
      <c r="N45" s="86">
        <f>VLOOKUP($A45,'Data shares'!$C:$FA,78)</f>
        <v>5388750</v>
      </c>
      <c r="O45" s="87">
        <f>VLOOKUP($A45,'Data shares'!$C:$FA,81)</f>
        <v>-0.17910000000000001</v>
      </c>
    </row>
    <row r="46" spans="1:15" x14ac:dyDescent="0.25">
      <c r="A46" s="100" t="str">
        <f>'Data Vlaue (Cr)'!C41</f>
        <v>CAMS</v>
      </c>
      <c r="B46" s="82">
        <f>VLOOKUP(A46,'Data shares'!$C$2:$CV$220,98,0)</f>
        <v>14578500</v>
      </c>
      <c r="C46" s="82">
        <f>VLOOKUP(A46,'Data shares'!$C$2:$CX$220,100,0)</f>
        <v>708750</v>
      </c>
      <c r="D46" s="141">
        <f>VLOOKUP(A46,'Data shares'!$C$2:$CY$543,101,0)</f>
        <v>5.11E-2</v>
      </c>
      <c r="E46" s="86">
        <f>VLOOKUP($A46,'Data shares'!$C:$FA,74)</f>
        <v>7920750</v>
      </c>
      <c r="F46" s="86">
        <f>VLOOKUP($A46,'Data shares'!$C:$FA,76)</f>
        <v>-22500</v>
      </c>
      <c r="G46" s="87">
        <f>VLOOKUP(A46,'Data shares'!$C$2:$CA$220,77,0)</f>
        <v>-2.8E-3</v>
      </c>
      <c r="H46" s="86">
        <f>VLOOKUP($A46,'Data shares'!$C:$FA,90)</f>
        <v>3728250</v>
      </c>
      <c r="I46" s="86">
        <f>VLOOKUP($A46,'Data shares'!$C:$FA,92)</f>
        <v>413250</v>
      </c>
      <c r="J46" s="87">
        <f>VLOOKUP($A46,'Data shares'!$C:$FA,93)</f>
        <v>0.12470000000000001</v>
      </c>
      <c r="K46" s="86">
        <f>VLOOKUP($A46,'Data shares'!$C:$FA,94)</f>
        <v>2929500</v>
      </c>
      <c r="L46" s="86">
        <f>VLOOKUP($A46,'Data shares'!$C:$FA,96)</f>
        <v>318000</v>
      </c>
      <c r="M46" s="87">
        <f>VLOOKUP($A46,'Data shares'!$C:$FA,97)</f>
        <v>0.12180000000000001</v>
      </c>
      <c r="N46" s="86">
        <f>VLOOKUP($A46,'Data shares'!$C:$FA,78)</f>
        <v>4163250</v>
      </c>
      <c r="O46" s="87">
        <f>VLOOKUP($A46,'Data shares'!$C:$FA,81)</f>
        <v>-0.33129999999999998</v>
      </c>
    </row>
    <row r="47" spans="1:15" x14ac:dyDescent="0.25">
      <c r="A47" s="100" t="str">
        <f>'Data Vlaue (Cr)'!C42</f>
        <v>CANBK</v>
      </c>
      <c r="B47" s="82">
        <f>VLOOKUP(A47,'Data shares'!$C$2:$CV$220,98,0)</f>
        <v>376913250</v>
      </c>
      <c r="C47" s="82">
        <f>VLOOKUP(A47,'Data shares'!$C$2:$CX$220,100,0)</f>
        <v>8795250</v>
      </c>
      <c r="D47" s="141">
        <f>VLOOKUP(A47,'Data shares'!$C$2:$CY$543,101,0)</f>
        <v>2.3900000000000001E-2</v>
      </c>
      <c r="E47" s="86">
        <f>VLOOKUP($A47,'Data shares'!$C:$FA,74)</f>
        <v>208649250</v>
      </c>
      <c r="F47" s="86">
        <f>VLOOKUP($A47,'Data shares'!$C:$FA,76)</f>
        <v>6115500</v>
      </c>
      <c r="G47" s="87">
        <f>VLOOKUP(A47,'Data shares'!$C$2:$CA$220,77,0)</f>
        <v>3.0200000000000001E-2</v>
      </c>
      <c r="H47" s="86">
        <f>VLOOKUP($A47,'Data shares'!$C:$FA,90)</f>
        <v>89505000</v>
      </c>
      <c r="I47" s="86">
        <f>VLOOKUP($A47,'Data shares'!$C:$FA,92)</f>
        <v>4239000</v>
      </c>
      <c r="J47" s="87">
        <f>VLOOKUP($A47,'Data shares'!$C:$FA,93)</f>
        <v>4.9700000000000001E-2</v>
      </c>
      <c r="K47" s="86">
        <f>VLOOKUP($A47,'Data shares'!$C:$FA,94)</f>
        <v>78759000</v>
      </c>
      <c r="L47" s="86">
        <f>VLOOKUP($A47,'Data shares'!$C:$FA,96)</f>
        <v>-1559250</v>
      </c>
      <c r="M47" s="87">
        <f>VLOOKUP($A47,'Data shares'!$C:$FA,97)</f>
        <v>-1.9400000000000001E-2</v>
      </c>
      <c r="N47" s="86">
        <f>VLOOKUP($A47,'Data shares'!$C:$FA,78)</f>
        <v>102876750</v>
      </c>
      <c r="O47" s="87">
        <f>VLOOKUP($A47,'Data shares'!$C:$FA,81)</f>
        <v>-0.3024</v>
      </c>
    </row>
    <row r="48" spans="1:15" x14ac:dyDescent="0.25">
      <c r="A48" s="100" t="str">
        <f>'Data Vlaue (Cr)'!C43</f>
        <v>CDSL</v>
      </c>
      <c r="B48" s="82">
        <f>VLOOKUP(A48,'Data shares'!$C$2:$CV$220,98,0)</f>
        <v>23892975</v>
      </c>
      <c r="C48" s="82">
        <f>VLOOKUP(A48,'Data shares'!$C$2:$CX$220,100,0)</f>
        <v>-1729475</v>
      </c>
      <c r="D48" s="141">
        <f>VLOOKUP(A48,'Data shares'!$C$2:$CY$543,101,0)</f>
        <v>-6.7500000000000004E-2</v>
      </c>
      <c r="E48" s="86">
        <f>VLOOKUP($A48,'Data shares'!$C:$FA,74)</f>
        <v>12582750</v>
      </c>
      <c r="F48" s="86">
        <f>VLOOKUP($A48,'Data shares'!$C:$FA,76)</f>
        <v>-1646350</v>
      </c>
      <c r="G48" s="87">
        <f>VLOOKUP(A48,'Data shares'!$C$2:$CA$220,77,0)</f>
        <v>-0.1157</v>
      </c>
      <c r="H48" s="86">
        <f>VLOOKUP($A48,'Data shares'!$C:$FA,90)</f>
        <v>6237700</v>
      </c>
      <c r="I48" s="86">
        <f>VLOOKUP($A48,'Data shares'!$C:$FA,92)</f>
        <v>-75525</v>
      </c>
      <c r="J48" s="87">
        <f>VLOOKUP($A48,'Data shares'!$C:$FA,93)</f>
        <v>-1.2E-2</v>
      </c>
      <c r="K48" s="86">
        <f>VLOOKUP($A48,'Data shares'!$C:$FA,94)</f>
        <v>5072525</v>
      </c>
      <c r="L48" s="86">
        <f>VLOOKUP($A48,'Data shares'!$C:$FA,96)</f>
        <v>-7600</v>
      </c>
      <c r="M48" s="87">
        <f>VLOOKUP($A48,'Data shares'!$C:$FA,97)</f>
        <v>-1.5E-3</v>
      </c>
      <c r="N48" s="86">
        <f>VLOOKUP($A48,'Data shares'!$C:$FA,78)</f>
        <v>5620675</v>
      </c>
      <c r="O48" s="87">
        <f>VLOOKUP($A48,'Data shares'!$C:$FA,81)</f>
        <v>-0.35589999999999999</v>
      </c>
    </row>
    <row r="49" spans="1:15" x14ac:dyDescent="0.25">
      <c r="A49" s="100" t="str">
        <f>'Data Vlaue (Cr)'!C44</f>
        <v>CGPOWER</v>
      </c>
      <c r="B49" s="82">
        <f>VLOOKUP(A49,'Data shares'!$C$2:$CV$220,98,0)</f>
        <v>31773000</v>
      </c>
      <c r="C49" s="82">
        <f>VLOOKUP(A49,'Data shares'!$C$2:$CX$220,100,0)</f>
        <v>524450</v>
      </c>
      <c r="D49" s="141">
        <f>VLOOKUP(A49,'Data shares'!$C$2:$CY$543,101,0)</f>
        <v>1.6799999999999999E-2</v>
      </c>
      <c r="E49" s="86">
        <f>VLOOKUP($A49,'Data shares'!$C:$FA,74)</f>
        <v>20927850</v>
      </c>
      <c r="F49" s="86">
        <f>VLOOKUP($A49,'Data shares'!$C:$FA,76)</f>
        <v>-186150</v>
      </c>
      <c r="G49" s="87">
        <f>VLOOKUP(A49,'Data shares'!$C$2:$CA$220,77,0)</f>
        <v>-8.8000000000000005E-3</v>
      </c>
      <c r="H49" s="86">
        <f>VLOOKUP($A49,'Data shares'!$C:$FA,90)</f>
        <v>6249200</v>
      </c>
      <c r="I49" s="86">
        <f>VLOOKUP($A49,'Data shares'!$C:$FA,92)</f>
        <v>563550</v>
      </c>
      <c r="J49" s="87">
        <f>VLOOKUP($A49,'Data shares'!$C:$FA,93)</f>
        <v>9.9099999999999994E-2</v>
      </c>
      <c r="K49" s="86">
        <f>VLOOKUP($A49,'Data shares'!$C:$FA,94)</f>
        <v>4595950</v>
      </c>
      <c r="L49" s="86">
        <f>VLOOKUP($A49,'Data shares'!$C:$FA,96)</f>
        <v>147050</v>
      </c>
      <c r="M49" s="87">
        <f>VLOOKUP($A49,'Data shares'!$C:$FA,97)</f>
        <v>3.3099999999999997E-2</v>
      </c>
      <c r="N49" s="86">
        <f>VLOOKUP($A49,'Data shares'!$C:$FA,78)</f>
        <v>12046200</v>
      </c>
      <c r="O49" s="87">
        <f>VLOOKUP($A49,'Data shares'!$C:$FA,81)</f>
        <v>-0.3039</v>
      </c>
    </row>
    <row r="50" spans="1:15" x14ac:dyDescent="0.25">
      <c r="A50" s="100" t="str">
        <f>'Data Vlaue (Cr)'!C45</f>
        <v>CHOLAFIN</v>
      </c>
      <c r="B50" s="82">
        <f>VLOOKUP(A50,'Data shares'!$C$2:$CV$220,98,0)</f>
        <v>28812500</v>
      </c>
      <c r="C50" s="82">
        <f>VLOOKUP(A50,'Data shares'!$C$2:$CX$220,100,0)</f>
        <v>-391875</v>
      </c>
      <c r="D50" s="141">
        <f>VLOOKUP(A50,'Data shares'!$C$2:$CY$543,101,0)</f>
        <v>-1.34E-2</v>
      </c>
      <c r="E50" s="86">
        <f>VLOOKUP($A50,'Data shares'!$C:$FA,74)</f>
        <v>19493125</v>
      </c>
      <c r="F50" s="86">
        <f>VLOOKUP($A50,'Data shares'!$C:$FA,76)</f>
        <v>91250</v>
      </c>
      <c r="G50" s="87">
        <f>VLOOKUP(A50,'Data shares'!$C$2:$CA$220,77,0)</f>
        <v>4.7000000000000002E-3</v>
      </c>
      <c r="H50" s="86">
        <f>VLOOKUP($A50,'Data shares'!$C:$FA,90)</f>
        <v>5450625</v>
      </c>
      <c r="I50" s="86">
        <f>VLOOKUP($A50,'Data shares'!$C:$FA,92)</f>
        <v>-285000</v>
      </c>
      <c r="J50" s="87">
        <f>VLOOKUP($A50,'Data shares'!$C:$FA,93)</f>
        <v>-4.9700000000000001E-2</v>
      </c>
      <c r="K50" s="86">
        <f>VLOOKUP($A50,'Data shares'!$C:$FA,94)</f>
        <v>3868750</v>
      </c>
      <c r="L50" s="86">
        <f>VLOOKUP($A50,'Data shares'!$C:$FA,96)</f>
        <v>-198125</v>
      </c>
      <c r="M50" s="87">
        <f>VLOOKUP($A50,'Data shares'!$C:$FA,97)</f>
        <v>-4.87E-2</v>
      </c>
      <c r="N50" s="86">
        <f>VLOOKUP($A50,'Data shares'!$C:$FA,78)</f>
        <v>12688125</v>
      </c>
      <c r="O50" s="87">
        <f>VLOOKUP($A50,'Data shares'!$C:$FA,81)</f>
        <v>-0.26140000000000002</v>
      </c>
    </row>
    <row r="51" spans="1:15" x14ac:dyDescent="0.25">
      <c r="A51" s="100" t="str">
        <f>'Data Vlaue (Cr)'!C46</f>
        <v>CIPLA</v>
      </c>
      <c r="B51" s="82">
        <f>VLOOKUP(A51,'Data shares'!$C$2:$CV$220,98,0)</f>
        <v>25907250</v>
      </c>
      <c r="C51" s="82">
        <f>VLOOKUP(A51,'Data shares'!$C$2:$CX$220,100,0)</f>
        <v>1219125</v>
      </c>
      <c r="D51" s="141">
        <f>VLOOKUP(A51,'Data shares'!$C$2:$CY$543,101,0)</f>
        <v>4.9399999999999999E-2</v>
      </c>
      <c r="E51" s="86">
        <f>VLOOKUP($A51,'Data shares'!$C:$FA,74)</f>
        <v>15805875</v>
      </c>
      <c r="F51" s="86">
        <f>VLOOKUP($A51,'Data shares'!$C:$FA,76)</f>
        <v>-394875</v>
      </c>
      <c r="G51" s="87">
        <f>VLOOKUP(A51,'Data shares'!$C$2:$CA$220,77,0)</f>
        <v>-2.4400000000000002E-2</v>
      </c>
      <c r="H51" s="86">
        <f>VLOOKUP($A51,'Data shares'!$C:$FA,90)</f>
        <v>5112375</v>
      </c>
      <c r="I51" s="86">
        <f>VLOOKUP($A51,'Data shares'!$C:$FA,92)</f>
        <v>589125</v>
      </c>
      <c r="J51" s="87">
        <f>VLOOKUP($A51,'Data shares'!$C:$FA,93)</f>
        <v>0.13020000000000001</v>
      </c>
      <c r="K51" s="86">
        <f>VLOOKUP($A51,'Data shares'!$C:$FA,94)</f>
        <v>4989000</v>
      </c>
      <c r="L51" s="86">
        <f>VLOOKUP($A51,'Data shares'!$C:$FA,96)</f>
        <v>1024875</v>
      </c>
      <c r="M51" s="87">
        <f>VLOOKUP($A51,'Data shares'!$C:$FA,97)</f>
        <v>0.25850000000000001</v>
      </c>
      <c r="N51" s="86">
        <f>VLOOKUP($A51,'Data shares'!$C:$FA,78)</f>
        <v>7914750</v>
      </c>
      <c r="O51" s="87">
        <f>VLOOKUP($A51,'Data shares'!$C:$FA,81)</f>
        <v>-0.35920000000000002</v>
      </c>
    </row>
    <row r="52" spans="1:15" x14ac:dyDescent="0.25">
      <c r="A52" s="100" t="str">
        <f>'Data Vlaue (Cr)'!C47</f>
        <v>COALINDIA</v>
      </c>
      <c r="B52" s="82">
        <f>VLOOKUP(A52,'Data shares'!$C$2:$CV$220,98,0)</f>
        <v>130376250</v>
      </c>
      <c r="C52" s="82">
        <f>VLOOKUP(A52,'Data shares'!$C$2:$CX$220,100,0)</f>
        <v>-12143250</v>
      </c>
      <c r="D52" s="141">
        <f>VLOOKUP(A52,'Data shares'!$C$2:$CY$543,101,0)</f>
        <v>-8.5199999999999998E-2</v>
      </c>
      <c r="E52" s="86">
        <f>VLOOKUP($A52,'Data shares'!$C:$FA,74)</f>
        <v>64818900</v>
      </c>
      <c r="F52" s="86">
        <f>VLOOKUP($A52,'Data shares'!$C:$FA,76)</f>
        <v>-8059500</v>
      </c>
      <c r="G52" s="87">
        <f>VLOOKUP(A52,'Data shares'!$C$2:$CA$220,77,0)</f>
        <v>-0.1106</v>
      </c>
      <c r="H52" s="86">
        <f>VLOOKUP($A52,'Data shares'!$C:$FA,90)</f>
        <v>39000150</v>
      </c>
      <c r="I52" s="86">
        <f>VLOOKUP($A52,'Data shares'!$C:$FA,92)</f>
        <v>-3925800</v>
      </c>
      <c r="J52" s="87">
        <f>VLOOKUP($A52,'Data shares'!$C:$FA,93)</f>
        <v>-9.1499999999999998E-2</v>
      </c>
      <c r="K52" s="86">
        <f>VLOOKUP($A52,'Data shares'!$C:$FA,94)</f>
        <v>26557200</v>
      </c>
      <c r="L52" s="86">
        <f>VLOOKUP($A52,'Data shares'!$C:$FA,96)</f>
        <v>-157950</v>
      </c>
      <c r="M52" s="87">
        <f>VLOOKUP($A52,'Data shares'!$C:$FA,97)</f>
        <v>-5.8999999999999999E-3</v>
      </c>
      <c r="N52" s="86">
        <f>VLOOKUP($A52,'Data shares'!$C:$FA,78)</f>
        <v>40689000</v>
      </c>
      <c r="O52" s="87">
        <f>VLOOKUP($A52,'Data shares'!$C:$FA,81)</f>
        <v>-0.33500000000000002</v>
      </c>
    </row>
    <row r="53" spans="1:15" x14ac:dyDescent="0.25">
      <c r="A53" s="100" t="str">
        <f>'Data Vlaue (Cr)'!C48</f>
        <v>COCHINSHIP</v>
      </c>
      <c r="B53" s="82">
        <f>VLOOKUP(A53,'Data shares'!$C$2:$CV$220,98,0)</f>
        <v>3881600</v>
      </c>
      <c r="C53" s="82">
        <f>VLOOKUP(A53,'Data shares'!$C$2:$CX$220,100,0)</f>
        <v>-100800</v>
      </c>
      <c r="D53" s="141">
        <f>VLOOKUP(A53,'Data shares'!$C$2:$CY$543,101,0)</f>
        <v>-2.53E-2</v>
      </c>
      <c r="E53" s="86">
        <f>VLOOKUP($A53,'Data shares'!$C:$FA,74)</f>
        <v>2020800</v>
      </c>
      <c r="F53" s="86">
        <f>VLOOKUP($A53,'Data shares'!$C:$FA,76)</f>
        <v>-6000</v>
      </c>
      <c r="G53" s="87">
        <f>VLOOKUP(A53,'Data shares'!$C$2:$CA$220,77,0)</f>
        <v>-3.0000000000000001E-3</v>
      </c>
      <c r="H53" s="86">
        <f>VLOOKUP($A53,'Data shares'!$C:$FA,90)</f>
        <v>1111600</v>
      </c>
      <c r="I53" s="86">
        <f>VLOOKUP($A53,'Data shares'!$C:$FA,92)</f>
        <v>-91200</v>
      </c>
      <c r="J53" s="87">
        <f>VLOOKUP($A53,'Data shares'!$C:$FA,93)</f>
        <v>-7.5800000000000006E-2</v>
      </c>
      <c r="K53" s="86">
        <f>VLOOKUP($A53,'Data shares'!$C:$FA,94)</f>
        <v>749200</v>
      </c>
      <c r="L53" s="86">
        <f>VLOOKUP($A53,'Data shares'!$C:$FA,96)</f>
        <v>-3600</v>
      </c>
      <c r="M53" s="87">
        <f>VLOOKUP($A53,'Data shares'!$C:$FA,97)</f>
        <v>-4.7999999999999996E-3</v>
      </c>
      <c r="N53" s="86">
        <f>VLOOKUP($A53,'Data shares'!$C:$FA,78)</f>
        <v>1122400</v>
      </c>
      <c r="O53" s="87">
        <f>VLOOKUP($A53,'Data shares'!$C:$FA,81)</f>
        <v>-0.2147</v>
      </c>
    </row>
    <row r="54" spans="1:15" x14ac:dyDescent="0.25">
      <c r="A54" s="100" t="str">
        <f>'Data Vlaue (Cr)'!C49</f>
        <v>COFORGE</v>
      </c>
      <c r="B54" s="82">
        <f>VLOOKUP(A54,'Data shares'!$C$2:$CV$220,98,0)</f>
        <v>35113875</v>
      </c>
      <c r="C54" s="82">
        <f>VLOOKUP(A54,'Data shares'!$C$2:$CX$220,100,0)</f>
        <v>286500</v>
      </c>
      <c r="D54" s="141">
        <f>VLOOKUP(A54,'Data shares'!$C$2:$CY$543,101,0)</f>
        <v>8.2000000000000007E-3</v>
      </c>
      <c r="E54" s="86">
        <f>VLOOKUP($A54,'Data shares'!$C:$FA,74)</f>
        <v>20197125</v>
      </c>
      <c r="F54" s="86">
        <f>VLOOKUP($A54,'Data shares'!$C:$FA,76)</f>
        <v>113250</v>
      </c>
      <c r="G54" s="87">
        <f>VLOOKUP(A54,'Data shares'!$C$2:$CA$220,77,0)</f>
        <v>5.5999999999999999E-3</v>
      </c>
      <c r="H54" s="86">
        <f>VLOOKUP($A54,'Data shares'!$C:$FA,90)</f>
        <v>9695250</v>
      </c>
      <c r="I54" s="86">
        <f>VLOOKUP($A54,'Data shares'!$C:$FA,92)</f>
        <v>349500</v>
      </c>
      <c r="J54" s="87">
        <f>VLOOKUP($A54,'Data shares'!$C:$FA,93)</f>
        <v>3.7400000000000003E-2</v>
      </c>
      <c r="K54" s="86">
        <f>VLOOKUP($A54,'Data shares'!$C:$FA,94)</f>
        <v>5221500</v>
      </c>
      <c r="L54" s="86">
        <f>VLOOKUP($A54,'Data shares'!$C:$FA,96)</f>
        <v>-176250</v>
      </c>
      <c r="M54" s="87">
        <f>VLOOKUP($A54,'Data shares'!$C:$FA,97)</f>
        <v>-3.27E-2</v>
      </c>
      <c r="N54" s="86">
        <f>VLOOKUP($A54,'Data shares'!$C:$FA,78)</f>
        <v>11949375</v>
      </c>
      <c r="O54" s="87">
        <f>VLOOKUP($A54,'Data shares'!$C:$FA,81)</f>
        <v>-0.28010000000000002</v>
      </c>
    </row>
    <row r="55" spans="1:15" x14ac:dyDescent="0.25">
      <c r="A55" s="100" t="str">
        <f>'Data Vlaue (Cr)'!C50</f>
        <v>COLPAL</v>
      </c>
      <c r="B55" s="82">
        <f>VLOOKUP(A55,'Data shares'!$C$2:$CV$220,98,0)</f>
        <v>9758025</v>
      </c>
      <c r="C55" s="82">
        <f>VLOOKUP(A55,'Data shares'!$C$2:$CX$220,100,0)</f>
        <v>-270900</v>
      </c>
      <c r="D55" s="141">
        <f>VLOOKUP(A55,'Data shares'!$C$2:$CY$543,101,0)</f>
        <v>-2.7E-2</v>
      </c>
      <c r="E55" s="86">
        <f>VLOOKUP($A55,'Data shares'!$C:$FA,74)</f>
        <v>5360175</v>
      </c>
      <c r="F55" s="86">
        <f>VLOOKUP($A55,'Data shares'!$C:$FA,76)</f>
        <v>-391725</v>
      </c>
      <c r="G55" s="87">
        <f>VLOOKUP(A55,'Data shares'!$C$2:$CA$220,77,0)</f>
        <v>-6.8099999999999994E-2</v>
      </c>
      <c r="H55" s="86">
        <f>VLOOKUP($A55,'Data shares'!$C:$FA,90)</f>
        <v>2547000</v>
      </c>
      <c r="I55" s="86">
        <f>VLOOKUP($A55,'Data shares'!$C:$FA,92)</f>
        <v>3825</v>
      </c>
      <c r="J55" s="87">
        <f>VLOOKUP($A55,'Data shares'!$C:$FA,93)</f>
        <v>1.5E-3</v>
      </c>
      <c r="K55" s="86">
        <f>VLOOKUP($A55,'Data shares'!$C:$FA,94)</f>
        <v>1850850</v>
      </c>
      <c r="L55" s="86">
        <f>VLOOKUP($A55,'Data shares'!$C:$FA,96)</f>
        <v>117000</v>
      </c>
      <c r="M55" s="87">
        <f>VLOOKUP($A55,'Data shares'!$C:$FA,97)</f>
        <v>6.7500000000000004E-2</v>
      </c>
      <c r="N55" s="86">
        <f>VLOOKUP($A55,'Data shares'!$C:$FA,78)</f>
        <v>3547125</v>
      </c>
      <c r="O55" s="87">
        <f>VLOOKUP($A55,'Data shares'!$C:$FA,81)</f>
        <v>-0.29609999999999997</v>
      </c>
    </row>
    <row r="56" spans="1:15" x14ac:dyDescent="0.25">
      <c r="A56" s="100" t="str">
        <f>'Data Vlaue (Cr)'!C51</f>
        <v>CONCOR</v>
      </c>
      <c r="B56" s="82">
        <f>VLOOKUP(A56,'Data shares'!$C$2:$CV$220,98,0)</f>
        <v>39211250</v>
      </c>
      <c r="C56" s="82">
        <f>VLOOKUP(A56,'Data shares'!$C$2:$CX$220,100,0)</f>
        <v>-332500</v>
      </c>
      <c r="D56" s="141">
        <f>VLOOKUP(A56,'Data shares'!$C$2:$CY$543,101,0)</f>
        <v>-8.3999999999999995E-3</v>
      </c>
      <c r="E56" s="86">
        <f>VLOOKUP($A56,'Data shares'!$C:$FA,74)</f>
        <v>25723750</v>
      </c>
      <c r="F56" s="86">
        <f>VLOOKUP($A56,'Data shares'!$C:$FA,76)</f>
        <v>18750</v>
      </c>
      <c r="G56" s="87">
        <f>VLOOKUP(A56,'Data shares'!$C$2:$CA$220,77,0)</f>
        <v>6.9999999999999999E-4</v>
      </c>
      <c r="H56" s="86">
        <f>VLOOKUP($A56,'Data shares'!$C:$FA,90)</f>
        <v>8092500</v>
      </c>
      <c r="I56" s="86">
        <f>VLOOKUP($A56,'Data shares'!$C:$FA,92)</f>
        <v>-352500</v>
      </c>
      <c r="J56" s="87">
        <f>VLOOKUP($A56,'Data shares'!$C:$FA,93)</f>
        <v>-4.1700000000000001E-2</v>
      </c>
      <c r="K56" s="86">
        <f>VLOOKUP($A56,'Data shares'!$C:$FA,94)</f>
        <v>5395000</v>
      </c>
      <c r="L56" s="86">
        <f>VLOOKUP($A56,'Data shares'!$C:$FA,96)</f>
        <v>1250</v>
      </c>
      <c r="M56" s="87">
        <f>VLOOKUP($A56,'Data shares'!$C:$FA,97)</f>
        <v>2.0000000000000001E-4</v>
      </c>
      <c r="N56" s="86">
        <f>VLOOKUP($A56,'Data shares'!$C:$FA,78)</f>
        <v>17386250</v>
      </c>
      <c r="O56" s="87">
        <f>VLOOKUP($A56,'Data shares'!$C:$FA,81)</f>
        <v>-0.2087</v>
      </c>
    </row>
    <row r="57" spans="1:15" x14ac:dyDescent="0.25">
      <c r="A57" s="100" t="str">
        <f>'Data Vlaue (Cr)'!C52</f>
        <v>CROMPTON</v>
      </c>
      <c r="B57" s="82">
        <f>VLOOKUP(A57,'Data shares'!$C$2:$CV$220,98,0)</f>
        <v>64485000</v>
      </c>
      <c r="C57" s="82">
        <f>VLOOKUP(A57,'Data shares'!$C$2:$CX$220,100,0)</f>
        <v>-3420000</v>
      </c>
      <c r="D57" s="141">
        <f>VLOOKUP(A57,'Data shares'!$C$2:$CY$543,101,0)</f>
        <v>-5.04E-2</v>
      </c>
      <c r="E57" s="86">
        <f>VLOOKUP($A57,'Data shares'!$C:$FA,74)</f>
        <v>44362800</v>
      </c>
      <c r="F57" s="86">
        <f>VLOOKUP($A57,'Data shares'!$C:$FA,76)</f>
        <v>-793800</v>
      </c>
      <c r="G57" s="87">
        <f>VLOOKUP(A57,'Data shares'!$C$2:$CA$220,77,0)</f>
        <v>-1.7600000000000001E-2</v>
      </c>
      <c r="H57" s="86">
        <f>VLOOKUP($A57,'Data shares'!$C:$FA,90)</f>
        <v>12659400</v>
      </c>
      <c r="I57" s="86">
        <f>VLOOKUP($A57,'Data shares'!$C:$FA,92)</f>
        <v>-1812600</v>
      </c>
      <c r="J57" s="87">
        <f>VLOOKUP($A57,'Data shares'!$C:$FA,93)</f>
        <v>-0.12520000000000001</v>
      </c>
      <c r="K57" s="86">
        <f>VLOOKUP($A57,'Data shares'!$C:$FA,94)</f>
        <v>7462800</v>
      </c>
      <c r="L57" s="86">
        <f>VLOOKUP($A57,'Data shares'!$C:$FA,96)</f>
        <v>-813600</v>
      </c>
      <c r="M57" s="87">
        <f>VLOOKUP($A57,'Data shares'!$C:$FA,97)</f>
        <v>-9.8299999999999998E-2</v>
      </c>
      <c r="N57" s="86">
        <f>VLOOKUP($A57,'Data shares'!$C:$FA,78)</f>
        <v>27073800</v>
      </c>
      <c r="O57" s="87">
        <f>VLOOKUP($A57,'Data shares'!$C:$FA,81)</f>
        <v>-0.34910000000000002</v>
      </c>
    </row>
    <row r="58" spans="1:15" x14ac:dyDescent="0.25">
      <c r="A58" s="100" t="str">
        <f>'Data Vlaue (Cr)'!C53</f>
        <v>CUMMINSIND</v>
      </c>
      <c r="B58" s="82">
        <f>VLOOKUP(A58,'Data shares'!$C$2:$CV$220,98,0)</f>
        <v>6528000</v>
      </c>
      <c r="C58" s="82">
        <f>VLOOKUP(A58,'Data shares'!$C$2:$CX$220,100,0)</f>
        <v>-114800</v>
      </c>
      <c r="D58" s="141">
        <f>VLOOKUP(A58,'Data shares'!$C$2:$CY$543,101,0)</f>
        <v>-1.7299999999999999E-2</v>
      </c>
      <c r="E58" s="86">
        <f>VLOOKUP($A58,'Data shares'!$C:$FA,74)</f>
        <v>4126800</v>
      </c>
      <c r="F58" s="86">
        <f>VLOOKUP($A58,'Data shares'!$C:$FA,76)</f>
        <v>-19600</v>
      </c>
      <c r="G58" s="87">
        <f>VLOOKUP(A58,'Data shares'!$C$2:$CA$220,77,0)</f>
        <v>-4.7000000000000002E-3</v>
      </c>
      <c r="H58" s="86">
        <f>VLOOKUP($A58,'Data shares'!$C:$FA,90)</f>
        <v>1370600</v>
      </c>
      <c r="I58" s="86">
        <f>VLOOKUP($A58,'Data shares'!$C:$FA,92)</f>
        <v>-74200</v>
      </c>
      <c r="J58" s="87">
        <f>VLOOKUP($A58,'Data shares'!$C:$FA,93)</f>
        <v>-5.1400000000000001E-2</v>
      </c>
      <c r="K58" s="86">
        <f>VLOOKUP($A58,'Data shares'!$C:$FA,94)</f>
        <v>1030600</v>
      </c>
      <c r="L58" s="86">
        <f>VLOOKUP($A58,'Data shares'!$C:$FA,96)</f>
        <v>-21000</v>
      </c>
      <c r="M58" s="87">
        <f>VLOOKUP($A58,'Data shares'!$C:$FA,97)</f>
        <v>-0.02</v>
      </c>
      <c r="N58" s="86">
        <f>VLOOKUP($A58,'Data shares'!$C:$FA,78)</f>
        <v>2434400</v>
      </c>
      <c r="O58" s="87">
        <f>VLOOKUP($A58,'Data shares'!$C:$FA,81)</f>
        <v>-0.28920000000000001</v>
      </c>
    </row>
    <row r="59" spans="1:15" x14ac:dyDescent="0.25">
      <c r="A59" s="100" t="str">
        <f>'Data Vlaue (Cr)'!C54</f>
        <v>DABUR</v>
      </c>
      <c r="B59" s="82">
        <f>VLOOKUP(A59,'Data shares'!$C$2:$CV$220,98,0)</f>
        <v>49072500</v>
      </c>
      <c r="C59" s="82">
        <f>VLOOKUP(A59,'Data shares'!$C$2:$CX$220,100,0)</f>
        <v>195000</v>
      </c>
      <c r="D59" s="141">
        <f>VLOOKUP(A59,'Data shares'!$C$2:$CY$543,101,0)</f>
        <v>4.0000000000000001E-3</v>
      </c>
      <c r="E59" s="86">
        <f>VLOOKUP($A59,'Data shares'!$C:$FA,74)</f>
        <v>30071250</v>
      </c>
      <c r="F59" s="86">
        <f>VLOOKUP($A59,'Data shares'!$C:$FA,76)</f>
        <v>462500</v>
      </c>
      <c r="G59" s="87">
        <f>VLOOKUP(A59,'Data shares'!$C$2:$CA$220,77,0)</f>
        <v>1.5599999999999999E-2</v>
      </c>
      <c r="H59" s="86">
        <f>VLOOKUP($A59,'Data shares'!$C:$FA,90)</f>
        <v>10115000</v>
      </c>
      <c r="I59" s="86">
        <f>VLOOKUP($A59,'Data shares'!$C:$FA,92)</f>
        <v>-556250</v>
      </c>
      <c r="J59" s="87">
        <f>VLOOKUP($A59,'Data shares'!$C:$FA,93)</f>
        <v>-5.21E-2</v>
      </c>
      <c r="K59" s="86">
        <f>VLOOKUP($A59,'Data shares'!$C:$FA,94)</f>
        <v>8886250</v>
      </c>
      <c r="L59" s="86">
        <f>VLOOKUP($A59,'Data shares'!$C:$FA,96)</f>
        <v>288750</v>
      </c>
      <c r="M59" s="87">
        <f>VLOOKUP($A59,'Data shares'!$C:$FA,97)</f>
        <v>3.3599999999999998E-2</v>
      </c>
      <c r="N59" s="86">
        <f>VLOOKUP($A59,'Data shares'!$C:$FA,78)</f>
        <v>19536250</v>
      </c>
      <c r="O59" s="87">
        <f>VLOOKUP($A59,'Data shares'!$C:$FA,81)</f>
        <v>-0.27760000000000001</v>
      </c>
    </row>
    <row r="60" spans="1:15" x14ac:dyDescent="0.25">
      <c r="A60" s="100" t="str">
        <f>'Data Vlaue (Cr)'!C55</f>
        <v>DALBHARAT</v>
      </c>
      <c r="B60" s="82">
        <f>VLOOKUP(A60,'Data shares'!$C$2:$CV$220,98,0)</f>
        <v>4526275</v>
      </c>
      <c r="C60" s="82">
        <f>VLOOKUP(A60,'Data shares'!$C$2:$CX$220,100,0)</f>
        <v>-229775</v>
      </c>
      <c r="D60" s="141">
        <f>VLOOKUP(A60,'Data shares'!$C$2:$CY$543,101,0)</f>
        <v>-4.8300000000000003E-2</v>
      </c>
      <c r="E60" s="86">
        <f>VLOOKUP($A60,'Data shares'!$C:$FA,74)</f>
        <v>2453750</v>
      </c>
      <c r="F60" s="86">
        <f>VLOOKUP($A60,'Data shares'!$C:$FA,76)</f>
        <v>-41925</v>
      </c>
      <c r="G60" s="87">
        <f>VLOOKUP(A60,'Data shares'!$C$2:$CA$220,77,0)</f>
        <v>-1.6799999999999999E-2</v>
      </c>
      <c r="H60" s="86">
        <f>VLOOKUP($A60,'Data shares'!$C:$FA,90)</f>
        <v>1191775</v>
      </c>
      <c r="I60" s="86">
        <f>VLOOKUP($A60,'Data shares'!$C:$FA,92)</f>
        <v>-10400</v>
      </c>
      <c r="J60" s="87">
        <f>VLOOKUP($A60,'Data shares'!$C:$FA,93)</f>
        <v>-8.6999999999999994E-3</v>
      </c>
      <c r="K60" s="86">
        <f>VLOOKUP($A60,'Data shares'!$C:$FA,94)</f>
        <v>880750</v>
      </c>
      <c r="L60" s="86">
        <f>VLOOKUP($A60,'Data shares'!$C:$FA,96)</f>
        <v>-177450</v>
      </c>
      <c r="M60" s="87">
        <f>VLOOKUP($A60,'Data shares'!$C:$FA,97)</f>
        <v>-0.16769999999999999</v>
      </c>
      <c r="N60" s="86">
        <f>VLOOKUP($A60,'Data shares'!$C:$FA,78)</f>
        <v>1431950</v>
      </c>
      <c r="O60" s="87">
        <f>VLOOKUP($A60,'Data shares'!$C:$FA,81)</f>
        <v>-0.39369999999999999</v>
      </c>
    </row>
    <row r="61" spans="1:15" x14ac:dyDescent="0.25">
      <c r="A61" s="100" t="str">
        <f>'Data Vlaue (Cr)'!C56</f>
        <v>DELHIVERY</v>
      </c>
      <c r="B61" s="82">
        <f>VLOOKUP(A61,'Data shares'!$C$2:$CV$220,98,0)</f>
        <v>52877225</v>
      </c>
      <c r="C61" s="82">
        <f>VLOOKUP(A61,'Data shares'!$C$2:$CX$220,100,0)</f>
        <v>-1371575</v>
      </c>
      <c r="D61" s="141">
        <f>VLOOKUP(A61,'Data shares'!$C$2:$CY$543,101,0)</f>
        <v>-2.53E-2</v>
      </c>
      <c r="E61" s="86">
        <f>VLOOKUP($A61,'Data shares'!$C:$FA,74)</f>
        <v>31942550</v>
      </c>
      <c r="F61" s="86">
        <f>VLOOKUP($A61,'Data shares'!$C:$FA,76)</f>
        <v>300875</v>
      </c>
      <c r="G61" s="87">
        <f>VLOOKUP(A61,'Data shares'!$C$2:$CA$220,77,0)</f>
        <v>9.4999999999999998E-3</v>
      </c>
      <c r="H61" s="86">
        <f>VLOOKUP($A61,'Data shares'!$C:$FA,90)</f>
        <v>15004325</v>
      </c>
      <c r="I61" s="86">
        <f>VLOOKUP($A61,'Data shares'!$C:$FA,92)</f>
        <v>-1357050</v>
      </c>
      <c r="J61" s="87">
        <f>VLOOKUP($A61,'Data shares'!$C:$FA,93)</f>
        <v>-8.2900000000000001E-2</v>
      </c>
      <c r="K61" s="86">
        <f>VLOOKUP($A61,'Data shares'!$C:$FA,94)</f>
        <v>5930350</v>
      </c>
      <c r="L61" s="86">
        <f>VLOOKUP($A61,'Data shares'!$C:$FA,96)</f>
        <v>-315400</v>
      </c>
      <c r="M61" s="87">
        <f>VLOOKUP($A61,'Data shares'!$C:$FA,97)</f>
        <v>-5.0500000000000003E-2</v>
      </c>
      <c r="N61" s="86">
        <f>VLOOKUP($A61,'Data shares'!$C:$FA,78)</f>
        <v>21165000</v>
      </c>
      <c r="O61" s="87">
        <f>VLOOKUP($A61,'Data shares'!$C:$FA,81)</f>
        <v>-0.25629999999999997</v>
      </c>
    </row>
    <row r="62" spans="1:15" x14ac:dyDescent="0.25">
      <c r="A62" s="100" t="str">
        <f>'Data Vlaue (Cr)'!C57</f>
        <v>DIVISLAB</v>
      </c>
      <c r="B62" s="82">
        <f>VLOOKUP(A62,'Data shares'!$C$2:$CV$220,98,0)</f>
        <v>4403200</v>
      </c>
      <c r="C62" s="82">
        <f>VLOOKUP(A62,'Data shares'!$C$2:$CX$220,100,0)</f>
        <v>23300</v>
      </c>
      <c r="D62" s="141">
        <f>VLOOKUP(A62,'Data shares'!$C$2:$CY$543,101,0)</f>
        <v>5.3E-3</v>
      </c>
      <c r="E62" s="86">
        <f>VLOOKUP($A62,'Data shares'!$C:$FA,74)</f>
        <v>2713700</v>
      </c>
      <c r="F62" s="86">
        <f>VLOOKUP($A62,'Data shares'!$C:$FA,76)</f>
        <v>-64000</v>
      </c>
      <c r="G62" s="87">
        <f>VLOOKUP(A62,'Data shares'!$C$2:$CA$220,77,0)</f>
        <v>-2.3E-2</v>
      </c>
      <c r="H62" s="86">
        <f>VLOOKUP($A62,'Data shares'!$C:$FA,90)</f>
        <v>815900</v>
      </c>
      <c r="I62" s="86">
        <f>VLOOKUP($A62,'Data shares'!$C:$FA,92)</f>
        <v>51700</v>
      </c>
      <c r="J62" s="87">
        <f>VLOOKUP($A62,'Data shares'!$C:$FA,93)</f>
        <v>6.7699999999999996E-2</v>
      </c>
      <c r="K62" s="86">
        <f>VLOOKUP($A62,'Data shares'!$C:$FA,94)</f>
        <v>873600</v>
      </c>
      <c r="L62" s="86">
        <f>VLOOKUP($A62,'Data shares'!$C:$FA,96)</f>
        <v>35600</v>
      </c>
      <c r="M62" s="87">
        <f>VLOOKUP($A62,'Data shares'!$C:$FA,97)</f>
        <v>4.2500000000000003E-2</v>
      </c>
      <c r="N62" s="86">
        <f>VLOOKUP($A62,'Data shares'!$C:$FA,78)</f>
        <v>1577200</v>
      </c>
      <c r="O62" s="87">
        <f>VLOOKUP($A62,'Data shares'!$C:$FA,81)</f>
        <v>-0.31680000000000003</v>
      </c>
    </row>
    <row r="63" spans="1:15" x14ac:dyDescent="0.25">
      <c r="A63" s="100" t="str">
        <f>'Data Vlaue (Cr)'!C58</f>
        <v>DIXON</v>
      </c>
      <c r="B63" s="82">
        <f>VLOOKUP(A63,'Data shares'!$C$2:$CV$220,98,0)</f>
        <v>6584700</v>
      </c>
      <c r="C63" s="82">
        <f>VLOOKUP(A63,'Data shares'!$C$2:$CX$220,100,0)</f>
        <v>50</v>
      </c>
      <c r="D63" s="141">
        <f>VLOOKUP(A63,'Data shares'!$C$2:$CY$543,101,0)</f>
        <v>0</v>
      </c>
      <c r="E63" s="86">
        <f>VLOOKUP($A63,'Data shares'!$C:$FA,74)</f>
        <v>2910150</v>
      </c>
      <c r="F63" s="86">
        <f>VLOOKUP($A63,'Data shares'!$C:$FA,76)</f>
        <v>-130550</v>
      </c>
      <c r="G63" s="87">
        <f>VLOOKUP(A63,'Data shares'!$C$2:$CA$220,77,0)</f>
        <v>-4.2900000000000001E-2</v>
      </c>
      <c r="H63" s="86">
        <f>VLOOKUP($A63,'Data shares'!$C:$FA,90)</f>
        <v>2159950</v>
      </c>
      <c r="I63" s="86">
        <f>VLOOKUP($A63,'Data shares'!$C:$FA,92)</f>
        <v>138150</v>
      </c>
      <c r="J63" s="87">
        <f>VLOOKUP($A63,'Data shares'!$C:$FA,93)</f>
        <v>6.83E-2</v>
      </c>
      <c r="K63" s="86">
        <f>VLOOKUP($A63,'Data shares'!$C:$FA,94)</f>
        <v>1514600</v>
      </c>
      <c r="L63" s="86">
        <f>VLOOKUP($A63,'Data shares'!$C:$FA,96)</f>
        <v>-7550</v>
      </c>
      <c r="M63" s="87">
        <f>VLOOKUP($A63,'Data shares'!$C:$FA,97)</f>
        <v>-5.0000000000000001E-3</v>
      </c>
      <c r="N63" s="86">
        <f>VLOOKUP($A63,'Data shares'!$C:$FA,78)</f>
        <v>1379600</v>
      </c>
      <c r="O63" s="87">
        <f>VLOOKUP($A63,'Data shares'!$C:$FA,81)</f>
        <v>-0.3931</v>
      </c>
    </row>
    <row r="64" spans="1:15" x14ac:dyDescent="0.25">
      <c r="A64" s="100" t="str">
        <f>'Data Vlaue (Cr)'!C59</f>
        <v>DLF</v>
      </c>
      <c r="B64" s="82">
        <f>VLOOKUP(A64,'Data shares'!$C$2:$CV$220,98,0)</f>
        <v>72916800</v>
      </c>
      <c r="C64" s="82">
        <f>VLOOKUP(A64,'Data shares'!$C$2:$CX$220,100,0)</f>
        <v>558525</v>
      </c>
      <c r="D64" s="141">
        <f>VLOOKUP(A64,'Data shares'!$C$2:$CY$543,101,0)</f>
        <v>7.7000000000000002E-3</v>
      </c>
      <c r="E64" s="86">
        <f>VLOOKUP($A64,'Data shares'!$C:$FA,74)</f>
        <v>49207950</v>
      </c>
      <c r="F64" s="86">
        <f>VLOOKUP($A64,'Data shares'!$C:$FA,76)</f>
        <v>295350</v>
      </c>
      <c r="G64" s="87">
        <f>VLOOKUP(A64,'Data shares'!$C$2:$CA$220,77,0)</f>
        <v>6.0000000000000001E-3</v>
      </c>
      <c r="H64" s="86">
        <f>VLOOKUP($A64,'Data shares'!$C:$FA,90)</f>
        <v>12077175</v>
      </c>
      <c r="I64" s="86">
        <f>VLOOKUP($A64,'Data shares'!$C:$FA,92)</f>
        <v>561825</v>
      </c>
      <c r="J64" s="87">
        <f>VLOOKUP($A64,'Data shares'!$C:$FA,93)</f>
        <v>4.8800000000000003E-2</v>
      </c>
      <c r="K64" s="86">
        <f>VLOOKUP($A64,'Data shares'!$C:$FA,94)</f>
        <v>11631675</v>
      </c>
      <c r="L64" s="86">
        <f>VLOOKUP($A64,'Data shares'!$C:$FA,96)</f>
        <v>-298650</v>
      </c>
      <c r="M64" s="87">
        <f>VLOOKUP($A64,'Data shares'!$C:$FA,97)</f>
        <v>-2.5000000000000001E-2</v>
      </c>
      <c r="N64" s="86">
        <f>VLOOKUP($A64,'Data shares'!$C:$FA,78)</f>
        <v>30744450</v>
      </c>
      <c r="O64" s="87">
        <f>VLOOKUP($A64,'Data shares'!$C:$FA,81)</f>
        <v>-0.19589999999999999</v>
      </c>
    </row>
    <row r="65" spans="1:15" x14ac:dyDescent="0.25">
      <c r="A65" s="100" t="str">
        <f>'Data Vlaue (Cr)'!C60</f>
        <v>DMART</v>
      </c>
      <c r="B65" s="82">
        <f>VLOOKUP(A65,'Data shares'!$C$2:$CV$220,98,0)</f>
        <v>7160850</v>
      </c>
      <c r="C65" s="82">
        <f>VLOOKUP(A65,'Data shares'!$C$2:$CX$220,100,0)</f>
        <v>-472200</v>
      </c>
      <c r="D65" s="141">
        <f>VLOOKUP(A65,'Data shares'!$C$2:$CY$543,101,0)</f>
        <v>-6.1899999999999997E-2</v>
      </c>
      <c r="E65" s="86">
        <f>VLOOKUP($A65,'Data shares'!$C:$FA,74)</f>
        <v>3729300</v>
      </c>
      <c r="F65" s="86">
        <f>VLOOKUP($A65,'Data shares'!$C:$FA,76)</f>
        <v>-283050</v>
      </c>
      <c r="G65" s="87">
        <f>VLOOKUP(A65,'Data shares'!$C$2:$CA$220,77,0)</f>
        <v>-7.0499999999999993E-2</v>
      </c>
      <c r="H65" s="86">
        <f>VLOOKUP($A65,'Data shares'!$C:$FA,90)</f>
        <v>1842750</v>
      </c>
      <c r="I65" s="86">
        <f>VLOOKUP($A65,'Data shares'!$C:$FA,92)</f>
        <v>-76500</v>
      </c>
      <c r="J65" s="87">
        <f>VLOOKUP($A65,'Data shares'!$C:$FA,93)</f>
        <v>-3.9899999999999998E-2</v>
      </c>
      <c r="K65" s="86">
        <f>VLOOKUP($A65,'Data shares'!$C:$FA,94)</f>
        <v>1588800</v>
      </c>
      <c r="L65" s="86">
        <f>VLOOKUP($A65,'Data shares'!$C:$FA,96)</f>
        <v>-112650</v>
      </c>
      <c r="M65" s="87">
        <f>VLOOKUP($A65,'Data shares'!$C:$FA,97)</f>
        <v>-6.6199999999999995E-2</v>
      </c>
      <c r="N65" s="86">
        <f>VLOOKUP($A65,'Data shares'!$C:$FA,78)</f>
        <v>1995450</v>
      </c>
      <c r="O65" s="87">
        <f>VLOOKUP($A65,'Data shares'!$C:$FA,81)</f>
        <v>-0.42809999999999998</v>
      </c>
    </row>
    <row r="66" spans="1:15" x14ac:dyDescent="0.25">
      <c r="A66" s="100" t="str">
        <f>'Data Vlaue (Cr)'!C61</f>
        <v>DRREDDY</v>
      </c>
      <c r="B66" s="82">
        <f>VLOOKUP(A66,'Data shares'!$C$2:$CV$220,98,0)</f>
        <v>37967500</v>
      </c>
      <c r="C66" s="82">
        <f>VLOOKUP(A66,'Data shares'!$C$2:$CX$220,100,0)</f>
        <v>9649375</v>
      </c>
      <c r="D66" s="141">
        <f>VLOOKUP(A66,'Data shares'!$C$2:$CY$543,101,0)</f>
        <v>0.3407</v>
      </c>
      <c r="E66" s="86">
        <f>VLOOKUP($A66,'Data shares'!$C:$FA,74)</f>
        <v>15758125</v>
      </c>
      <c r="F66" s="86">
        <f>VLOOKUP($A66,'Data shares'!$C:$FA,76)</f>
        <v>123125</v>
      </c>
      <c r="G66" s="87">
        <f>VLOOKUP(A66,'Data shares'!$C$2:$CA$220,77,0)</f>
        <v>7.9000000000000008E-3</v>
      </c>
      <c r="H66" s="86">
        <f>VLOOKUP($A66,'Data shares'!$C:$FA,90)</f>
        <v>13342500</v>
      </c>
      <c r="I66" s="86">
        <f>VLOOKUP($A66,'Data shares'!$C:$FA,92)</f>
        <v>5821875</v>
      </c>
      <c r="J66" s="87">
        <f>VLOOKUP($A66,'Data shares'!$C:$FA,93)</f>
        <v>0.77410000000000001</v>
      </c>
      <c r="K66" s="86">
        <f>VLOOKUP($A66,'Data shares'!$C:$FA,94)</f>
        <v>8866875</v>
      </c>
      <c r="L66" s="86">
        <f>VLOOKUP($A66,'Data shares'!$C:$FA,96)</f>
        <v>3704375</v>
      </c>
      <c r="M66" s="87">
        <f>VLOOKUP($A66,'Data shares'!$C:$FA,97)</f>
        <v>0.71760000000000002</v>
      </c>
      <c r="N66" s="86">
        <f>VLOOKUP($A66,'Data shares'!$C:$FA,78)</f>
        <v>8009375</v>
      </c>
      <c r="O66" s="87">
        <f>VLOOKUP($A66,'Data shares'!$C:$FA,81)</f>
        <v>-0.39529999999999998</v>
      </c>
    </row>
    <row r="67" spans="1:15" x14ac:dyDescent="0.25">
      <c r="A67" s="100" t="str">
        <f>'Data Vlaue (Cr)'!C62</f>
        <v>EICHERMOT</v>
      </c>
      <c r="B67" s="82">
        <f>VLOOKUP(A67,'Data shares'!$C$2:$CV$220,98,0)</f>
        <v>7448600</v>
      </c>
      <c r="C67" s="82">
        <f>VLOOKUP(A67,'Data shares'!$C$2:$CX$220,100,0)</f>
        <v>-121200</v>
      </c>
      <c r="D67" s="141">
        <f>VLOOKUP(A67,'Data shares'!$C$2:$CY$543,101,0)</f>
        <v>-1.6E-2</v>
      </c>
      <c r="E67" s="86">
        <f>VLOOKUP($A67,'Data shares'!$C:$FA,74)</f>
        <v>3945000</v>
      </c>
      <c r="F67" s="86">
        <f>VLOOKUP($A67,'Data shares'!$C:$FA,76)</f>
        <v>-133500</v>
      </c>
      <c r="G67" s="87">
        <f>VLOOKUP(A67,'Data shares'!$C$2:$CA$220,77,0)</f>
        <v>-3.27E-2</v>
      </c>
      <c r="H67" s="86">
        <f>VLOOKUP($A67,'Data shares'!$C:$FA,90)</f>
        <v>2027700</v>
      </c>
      <c r="I67" s="86">
        <f>VLOOKUP($A67,'Data shares'!$C:$FA,92)</f>
        <v>42800</v>
      </c>
      <c r="J67" s="87">
        <f>VLOOKUP($A67,'Data shares'!$C:$FA,93)</f>
        <v>2.1600000000000001E-2</v>
      </c>
      <c r="K67" s="86">
        <f>VLOOKUP($A67,'Data shares'!$C:$FA,94)</f>
        <v>1475900</v>
      </c>
      <c r="L67" s="86">
        <f>VLOOKUP($A67,'Data shares'!$C:$FA,96)</f>
        <v>-30500</v>
      </c>
      <c r="M67" s="87">
        <f>VLOOKUP($A67,'Data shares'!$C:$FA,97)</f>
        <v>-2.0199999999999999E-2</v>
      </c>
      <c r="N67" s="86">
        <f>VLOOKUP($A67,'Data shares'!$C:$FA,78)</f>
        <v>2251600</v>
      </c>
      <c r="O67" s="87">
        <f>VLOOKUP($A67,'Data shares'!$C:$FA,81)</f>
        <v>-0.30719999999999997</v>
      </c>
    </row>
    <row r="68" spans="1:15" x14ac:dyDescent="0.25">
      <c r="A68" s="100" t="str">
        <f>'Data Vlaue (Cr)'!C63</f>
        <v>ETERNAL</v>
      </c>
      <c r="B68" s="82">
        <f>VLOOKUP(A68,'Data shares'!$C$2:$CV$220,98,0)</f>
        <v>296349550</v>
      </c>
      <c r="C68" s="82">
        <f>VLOOKUP(A68,'Data shares'!$C$2:$CX$220,100,0)</f>
        <v>-1326475</v>
      </c>
      <c r="D68" s="141">
        <f>VLOOKUP(A68,'Data shares'!$C$2:$CY$543,101,0)</f>
        <v>-4.4999999999999997E-3</v>
      </c>
      <c r="E68" s="86">
        <f>VLOOKUP($A68,'Data shares'!$C:$FA,74)</f>
        <v>185015375</v>
      </c>
      <c r="F68" s="86">
        <f>VLOOKUP($A68,'Data shares'!$C:$FA,76)</f>
        <v>-950600</v>
      </c>
      <c r="G68" s="87">
        <f>VLOOKUP(A68,'Data shares'!$C$2:$CA$220,77,0)</f>
        <v>-5.1000000000000004E-3</v>
      </c>
      <c r="H68" s="86">
        <f>VLOOKUP($A68,'Data shares'!$C:$FA,90)</f>
        <v>60804450</v>
      </c>
      <c r="I68" s="86">
        <f>VLOOKUP($A68,'Data shares'!$C:$FA,92)</f>
        <v>-147925</v>
      </c>
      <c r="J68" s="87">
        <f>VLOOKUP($A68,'Data shares'!$C:$FA,93)</f>
        <v>-2.3999999999999998E-3</v>
      </c>
      <c r="K68" s="86">
        <f>VLOOKUP($A68,'Data shares'!$C:$FA,94)</f>
        <v>50529725</v>
      </c>
      <c r="L68" s="86">
        <f>VLOOKUP($A68,'Data shares'!$C:$FA,96)</f>
        <v>-227950</v>
      </c>
      <c r="M68" s="87">
        <f>VLOOKUP($A68,'Data shares'!$C:$FA,97)</f>
        <v>-4.4999999999999997E-3</v>
      </c>
      <c r="N68" s="86">
        <f>VLOOKUP($A68,'Data shares'!$C:$FA,78)</f>
        <v>108142875</v>
      </c>
      <c r="O68" s="87">
        <f>VLOOKUP($A68,'Data shares'!$C:$FA,81)</f>
        <v>-0.28939999999999999</v>
      </c>
    </row>
    <row r="69" spans="1:15" x14ac:dyDescent="0.25">
      <c r="A69" s="100" t="str">
        <f>'Data Vlaue (Cr)'!C64</f>
        <v>EXIDEIND</v>
      </c>
      <c r="B69" s="82">
        <f>VLOOKUP(A69,'Data shares'!$C$2:$CV$220,98,0)</f>
        <v>66132000</v>
      </c>
      <c r="C69" s="82">
        <f>VLOOKUP(A69,'Data shares'!$C$2:$CX$220,100,0)</f>
        <v>4294800</v>
      </c>
      <c r="D69" s="141">
        <f>VLOOKUP(A69,'Data shares'!$C$2:$CY$543,101,0)</f>
        <v>6.9500000000000006E-2</v>
      </c>
      <c r="E69" s="86">
        <f>VLOOKUP($A69,'Data shares'!$C:$FA,74)</f>
        <v>29599200</v>
      </c>
      <c r="F69" s="86">
        <f>VLOOKUP($A69,'Data shares'!$C:$FA,76)</f>
        <v>860400</v>
      </c>
      <c r="G69" s="87">
        <f>VLOOKUP(A69,'Data shares'!$C$2:$CA$220,77,0)</f>
        <v>2.9899999999999999E-2</v>
      </c>
      <c r="H69" s="86">
        <f>VLOOKUP($A69,'Data shares'!$C:$FA,90)</f>
        <v>19549800</v>
      </c>
      <c r="I69" s="86">
        <f>VLOOKUP($A69,'Data shares'!$C:$FA,92)</f>
        <v>2545200</v>
      </c>
      <c r="J69" s="87">
        <f>VLOOKUP($A69,'Data shares'!$C:$FA,93)</f>
        <v>0.1497</v>
      </c>
      <c r="K69" s="86">
        <f>VLOOKUP($A69,'Data shares'!$C:$FA,94)</f>
        <v>16983000</v>
      </c>
      <c r="L69" s="86">
        <f>VLOOKUP($A69,'Data shares'!$C:$FA,96)</f>
        <v>889200</v>
      </c>
      <c r="M69" s="87">
        <f>VLOOKUP($A69,'Data shares'!$C:$FA,97)</f>
        <v>5.5300000000000002E-2</v>
      </c>
      <c r="N69" s="86">
        <f>VLOOKUP($A69,'Data shares'!$C:$FA,78)</f>
        <v>14551200</v>
      </c>
      <c r="O69" s="87">
        <f>VLOOKUP($A69,'Data shares'!$C:$FA,81)</f>
        <v>-0.2475</v>
      </c>
    </row>
    <row r="70" spans="1:15" x14ac:dyDescent="0.25">
      <c r="A70" s="100" t="str">
        <f>'Data Vlaue (Cr)'!C65</f>
        <v>FEDERALBNK</v>
      </c>
      <c r="B70" s="82">
        <f>VLOOKUP(A70,'Data shares'!$C$2:$CV$220,98,0)</f>
        <v>151935000</v>
      </c>
      <c r="C70" s="82">
        <f>VLOOKUP(A70,'Data shares'!$C$2:$CX$220,100,0)</f>
        <v>1090000</v>
      </c>
      <c r="D70" s="141">
        <f>VLOOKUP(A70,'Data shares'!$C$2:$CY$543,101,0)</f>
        <v>7.1999999999999998E-3</v>
      </c>
      <c r="E70" s="86">
        <f>VLOOKUP($A70,'Data shares'!$C:$FA,74)</f>
        <v>79240000</v>
      </c>
      <c r="F70" s="86">
        <f>VLOOKUP($A70,'Data shares'!$C:$FA,76)</f>
        <v>2120000</v>
      </c>
      <c r="G70" s="87">
        <f>VLOOKUP(A70,'Data shares'!$C$2:$CA$220,77,0)</f>
        <v>2.75E-2</v>
      </c>
      <c r="H70" s="86">
        <f>VLOOKUP($A70,'Data shares'!$C:$FA,90)</f>
        <v>38115000</v>
      </c>
      <c r="I70" s="86">
        <f>VLOOKUP($A70,'Data shares'!$C:$FA,92)</f>
        <v>-435000</v>
      </c>
      <c r="J70" s="87">
        <f>VLOOKUP($A70,'Data shares'!$C:$FA,93)</f>
        <v>-1.1299999999999999E-2</v>
      </c>
      <c r="K70" s="86">
        <f>VLOOKUP($A70,'Data shares'!$C:$FA,94)</f>
        <v>34580000</v>
      </c>
      <c r="L70" s="86">
        <f>VLOOKUP($A70,'Data shares'!$C:$FA,96)</f>
        <v>-595000</v>
      </c>
      <c r="M70" s="87">
        <f>VLOOKUP($A70,'Data shares'!$C:$FA,97)</f>
        <v>-1.6899999999999998E-2</v>
      </c>
      <c r="N70" s="86">
        <f>VLOOKUP($A70,'Data shares'!$C:$FA,78)</f>
        <v>51630000</v>
      </c>
      <c r="O70" s="87">
        <f>VLOOKUP($A70,'Data shares'!$C:$FA,81)</f>
        <v>-0.18720000000000001</v>
      </c>
    </row>
    <row r="71" spans="1:15" x14ac:dyDescent="0.25">
      <c r="A71" s="100" t="str">
        <f>'Data Vlaue (Cr)'!C66</f>
        <v>FINNIFTY</v>
      </c>
      <c r="B71" s="82">
        <f>VLOOKUP(A71,'Data shares'!$C$2:$CV$220,98,0)</f>
        <v>1164120</v>
      </c>
      <c r="C71" s="82">
        <f>VLOOKUP(A71,'Data shares'!$C$2:$CX$220,100,0)</f>
        <v>125280</v>
      </c>
      <c r="D71" s="141">
        <f>VLOOKUP(A71,'Data shares'!$C$2:$CY$543,101,0)</f>
        <v>0.1206</v>
      </c>
      <c r="E71" s="86">
        <f>VLOOKUP($A71,'Data shares'!$C:$FA,74)</f>
        <v>27600</v>
      </c>
      <c r="F71" s="86">
        <f>VLOOKUP($A71,'Data shares'!$C:$FA,76)</f>
        <v>2160</v>
      </c>
      <c r="G71" s="87">
        <f>VLOOKUP(A71,'Data shares'!$C$2:$CA$220,77,0)</f>
        <v>8.4900000000000003E-2</v>
      </c>
      <c r="H71" s="86">
        <f>VLOOKUP($A71,'Data shares'!$C:$FA,90)</f>
        <v>600360</v>
      </c>
      <c r="I71" s="86">
        <f>VLOOKUP($A71,'Data shares'!$C:$FA,92)</f>
        <v>80820</v>
      </c>
      <c r="J71" s="87">
        <f>VLOOKUP($A71,'Data shares'!$C:$FA,93)</f>
        <v>0.15559999999999999</v>
      </c>
      <c r="K71" s="86">
        <f>VLOOKUP($A71,'Data shares'!$C:$FA,94)</f>
        <v>536160</v>
      </c>
      <c r="L71" s="86">
        <f>VLOOKUP($A71,'Data shares'!$C:$FA,96)</f>
        <v>42300</v>
      </c>
      <c r="M71" s="87">
        <f>VLOOKUP($A71,'Data shares'!$C:$FA,97)</f>
        <v>8.5699999999999998E-2</v>
      </c>
      <c r="N71" s="86">
        <f>VLOOKUP($A71,'Data shares'!$C:$FA,78)</f>
        <v>21720</v>
      </c>
      <c r="O71" s="87">
        <f>VLOOKUP($A71,'Data shares'!$C:$FA,81)</f>
        <v>1.6899999999999998E-2</v>
      </c>
    </row>
    <row r="72" spans="1:15" x14ac:dyDescent="0.25">
      <c r="A72" s="100" t="str">
        <f>'Data Vlaue (Cr)'!C67</f>
        <v>FORCEMOT</v>
      </c>
      <c r="B72" s="82">
        <f>VLOOKUP(A72,'Data shares'!$C$2:$CV$220,98,0)</f>
        <v>313225</v>
      </c>
      <c r="C72" s="82">
        <f>VLOOKUP(A72,'Data shares'!$C$2:$CX$220,100,0)</f>
        <v>38350</v>
      </c>
      <c r="D72" s="141">
        <f>VLOOKUP(A72,'Data shares'!$C$2:$CY$543,101,0)</f>
        <v>0.13950000000000001</v>
      </c>
      <c r="E72" s="86">
        <f>VLOOKUP($A72,'Data shares'!$C:$FA,74)</f>
        <v>184275</v>
      </c>
      <c r="F72" s="86">
        <f>VLOOKUP($A72,'Data shares'!$C:$FA,76)</f>
        <v>19725</v>
      </c>
      <c r="G72" s="87">
        <f>VLOOKUP(A72,'Data shares'!$C$2:$CA$220,77,0)</f>
        <v>0.11990000000000001</v>
      </c>
      <c r="H72" s="86">
        <f>VLOOKUP($A72,'Data shares'!$C:$FA,90)</f>
        <v>98500</v>
      </c>
      <c r="I72" s="86">
        <f>VLOOKUP($A72,'Data shares'!$C:$FA,92)</f>
        <v>17200</v>
      </c>
      <c r="J72" s="87">
        <f>VLOOKUP($A72,'Data shares'!$C:$FA,93)</f>
        <v>0.21160000000000001</v>
      </c>
      <c r="K72" s="86">
        <f>VLOOKUP($A72,'Data shares'!$C:$FA,94)</f>
        <v>30450</v>
      </c>
      <c r="L72" s="86">
        <f>VLOOKUP($A72,'Data shares'!$C:$FA,96)</f>
        <v>1425</v>
      </c>
      <c r="M72" s="87">
        <f>VLOOKUP($A72,'Data shares'!$C:$FA,97)</f>
        <v>4.9099999999999998E-2</v>
      </c>
      <c r="N72" s="86">
        <f>VLOOKUP($A72,'Data shares'!$C:$FA,78)</f>
        <v>84950</v>
      </c>
      <c r="O72" s="87">
        <f>VLOOKUP($A72,'Data shares'!$C:$FA,81)</f>
        <v>-0.2107</v>
      </c>
    </row>
    <row r="73" spans="1:15" x14ac:dyDescent="0.25">
      <c r="A73" s="100" t="str">
        <f>'Data Vlaue (Cr)'!C68</f>
        <v>FORTIS</v>
      </c>
      <c r="B73" s="82">
        <f>VLOOKUP(A73,'Data shares'!$C$2:$CV$220,98,0)</f>
        <v>15148150</v>
      </c>
      <c r="C73" s="82">
        <f>VLOOKUP(A73,'Data shares'!$C$2:$CX$220,100,0)</f>
        <v>-500650</v>
      </c>
      <c r="D73" s="141">
        <f>VLOOKUP(A73,'Data shares'!$C$2:$CY$543,101,0)</f>
        <v>-3.2000000000000001E-2</v>
      </c>
      <c r="E73" s="86">
        <f>VLOOKUP($A73,'Data shares'!$C:$FA,74)</f>
        <v>10176525</v>
      </c>
      <c r="F73" s="86">
        <f>VLOOKUP($A73,'Data shares'!$C:$FA,76)</f>
        <v>-202275</v>
      </c>
      <c r="G73" s="87">
        <f>VLOOKUP(A73,'Data shares'!$C$2:$CA$220,77,0)</f>
        <v>-1.95E-2</v>
      </c>
      <c r="H73" s="86">
        <f>VLOOKUP($A73,'Data shares'!$C:$FA,90)</f>
        <v>2793100</v>
      </c>
      <c r="I73" s="86">
        <f>VLOOKUP($A73,'Data shares'!$C:$FA,92)</f>
        <v>-137175</v>
      </c>
      <c r="J73" s="87">
        <f>VLOOKUP($A73,'Data shares'!$C:$FA,93)</f>
        <v>-4.6800000000000001E-2</v>
      </c>
      <c r="K73" s="86">
        <f>VLOOKUP($A73,'Data shares'!$C:$FA,94)</f>
        <v>2178525</v>
      </c>
      <c r="L73" s="86">
        <f>VLOOKUP($A73,'Data shares'!$C:$FA,96)</f>
        <v>-161200</v>
      </c>
      <c r="M73" s="87">
        <f>VLOOKUP($A73,'Data shares'!$C:$FA,97)</f>
        <v>-6.8900000000000003E-2</v>
      </c>
      <c r="N73" s="86">
        <f>VLOOKUP($A73,'Data shares'!$C:$FA,78)</f>
        <v>5692375</v>
      </c>
      <c r="O73" s="87">
        <f>VLOOKUP($A73,'Data shares'!$C:$FA,81)</f>
        <v>-0.33510000000000001</v>
      </c>
    </row>
    <row r="74" spans="1:15" x14ac:dyDescent="0.25">
      <c r="A74" s="100" t="str">
        <f>'Data Vlaue (Cr)'!C69</f>
        <v>GAIL</v>
      </c>
      <c r="B74" s="82">
        <f>VLOOKUP(A74,'Data shares'!$C$2:$CV$220,98,0)</f>
        <v>143677800</v>
      </c>
      <c r="C74" s="82">
        <f>VLOOKUP(A74,'Data shares'!$C$2:$CX$220,100,0)</f>
        <v>-1260000</v>
      </c>
      <c r="D74" s="141">
        <f>VLOOKUP(A74,'Data shares'!$C$2:$CY$543,101,0)</f>
        <v>-8.6999999999999994E-3</v>
      </c>
      <c r="E74" s="86">
        <f>VLOOKUP($A74,'Data shares'!$C:$FA,74)</f>
        <v>75354300</v>
      </c>
      <c r="F74" s="86">
        <f>VLOOKUP($A74,'Data shares'!$C:$FA,76)</f>
        <v>-784350</v>
      </c>
      <c r="G74" s="87">
        <f>VLOOKUP(A74,'Data shares'!$C$2:$CA$220,77,0)</f>
        <v>-1.03E-2</v>
      </c>
      <c r="H74" s="86">
        <f>VLOOKUP($A74,'Data shares'!$C:$FA,90)</f>
        <v>29020950</v>
      </c>
      <c r="I74" s="86">
        <f>VLOOKUP($A74,'Data shares'!$C:$FA,92)</f>
        <v>585900</v>
      </c>
      <c r="J74" s="87">
        <f>VLOOKUP($A74,'Data shares'!$C:$FA,93)</f>
        <v>2.06E-2</v>
      </c>
      <c r="K74" s="86">
        <f>VLOOKUP($A74,'Data shares'!$C:$FA,94)</f>
        <v>39302550</v>
      </c>
      <c r="L74" s="86">
        <f>VLOOKUP($A74,'Data shares'!$C:$FA,96)</f>
        <v>-1061550</v>
      </c>
      <c r="M74" s="87">
        <f>VLOOKUP($A74,'Data shares'!$C:$FA,97)</f>
        <v>-2.63E-2</v>
      </c>
      <c r="N74" s="86">
        <f>VLOOKUP($A74,'Data shares'!$C:$FA,78)</f>
        <v>43435350</v>
      </c>
      <c r="O74" s="87">
        <f>VLOOKUP($A74,'Data shares'!$C:$FA,81)</f>
        <v>-0.31480000000000002</v>
      </c>
    </row>
    <row r="75" spans="1:15" x14ac:dyDescent="0.25">
      <c r="A75" s="100" t="str">
        <f>'Data Vlaue (Cr)'!C70</f>
        <v>GLENMARK</v>
      </c>
      <c r="B75" s="82">
        <f>VLOOKUP(A75,'Data shares'!$C$2:$CV$220,98,0)</f>
        <v>14722875</v>
      </c>
      <c r="C75" s="82">
        <f>VLOOKUP(A75,'Data shares'!$C$2:$CX$220,100,0)</f>
        <v>1134750</v>
      </c>
      <c r="D75" s="141">
        <f>VLOOKUP(A75,'Data shares'!$C$2:$CY$543,101,0)</f>
        <v>8.3500000000000005E-2</v>
      </c>
      <c r="E75" s="86">
        <f>VLOOKUP($A75,'Data shares'!$C:$FA,74)</f>
        <v>10358250</v>
      </c>
      <c r="F75" s="86">
        <f>VLOOKUP($A75,'Data shares'!$C:$FA,76)</f>
        <v>132750</v>
      </c>
      <c r="G75" s="87">
        <f>VLOOKUP(A75,'Data shares'!$C$2:$CA$220,77,0)</f>
        <v>1.2999999999999999E-2</v>
      </c>
      <c r="H75" s="86">
        <f>VLOOKUP($A75,'Data shares'!$C:$FA,90)</f>
        <v>2525625</v>
      </c>
      <c r="I75" s="86">
        <f>VLOOKUP($A75,'Data shares'!$C:$FA,92)</f>
        <v>363750</v>
      </c>
      <c r="J75" s="87">
        <f>VLOOKUP($A75,'Data shares'!$C:$FA,93)</f>
        <v>0.16830000000000001</v>
      </c>
      <c r="K75" s="86">
        <f>VLOOKUP($A75,'Data shares'!$C:$FA,94)</f>
        <v>1839000</v>
      </c>
      <c r="L75" s="86">
        <f>VLOOKUP($A75,'Data shares'!$C:$FA,96)</f>
        <v>638250</v>
      </c>
      <c r="M75" s="87">
        <f>VLOOKUP($A75,'Data shares'!$C:$FA,97)</f>
        <v>0.53149999999999997</v>
      </c>
      <c r="N75" s="86">
        <f>VLOOKUP($A75,'Data shares'!$C:$FA,78)</f>
        <v>5218125</v>
      </c>
      <c r="O75" s="87">
        <f>VLOOKUP($A75,'Data shares'!$C:$FA,81)</f>
        <v>-0.47189999999999999</v>
      </c>
    </row>
    <row r="76" spans="1:15" x14ac:dyDescent="0.25">
      <c r="A76" s="100" t="str">
        <f>'Data Vlaue (Cr)'!C71</f>
        <v>GMRAIRPORT</v>
      </c>
      <c r="B76" s="82">
        <f>VLOOKUP(A76,'Data shares'!$C$2:$CV$220,98,0)</f>
        <v>228905550</v>
      </c>
      <c r="C76" s="82">
        <f>VLOOKUP(A76,'Data shares'!$C$2:$CX$220,100,0)</f>
        <v>2573775</v>
      </c>
      <c r="D76" s="141">
        <f>VLOOKUP(A76,'Data shares'!$C$2:$CY$543,101,0)</f>
        <v>1.14E-2</v>
      </c>
      <c r="E76" s="86">
        <f>VLOOKUP($A76,'Data shares'!$C:$FA,74)</f>
        <v>137149425</v>
      </c>
      <c r="F76" s="86">
        <f>VLOOKUP($A76,'Data shares'!$C:$FA,76)</f>
        <v>-843975</v>
      </c>
      <c r="G76" s="87">
        <f>VLOOKUP(A76,'Data shares'!$C$2:$CA$220,77,0)</f>
        <v>-6.1000000000000004E-3</v>
      </c>
      <c r="H76" s="86">
        <f>VLOOKUP($A76,'Data shares'!$C:$FA,90)</f>
        <v>54328275</v>
      </c>
      <c r="I76" s="86">
        <f>VLOOKUP($A76,'Data shares'!$C:$FA,92)</f>
        <v>920700</v>
      </c>
      <c r="J76" s="87">
        <f>VLOOKUP($A76,'Data shares'!$C:$FA,93)</f>
        <v>1.72E-2</v>
      </c>
      <c r="K76" s="86">
        <f>VLOOKUP($A76,'Data shares'!$C:$FA,94)</f>
        <v>37427850</v>
      </c>
      <c r="L76" s="86">
        <f>VLOOKUP($A76,'Data shares'!$C:$FA,96)</f>
        <v>2497050</v>
      </c>
      <c r="M76" s="87">
        <f>VLOOKUP($A76,'Data shares'!$C:$FA,97)</f>
        <v>7.1499999999999994E-2</v>
      </c>
      <c r="N76" s="86">
        <f>VLOOKUP($A76,'Data shares'!$C:$FA,78)</f>
        <v>85604175</v>
      </c>
      <c r="O76" s="87">
        <f>VLOOKUP($A76,'Data shares'!$C:$FA,81)</f>
        <v>-0.25259999999999999</v>
      </c>
    </row>
    <row r="77" spans="1:15" x14ac:dyDescent="0.25">
      <c r="A77" s="100" t="str">
        <f>'Data Vlaue (Cr)'!C72</f>
        <v>GODFRYPHLP</v>
      </c>
      <c r="B77" s="82">
        <f>VLOOKUP(A77,'Data shares'!$C$2:$CV$220,98,0)</f>
        <v>2909775</v>
      </c>
      <c r="C77" s="82">
        <f>VLOOKUP(A77,'Data shares'!$C$2:$CX$220,100,0)</f>
        <v>133375</v>
      </c>
      <c r="D77" s="141">
        <f>VLOOKUP(A77,'Data shares'!$C$2:$CY$543,101,0)</f>
        <v>4.8000000000000001E-2</v>
      </c>
      <c r="E77" s="86">
        <f>VLOOKUP($A77,'Data shares'!$C:$FA,74)</f>
        <v>1506450</v>
      </c>
      <c r="F77" s="86">
        <f>VLOOKUP($A77,'Data shares'!$C:$FA,76)</f>
        <v>61600</v>
      </c>
      <c r="G77" s="87">
        <f>VLOOKUP(A77,'Data shares'!$C$2:$CA$220,77,0)</f>
        <v>4.2599999999999999E-2</v>
      </c>
      <c r="H77" s="86">
        <f>VLOOKUP($A77,'Data shares'!$C:$FA,90)</f>
        <v>980375</v>
      </c>
      <c r="I77" s="86">
        <f>VLOOKUP($A77,'Data shares'!$C:$FA,92)</f>
        <v>44000</v>
      </c>
      <c r="J77" s="87">
        <f>VLOOKUP($A77,'Data shares'!$C:$FA,93)</f>
        <v>4.7E-2</v>
      </c>
      <c r="K77" s="86">
        <f>VLOOKUP($A77,'Data shares'!$C:$FA,94)</f>
        <v>422950</v>
      </c>
      <c r="L77" s="86">
        <f>VLOOKUP($A77,'Data shares'!$C:$FA,96)</f>
        <v>27775</v>
      </c>
      <c r="M77" s="87">
        <f>VLOOKUP($A77,'Data shares'!$C:$FA,97)</f>
        <v>7.0300000000000001E-2</v>
      </c>
      <c r="N77" s="86">
        <f>VLOOKUP($A77,'Data shares'!$C:$FA,78)</f>
        <v>882200</v>
      </c>
      <c r="O77" s="87">
        <f>VLOOKUP($A77,'Data shares'!$C:$FA,81)</f>
        <v>-0.17230000000000001</v>
      </c>
    </row>
    <row r="78" spans="1:15" x14ac:dyDescent="0.25">
      <c r="A78" s="100" t="str">
        <f>'Data Vlaue (Cr)'!C73</f>
        <v>GODREJCP</v>
      </c>
      <c r="B78" s="82">
        <f>VLOOKUP(A78,'Data shares'!$C$2:$CV$220,98,0)</f>
        <v>16431000</v>
      </c>
      <c r="C78" s="82">
        <f>VLOOKUP(A78,'Data shares'!$C$2:$CX$220,100,0)</f>
        <v>-13000</v>
      </c>
      <c r="D78" s="141">
        <f>VLOOKUP(A78,'Data shares'!$C$2:$CY$543,101,0)</f>
        <v>-8.0000000000000004E-4</v>
      </c>
      <c r="E78" s="86">
        <f>VLOOKUP($A78,'Data shares'!$C:$FA,74)</f>
        <v>12898000</v>
      </c>
      <c r="F78" s="86">
        <f>VLOOKUP($A78,'Data shares'!$C:$FA,76)</f>
        <v>9500</v>
      </c>
      <c r="G78" s="87">
        <f>VLOOKUP(A78,'Data shares'!$C$2:$CA$220,77,0)</f>
        <v>6.9999999999999999E-4</v>
      </c>
      <c r="H78" s="86">
        <f>VLOOKUP($A78,'Data shares'!$C:$FA,90)</f>
        <v>1877500</v>
      </c>
      <c r="I78" s="86">
        <f>VLOOKUP($A78,'Data shares'!$C:$FA,92)</f>
        <v>-49500</v>
      </c>
      <c r="J78" s="87">
        <f>VLOOKUP($A78,'Data shares'!$C:$FA,93)</f>
        <v>-2.5700000000000001E-2</v>
      </c>
      <c r="K78" s="86">
        <f>VLOOKUP($A78,'Data shares'!$C:$FA,94)</f>
        <v>1655500</v>
      </c>
      <c r="L78" s="86">
        <f>VLOOKUP($A78,'Data shares'!$C:$FA,96)</f>
        <v>27000</v>
      </c>
      <c r="M78" s="87">
        <f>VLOOKUP($A78,'Data shares'!$C:$FA,97)</f>
        <v>1.66E-2</v>
      </c>
      <c r="N78" s="86">
        <f>VLOOKUP($A78,'Data shares'!$C:$FA,78)</f>
        <v>8974500</v>
      </c>
      <c r="O78" s="87">
        <f>VLOOKUP($A78,'Data shares'!$C:$FA,81)</f>
        <v>-0.2203</v>
      </c>
    </row>
    <row r="79" spans="1:15" x14ac:dyDescent="0.25">
      <c r="A79" s="100" t="str">
        <f>'Data Vlaue (Cr)'!C74</f>
        <v>GODREJPROP</v>
      </c>
      <c r="B79" s="82">
        <f>VLOOKUP(A79,'Data shares'!$C$2:$CV$220,98,0)</f>
        <v>14320625</v>
      </c>
      <c r="C79" s="82">
        <f>VLOOKUP(A79,'Data shares'!$C$2:$CX$220,100,0)</f>
        <v>-88000</v>
      </c>
      <c r="D79" s="141">
        <f>VLOOKUP(A79,'Data shares'!$C$2:$CY$543,101,0)</f>
        <v>-6.1000000000000004E-3</v>
      </c>
      <c r="E79" s="86">
        <f>VLOOKUP($A79,'Data shares'!$C:$FA,74)</f>
        <v>7874350</v>
      </c>
      <c r="F79" s="86">
        <f>VLOOKUP($A79,'Data shares'!$C:$FA,76)</f>
        <v>-122100</v>
      </c>
      <c r="G79" s="87">
        <f>VLOOKUP(A79,'Data shares'!$C$2:$CA$220,77,0)</f>
        <v>-1.5299999999999999E-2</v>
      </c>
      <c r="H79" s="86">
        <f>VLOOKUP($A79,'Data shares'!$C:$FA,90)</f>
        <v>3545850</v>
      </c>
      <c r="I79" s="86">
        <f>VLOOKUP($A79,'Data shares'!$C:$FA,92)</f>
        <v>50050</v>
      </c>
      <c r="J79" s="87">
        <f>VLOOKUP($A79,'Data shares'!$C:$FA,93)</f>
        <v>1.43E-2</v>
      </c>
      <c r="K79" s="86">
        <f>VLOOKUP($A79,'Data shares'!$C:$FA,94)</f>
        <v>2900425</v>
      </c>
      <c r="L79" s="86">
        <f>VLOOKUP($A79,'Data shares'!$C:$FA,96)</f>
        <v>-15950</v>
      </c>
      <c r="M79" s="87">
        <f>VLOOKUP($A79,'Data shares'!$C:$FA,97)</f>
        <v>-5.4999999999999997E-3</v>
      </c>
      <c r="N79" s="86">
        <f>VLOOKUP($A79,'Data shares'!$C:$FA,78)</f>
        <v>4029300</v>
      </c>
      <c r="O79" s="87">
        <f>VLOOKUP($A79,'Data shares'!$C:$FA,81)</f>
        <v>-0.35970000000000002</v>
      </c>
    </row>
    <row r="80" spans="1:15" x14ac:dyDescent="0.25">
      <c r="A80" s="100" t="str">
        <f>'Data Vlaue (Cr)'!C75</f>
        <v>GRASIM</v>
      </c>
      <c r="B80" s="82">
        <f>VLOOKUP(A80,'Data shares'!$C$2:$CV$220,98,0)</f>
        <v>17094000</v>
      </c>
      <c r="C80" s="82">
        <f>VLOOKUP(A80,'Data shares'!$C$2:$CX$220,100,0)</f>
        <v>110750</v>
      </c>
      <c r="D80" s="141">
        <f>VLOOKUP(A80,'Data shares'!$C$2:$CY$543,101,0)</f>
        <v>6.4999999999999997E-3</v>
      </c>
      <c r="E80" s="86">
        <f>VLOOKUP($A80,'Data shares'!$C:$FA,74)</f>
        <v>14285500</v>
      </c>
      <c r="F80" s="86">
        <f>VLOOKUP($A80,'Data shares'!$C:$FA,76)</f>
        <v>117000</v>
      </c>
      <c r="G80" s="87">
        <f>VLOOKUP(A80,'Data shares'!$C$2:$CA$220,77,0)</f>
        <v>8.3000000000000001E-3</v>
      </c>
      <c r="H80" s="86">
        <f>VLOOKUP($A80,'Data shares'!$C:$FA,90)</f>
        <v>1490000</v>
      </c>
      <c r="I80" s="86">
        <f>VLOOKUP($A80,'Data shares'!$C:$FA,92)</f>
        <v>-39250</v>
      </c>
      <c r="J80" s="87">
        <f>VLOOKUP($A80,'Data shares'!$C:$FA,93)</f>
        <v>-2.5700000000000001E-2</v>
      </c>
      <c r="K80" s="86">
        <f>VLOOKUP($A80,'Data shares'!$C:$FA,94)</f>
        <v>1318500</v>
      </c>
      <c r="L80" s="86">
        <f>VLOOKUP($A80,'Data shares'!$C:$FA,96)</f>
        <v>33000</v>
      </c>
      <c r="M80" s="87">
        <f>VLOOKUP($A80,'Data shares'!$C:$FA,97)</f>
        <v>2.5700000000000001E-2</v>
      </c>
      <c r="N80" s="86">
        <f>VLOOKUP($A80,'Data shares'!$C:$FA,78)</f>
        <v>6089500</v>
      </c>
      <c r="O80" s="87">
        <f>VLOOKUP($A80,'Data shares'!$C:$FA,81)</f>
        <v>-0.33879999999999999</v>
      </c>
    </row>
    <row r="81" spans="1:15" x14ac:dyDescent="0.25">
      <c r="A81" s="100" t="str">
        <f>'Data Vlaue (Cr)'!C76</f>
        <v>HAL</v>
      </c>
      <c r="B81" s="82">
        <f>VLOOKUP(A81,'Data shares'!$C$2:$CV$220,98,0)</f>
        <v>14127450</v>
      </c>
      <c r="C81" s="82">
        <f>VLOOKUP(A81,'Data shares'!$C$2:$CX$220,100,0)</f>
        <v>10050</v>
      </c>
      <c r="D81" s="141">
        <f>VLOOKUP(A81,'Data shares'!$C$2:$CY$543,101,0)</f>
        <v>6.9999999999999999E-4</v>
      </c>
      <c r="E81" s="86">
        <f>VLOOKUP($A81,'Data shares'!$C:$FA,74)</f>
        <v>7596000</v>
      </c>
      <c r="F81" s="86">
        <f>VLOOKUP($A81,'Data shares'!$C:$FA,76)</f>
        <v>66300</v>
      </c>
      <c r="G81" s="87">
        <f>VLOOKUP(A81,'Data shares'!$C$2:$CA$220,77,0)</f>
        <v>8.8000000000000005E-3</v>
      </c>
      <c r="H81" s="86">
        <f>VLOOKUP($A81,'Data shares'!$C:$FA,90)</f>
        <v>3356250</v>
      </c>
      <c r="I81" s="86">
        <f>VLOOKUP($A81,'Data shares'!$C:$FA,92)</f>
        <v>-49800</v>
      </c>
      <c r="J81" s="87">
        <f>VLOOKUP($A81,'Data shares'!$C:$FA,93)</f>
        <v>-1.46E-2</v>
      </c>
      <c r="K81" s="86">
        <f>VLOOKUP($A81,'Data shares'!$C:$FA,94)</f>
        <v>3175200</v>
      </c>
      <c r="L81" s="86">
        <f>VLOOKUP($A81,'Data shares'!$C:$FA,96)</f>
        <v>-6450</v>
      </c>
      <c r="M81" s="87">
        <f>VLOOKUP($A81,'Data shares'!$C:$FA,97)</f>
        <v>-2E-3</v>
      </c>
      <c r="N81" s="86">
        <f>VLOOKUP($A81,'Data shares'!$C:$FA,78)</f>
        <v>4695900</v>
      </c>
      <c r="O81" s="87">
        <f>VLOOKUP($A81,'Data shares'!$C:$FA,81)</f>
        <v>-0.17219999999999999</v>
      </c>
    </row>
    <row r="82" spans="1:15" x14ac:dyDescent="0.25">
      <c r="A82" s="100" t="str">
        <f>'Data Vlaue (Cr)'!C77</f>
        <v>HAVELLS</v>
      </c>
      <c r="B82" s="82">
        <f>VLOOKUP(A82,'Data shares'!$C$2:$CV$220,98,0)</f>
        <v>31212000</v>
      </c>
      <c r="C82" s="82">
        <f>VLOOKUP(A82,'Data shares'!$C$2:$CX$220,100,0)</f>
        <v>3950500</v>
      </c>
      <c r="D82" s="141">
        <f>VLOOKUP(A82,'Data shares'!$C$2:$CY$543,101,0)</f>
        <v>0.1449</v>
      </c>
      <c r="E82" s="86">
        <f>VLOOKUP($A82,'Data shares'!$C:$FA,74)</f>
        <v>10918500</v>
      </c>
      <c r="F82" s="86">
        <f>VLOOKUP($A82,'Data shares'!$C:$FA,76)</f>
        <v>439500</v>
      </c>
      <c r="G82" s="87">
        <f>VLOOKUP(A82,'Data shares'!$C$2:$CA$220,77,0)</f>
        <v>4.19E-2</v>
      </c>
      <c r="H82" s="86">
        <f>VLOOKUP($A82,'Data shares'!$C:$FA,90)</f>
        <v>14337500</v>
      </c>
      <c r="I82" s="86">
        <f>VLOOKUP($A82,'Data shares'!$C:$FA,92)</f>
        <v>2982000</v>
      </c>
      <c r="J82" s="87">
        <f>VLOOKUP($A82,'Data shares'!$C:$FA,93)</f>
        <v>0.2626</v>
      </c>
      <c r="K82" s="86">
        <f>VLOOKUP($A82,'Data shares'!$C:$FA,94)</f>
        <v>5956000</v>
      </c>
      <c r="L82" s="86">
        <f>VLOOKUP($A82,'Data shares'!$C:$FA,96)</f>
        <v>529000</v>
      </c>
      <c r="M82" s="87">
        <f>VLOOKUP($A82,'Data shares'!$C:$FA,97)</f>
        <v>9.7500000000000003E-2</v>
      </c>
      <c r="N82" s="86">
        <f>VLOOKUP($A82,'Data shares'!$C:$FA,78)</f>
        <v>5671500</v>
      </c>
      <c r="O82" s="87">
        <f>VLOOKUP($A82,'Data shares'!$C:$FA,81)</f>
        <v>-0.35930000000000001</v>
      </c>
    </row>
    <row r="83" spans="1:15" x14ac:dyDescent="0.25">
      <c r="A83" s="100" t="str">
        <f>'Data Vlaue (Cr)'!C78</f>
        <v>HCLTECH</v>
      </c>
      <c r="B83" s="82">
        <f>VLOOKUP(A83,'Data shares'!$C$2:$CV$220,98,0)</f>
        <v>105836850</v>
      </c>
      <c r="C83" s="82">
        <f>VLOOKUP(A83,'Data shares'!$C$2:$CX$220,100,0)</f>
        <v>-431200</v>
      </c>
      <c r="D83" s="141">
        <f>VLOOKUP(A83,'Data shares'!$C$2:$CY$543,101,0)</f>
        <v>-4.1000000000000003E-3</v>
      </c>
      <c r="E83" s="86">
        <f>VLOOKUP($A83,'Data shares'!$C:$FA,74)</f>
        <v>48702150</v>
      </c>
      <c r="F83" s="86">
        <f>VLOOKUP($A83,'Data shares'!$C:$FA,76)</f>
        <v>-3264100</v>
      </c>
      <c r="G83" s="87">
        <f>VLOOKUP(A83,'Data shares'!$C$2:$CA$220,77,0)</f>
        <v>-6.2799999999999995E-2</v>
      </c>
      <c r="H83" s="86">
        <f>VLOOKUP($A83,'Data shares'!$C:$FA,90)</f>
        <v>39749500</v>
      </c>
      <c r="I83" s="86">
        <f>VLOOKUP($A83,'Data shares'!$C:$FA,92)</f>
        <v>1983100</v>
      </c>
      <c r="J83" s="87">
        <f>VLOOKUP($A83,'Data shares'!$C:$FA,93)</f>
        <v>5.2499999999999998E-2</v>
      </c>
      <c r="K83" s="86">
        <f>VLOOKUP($A83,'Data shares'!$C:$FA,94)</f>
        <v>17385200</v>
      </c>
      <c r="L83" s="86">
        <f>VLOOKUP($A83,'Data shares'!$C:$FA,96)</f>
        <v>849800</v>
      </c>
      <c r="M83" s="87">
        <f>VLOOKUP($A83,'Data shares'!$C:$FA,97)</f>
        <v>5.1400000000000001E-2</v>
      </c>
      <c r="N83" s="86">
        <f>VLOOKUP($A83,'Data shares'!$C:$FA,78)</f>
        <v>22625750</v>
      </c>
      <c r="O83" s="87">
        <f>VLOOKUP($A83,'Data shares'!$C:$FA,81)</f>
        <v>-0.36180000000000001</v>
      </c>
    </row>
    <row r="84" spans="1:15" x14ac:dyDescent="0.25">
      <c r="A84" s="100" t="str">
        <f>'Data Vlaue (Cr)'!C79</f>
        <v>HDFCAMC</v>
      </c>
      <c r="B84" s="82">
        <f>VLOOKUP(A84,'Data shares'!$C$2:$CV$220,98,0)</f>
        <v>9061500</v>
      </c>
      <c r="C84" s="82">
        <f>VLOOKUP(A84,'Data shares'!$C$2:$CX$220,100,0)</f>
        <v>-565200</v>
      </c>
      <c r="D84" s="141">
        <f>VLOOKUP(A84,'Data shares'!$C$2:$CY$543,101,0)</f>
        <v>-5.8700000000000002E-2</v>
      </c>
      <c r="E84" s="86">
        <f>VLOOKUP($A84,'Data shares'!$C:$FA,74)</f>
        <v>5360100</v>
      </c>
      <c r="F84" s="86">
        <f>VLOOKUP($A84,'Data shares'!$C:$FA,76)</f>
        <v>-55500</v>
      </c>
      <c r="G84" s="87">
        <f>VLOOKUP(A84,'Data shares'!$C$2:$CA$220,77,0)</f>
        <v>-1.0200000000000001E-2</v>
      </c>
      <c r="H84" s="86">
        <f>VLOOKUP($A84,'Data shares'!$C:$FA,90)</f>
        <v>2029800</v>
      </c>
      <c r="I84" s="86">
        <f>VLOOKUP($A84,'Data shares'!$C:$FA,92)</f>
        <v>-248700</v>
      </c>
      <c r="J84" s="87">
        <f>VLOOKUP($A84,'Data shares'!$C:$FA,93)</f>
        <v>-0.10920000000000001</v>
      </c>
      <c r="K84" s="86">
        <f>VLOOKUP($A84,'Data shares'!$C:$FA,94)</f>
        <v>1671600</v>
      </c>
      <c r="L84" s="86">
        <f>VLOOKUP($A84,'Data shares'!$C:$FA,96)</f>
        <v>-261000</v>
      </c>
      <c r="M84" s="87">
        <f>VLOOKUP($A84,'Data shares'!$C:$FA,97)</f>
        <v>-0.1351</v>
      </c>
      <c r="N84" s="86">
        <f>VLOOKUP($A84,'Data shares'!$C:$FA,78)</f>
        <v>3684300</v>
      </c>
      <c r="O84" s="87">
        <f>VLOOKUP($A84,'Data shares'!$C:$FA,81)</f>
        <v>-0.253</v>
      </c>
    </row>
    <row r="85" spans="1:15" x14ac:dyDescent="0.25">
      <c r="A85" s="100" t="str">
        <f>'Data Vlaue (Cr)'!C80</f>
        <v>HDFCBANK</v>
      </c>
      <c r="B85" s="82">
        <f>VLOOKUP(A85,'Data shares'!$C$2:$CV$220,98,0)</f>
        <v>489404850</v>
      </c>
      <c r="C85" s="82">
        <f>VLOOKUP(A85,'Data shares'!$C$2:$CX$220,100,0)</f>
        <v>15991800</v>
      </c>
      <c r="D85" s="141">
        <f>VLOOKUP(A85,'Data shares'!$C$2:$CY$543,101,0)</f>
        <v>3.3799999999999997E-2</v>
      </c>
      <c r="E85" s="86">
        <f>VLOOKUP($A85,'Data shares'!$C:$FA,74)</f>
        <v>330663850</v>
      </c>
      <c r="F85" s="86">
        <f>VLOOKUP($A85,'Data shares'!$C:$FA,76)</f>
        <v>6454250</v>
      </c>
      <c r="G85" s="87">
        <f>VLOOKUP(A85,'Data shares'!$C$2:$CA$220,77,0)</f>
        <v>1.9900000000000001E-2</v>
      </c>
      <c r="H85" s="86">
        <f>VLOOKUP($A85,'Data shares'!$C:$FA,90)</f>
        <v>105068150</v>
      </c>
      <c r="I85" s="86">
        <f>VLOOKUP($A85,'Data shares'!$C:$FA,92)</f>
        <v>9230100</v>
      </c>
      <c r="J85" s="87">
        <f>VLOOKUP($A85,'Data shares'!$C:$FA,93)</f>
        <v>9.6299999999999997E-2</v>
      </c>
      <c r="K85" s="86">
        <f>VLOOKUP($A85,'Data shares'!$C:$FA,94)</f>
        <v>53672850</v>
      </c>
      <c r="L85" s="86">
        <f>VLOOKUP($A85,'Data shares'!$C:$FA,96)</f>
        <v>307450</v>
      </c>
      <c r="M85" s="87">
        <f>VLOOKUP($A85,'Data shares'!$C:$FA,97)</f>
        <v>5.7999999999999996E-3</v>
      </c>
      <c r="N85" s="86">
        <f>VLOOKUP($A85,'Data shares'!$C:$FA,78)</f>
        <v>166111550</v>
      </c>
      <c r="O85" s="87">
        <f>VLOOKUP($A85,'Data shares'!$C:$FA,81)</f>
        <v>-0.24260000000000001</v>
      </c>
    </row>
    <row r="86" spans="1:15" x14ac:dyDescent="0.25">
      <c r="A86" s="100" t="str">
        <f>'Data Vlaue (Cr)'!C81</f>
        <v>HDFCLIFE</v>
      </c>
      <c r="B86" s="82">
        <f>VLOOKUP(A86,'Data shares'!$C$2:$CV$220,98,0)</f>
        <v>77051700</v>
      </c>
      <c r="C86" s="82">
        <f>VLOOKUP(A86,'Data shares'!$C$2:$CX$220,100,0)</f>
        <v>-1532300</v>
      </c>
      <c r="D86" s="141">
        <f>VLOOKUP(A86,'Data shares'!$C$2:$CY$543,101,0)</f>
        <v>-1.95E-2</v>
      </c>
      <c r="E86" s="86">
        <f>VLOOKUP($A86,'Data shares'!$C:$FA,74)</f>
        <v>46142800</v>
      </c>
      <c r="F86" s="86">
        <f>VLOOKUP($A86,'Data shares'!$C:$FA,76)</f>
        <v>517000</v>
      </c>
      <c r="G86" s="87">
        <f>VLOOKUP(A86,'Data shares'!$C$2:$CA$220,77,0)</f>
        <v>1.1299999999999999E-2</v>
      </c>
      <c r="H86" s="86">
        <f>VLOOKUP($A86,'Data shares'!$C:$FA,90)</f>
        <v>19900100</v>
      </c>
      <c r="I86" s="86">
        <f>VLOOKUP($A86,'Data shares'!$C:$FA,92)</f>
        <v>-1115400</v>
      </c>
      <c r="J86" s="87">
        <f>VLOOKUP($A86,'Data shares'!$C:$FA,93)</f>
        <v>-5.3100000000000001E-2</v>
      </c>
      <c r="K86" s="86">
        <f>VLOOKUP($A86,'Data shares'!$C:$FA,94)</f>
        <v>11008800</v>
      </c>
      <c r="L86" s="86">
        <f>VLOOKUP($A86,'Data shares'!$C:$FA,96)</f>
        <v>-933900</v>
      </c>
      <c r="M86" s="87">
        <f>VLOOKUP($A86,'Data shares'!$C:$FA,97)</f>
        <v>-7.8200000000000006E-2</v>
      </c>
      <c r="N86" s="86">
        <f>VLOOKUP($A86,'Data shares'!$C:$FA,78)</f>
        <v>24825900</v>
      </c>
      <c r="O86" s="87">
        <f>VLOOKUP($A86,'Data shares'!$C:$FA,81)</f>
        <v>-0.20610000000000001</v>
      </c>
    </row>
    <row r="87" spans="1:15" x14ac:dyDescent="0.25">
      <c r="A87" s="100" t="str">
        <f>'Data Vlaue (Cr)'!C82</f>
        <v>HEROMOTOCO</v>
      </c>
      <c r="B87" s="82">
        <f>VLOOKUP(A87,'Data shares'!$C$2:$CV$220,98,0)</f>
        <v>8880300</v>
      </c>
      <c r="C87" s="82">
        <f>VLOOKUP(A87,'Data shares'!$C$2:$CX$220,100,0)</f>
        <v>537900</v>
      </c>
      <c r="D87" s="141">
        <f>VLOOKUP(A87,'Data shares'!$C$2:$CY$543,101,0)</f>
        <v>6.4500000000000002E-2</v>
      </c>
      <c r="E87" s="86">
        <f>VLOOKUP($A87,'Data shares'!$C:$FA,74)</f>
        <v>4548150</v>
      </c>
      <c r="F87" s="86">
        <f>VLOOKUP($A87,'Data shares'!$C:$FA,76)</f>
        <v>132600</v>
      </c>
      <c r="G87" s="87">
        <f>VLOOKUP(A87,'Data shares'!$C$2:$CA$220,77,0)</f>
        <v>0.03</v>
      </c>
      <c r="H87" s="86">
        <f>VLOOKUP($A87,'Data shares'!$C:$FA,90)</f>
        <v>2998800</v>
      </c>
      <c r="I87" s="86">
        <f>VLOOKUP($A87,'Data shares'!$C:$FA,92)</f>
        <v>460350</v>
      </c>
      <c r="J87" s="87">
        <f>VLOOKUP($A87,'Data shares'!$C:$FA,93)</f>
        <v>0.18140000000000001</v>
      </c>
      <c r="K87" s="86">
        <f>VLOOKUP($A87,'Data shares'!$C:$FA,94)</f>
        <v>1333350</v>
      </c>
      <c r="L87" s="86">
        <f>VLOOKUP($A87,'Data shares'!$C:$FA,96)</f>
        <v>-55050</v>
      </c>
      <c r="M87" s="87">
        <f>VLOOKUP($A87,'Data shares'!$C:$FA,97)</f>
        <v>-3.9600000000000003E-2</v>
      </c>
      <c r="N87" s="86">
        <f>VLOOKUP($A87,'Data shares'!$C:$FA,78)</f>
        <v>2874300</v>
      </c>
      <c r="O87" s="87">
        <f>VLOOKUP($A87,'Data shares'!$C:$FA,81)</f>
        <v>-0.2515</v>
      </c>
    </row>
    <row r="88" spans="1:15" x14ac:dyDescent="0.25">
      <c r="A88" s="100" t="str">
        <f>'Data Vlaue (Cr)'!C83</f>
        <v>HINDALCO</v>
      </c>
      <c r="B88" s="82">
        <f>VLOOKUP(A88,'Data shares'!$C$2:$CV$220,98,0)</f>
        <v>63560000</v>
      </c>
      <c r="C88" s="82">
        <f>VLOOKUP(A88,'Data shares'!$C$2:$CX$220,100,0)</f>
        <v>238000</v>
      </c>
      <c r="D88" s="141">
        <f>VLOOKUP(A88,'Data shares'!$C$2:$CY$543,101,0)</f>
        <v>3.8E-3</v>
      </c>
      <c r="E88" s="86">
        <f>VLOOKUP($A88,'Data shares'!$C:$FA,74)</f>
        <v>36743000</v>
      </c>
      <c r="F88" s="86">
        <f>VLOOKUP($A88,'Data shares'!$C:$FA,76)</f>
        <v>534800</v>
      </c>
      <c r="G88" s="87">
        <f>VLOOKUP(A88,'Data shares'!$C$2:$CA$220,77,0)</f>
        <v>1.4800000000000001E-2</v>
      </c>
      <c r="H88" s="86">
        <f>VLOOKUP($A88,'Data shares'!$C:$FA,90)</f>
        <v>15260700</v>
      </c>
      <c r="I88" s="86">
        <f>VLOOKUP($A88,'Data shares'!$C:$FA,92)</f>
        <v>85400</v>
      </c>
      <c r="J88" s="87">
        <f>VLOOKUP($A88,'Data shares'!$C:$FA,93)</f>
        <v>5.5999999999999999E-3</v>
      </c>
      <c r="K88" s="86">
        <f>VLOOKUP($A88,'Data shares'!$C:$FA,94)</f>
        <v>11556300</v>
      </c>
      <c r="L88" s="86">
        <f>VLOOKUP($A88,'Data shares'!$C:$FA,96)</f>
        <v>-382200</v>
      </c>
      <c r="M88" s="87">
        <f>VLOOKUP($A88,'Data shares'!$C:$FA,97)</f>
        <v>-3.2000000000000001E-2</v>
      </c>
      <c r="N88" s="86">
        <f>VLOOKUP($A88,'Data shares'!$C:$FA,78)</f>
        <v>19617500</v>
      </c>
      <c r="O88" s="87">
        <f>VLOOKUP($A88,'Data shares'!$C:$FA,81)</f>
        <v>-0.25819999999999999</v>
      </c>
    </row>
    <row r="89" spans="1:15" x14ac:dyDescent="0.25">
      <c r="A89" s="100" t="str">
        <f>'Data Vlaue (Cr)'!C84</f>
        <v>HINDPETRO</v>
      </c>
      <c r="B89" s="82">
        <f>VLOOKUP(A89,'Data shares'!$C$2:$CV$220,98,0)</f>
        <v>74289150</v>
      </c>
      <c r="C89" s="82">
        <f>VLOOKUP(A89,'Data shares'!$C$2:$CX$220,100,0)</f>
        <v>-97200</v>
      </c>
      <c r="D89" s="141">
        <f>VLOOKUP(A89,'Data shares'!$C$2:$CY$543,101,0)</f>
        <v>-1.2999999999999999E-3</v>
      </c>
      <c r="E89" s="86">
        <f>VLOOKUP($A89,'Data shares'!$C:$FA,74)</f>
        <v>38637000</v>
      </c>
      <c r="F89" s="86">
        <f>VLOOKUP($A89,'Data shares'!$C:$FA,76)</f>
        <v>895050</v>
      </c>
      <c r="G89" s="87">
        <f>VLOOKUP(A89,'Data shares'!$C$2:$CA$220,77,0)</f>
        <v>2.3699999999999999E-2</v>
      </c>
      <c r="H89" s="86">
        <f>VLOOKUP($A89,'Data shares'!$C:$FA,90)</f>
        <v>18160200</v>
      </c>
      <c r="I89" s="86">
        <f>VLOOKUP($A89,'Data shares'!$C:$FA,92)</f>
        <v>50625</v>
      </c>
      <c r="J89" s="87">
        <f>VLOOKUP($A89,'Data shares'!$C:$FA,93)</f>
        <v>2.8E-3</v>
      </c>
      <c r="K89" s="86">
        <f>VLOOKUP($A89,'Data shares'!$C:$FA,94)</f>
        <v>17491950</v>
      </c>
      <c r="L89" s="86">
        <f>VLOOKUP($A89,'Data shares'!$C:$FA,96)</f>
        <v>-1042875</v>
      </c>
      <c r="M89" s="87">
        <f>VLOOKUP($A89,'Data shares'!$C:$FA,97)</f>
        <v>-5.6300000000000003E-2</v>
      </c>
      <c r="N89" s="86">
        <f>VLOOKUP($A89,'Data shares'!$C:$FA,78)</f>
        <v>24923700</v>
      </c>
      <c r="O89" s="87">
        <f>VLOOKUP($A89,'Data shares'!$C:$FA,81)</f>
        <v>-0.22650000000000001</v>
      </c>
    </row>
    <row r="90" spans="1:15" x14ac:dyDescent="0.25">
      <c r="A90" s="100" t="str">
        <f>'Data Vlaue (Cr)'!C85</f>
        <v>HINDUNILVR</v>
      </c>
      <c r="B90" s="82">
        <f>VLOOKUP(A90,'Data shares'!$C$2:$CV$220,98,0)</f>
        <v>34132200</v>
      </c>
      <c r="C90" s="82">
        <f>VLOOKUP(A90,'Data shares'!$C$2:$CX$220,100,0)</f>
        <v>-182400</v>
      </c>
      <c r="D90" s="141">
        <f>VLOOKUP(A90,'Data shares'!$C$2:$CY$543,101,0)</f>
        <v>-5.3E-3</v>
      </c>
      <c r="E90" s="86">
        <f>VLOOKUP($A90,'Data shares'!$C:$FA,74)</f>
        <v>18011700</v>
      </c>
      <c r="F90" s="86">
        <f>VLOOKUP($A90,'Data shares'!$C:$FA,76)</f>
        <v>-409500</v>
      </c>
      <c r="G90" s="87">
        <f>VLOOKUP(A90,'Data shares'!$C$2:$CA$220,77,0)</f>
        <v>-2.2200000000000001E-2</v>
      </c>
      <c r="H90" s="86">
        <f>VLOOKUP($A90,'Data shares'!$C:$FA,90)</f>
        <v>9144000</v>
      </c>
      <c r="I90" s="86">
        <f>VLOOKUP($A90,'Data shares'!$C:$FA,92)</f>
        <v>257400</v>
      </c>
      <c r="J90" s="87">
        <f>VLOOKUP($A90,'Data shares'!$C:$FA,93)</f>
        <v>2.9000000000000001E-2</v>
      </c>
      <c r="K90" s="86">
        <f>VLOOKUP($A90,'Data shares'!$C:$FA,94)</f>
        <v>6976500</v>
      </c>
      <c r="L90" s="86">
        <f>VLOOKUP($A90,'Data shares'!$C:$FA,96)</f>
        <v>-30300</v>
      </c>
      <c r="M90" s="87">
        <f>VLOOKUP($A90,'Data shares'!$C:$FA,97)</f>
        <v>-4.3E-3</v>
      </c>
      <c r="N90" s="86">
        <f>VLOOKUP($A90,'Data shares'!$C:$FA,78)</f>
        <v>11073300</v>
      </c>
      <c r="O90" s="87">
        <f>VLOOKUP($A90,'Data shares'!$C:$FA,81)</f>
        <v>-0.32779999999999998</v>
      </c>
    </row>
    <row r="91" spans="1:15" x14ac:dyDescent="0.25">
      <c r="A91" s="100" t="str">
        <f>'Data Vlaue (Cr)'!C86</f>
        <v>HINDZINC</v>
      </c>
      <c r="B91" s="82">
        <f>VLOOKUP(A91,'Data shares'!$C$2:$CV$220,98,0)</f>
        <v>83021925</v>
      </c>
      <c r="C91" s="82">
        <f>VLOOKUP(A91,'Data shares'!$C$2:$CX$220,100,0)</f>
        <v>5691350</v>
      </c>
      <c r="D91" s="141">
        <f>VLOOKUP(A91,'Data shares'!$C$2:$CY$543,101,0)</f>
        <v>7.3599999999999999E-2</v>
      </c>
      <c r="E91" s="86">
        <f>VLOOKUP($A91,'Data shares'!$C:$FA,74)</f>
        <v>42948500</v>
      </c>
      <c r="F91" s="86">
        <f>VLOOKUP($A91,'Data shares'!$C:$FA,76)</f>
        <v>4134375</v>
      </c>
      <c r="G91" s="87">
        <f>VLOOKUP(A91,'Data shares'!$C$2:$CA$220,77,0)</f>
        <v>0.1065</v>
      </c>
      <c r="H91" s="86">
        <f>VLOOKUP($A91,'Data shares'!$C:$FA,90)</f>
        <v>23185575</v>
      </c>
      <c r="I91" s="86">
        <f>VLOOKUP($A91,'Data shares'!$C:$FA,92)</f>
        <v>1828925</v>
      </c>
      <c r="J91" s="87">
        <f>VLOOKUP($A91,'Data shares'!$C:$FA,93)</f>
        <v>8.5599999999999996E-2</v>
      </c>
      <c r="K91" s="86">
        <f>VLOOKUP($A91,'Data shares'!$C:$FA,94)</f>
        <v>16887850</v>
      </c>
      <c r="L91" s="86">
        <f>VLOOKUP($A91,'Data shares'!$C:$FA,96)</f>
        <v>-271950</v>
      </c>
      <c r="M91" s="87">
        <f>VLOOKUP($A91,'Data shares'!$C:$FA,97)</f>
        <v>-1.5800000000000002E-2</v>
      </c>
      <c r="N91" s="86">
        <f>VLOOKUP($A91,'Data shares'!$C:$FA,78)</f>
        <v>27846700</v>
      </c>
      <c r="O91" s="87">
        <f>VLOOKUP($A91,'Data shares'!$C:$FA,81)</f>
        <v>-8.3599999999999994E-2</v>
      </c>
    </row>
    <row r="92" spans="1:15" x14ac:dyDescent="0.25">
      <c r="A92" s="100" t="str">
        <f>'Data Vlaue (Cr)'!C87</f>
        <v>HUDCO</v>
      </c>
      <c r="B92" s="82">
        <f>VLOOKUP(A92,'Data shares'!$C$2:$CV$220,98,0)</f>
        <v>48071325</v>
      </c>
      <c r="C92" s="82">
        <f>VLOOKUP(A92,'Data shares'!$C$2:$CX$220,100,0)</f>
        <v>-391275</v>
      </c>
      <c r="D92" s="141">
        <f>VLOOKUP(A92,'Data shares'!$C$2:$CY$543,101,0)</f>
        <v>-8.0999999999999996E-3</v>
      </c>
      <c r="E92" s="86">
        <f>VLOOKUP($A92,'Data shares'!$C:$FA,74)</f>
        <v>22818825</v>
      </c>
      <c r="F92" s="86">
        <f>VLOOKUP($A92,'Data shares'!$C:$FA,76)</f>
        <v>-1465200</v>
      </c>
      <c r="G92" s="87">
        <f>VLOOKUP(A92,'Data shares'!$C$2:$CA$220,77,0)</f>
        <v>-6.0299999999999999E-2</v>
      </c>
      <c r="H92" s="86">
        <f>VLOOKUP($A92,'Data shares'!$C:$FA,90)</f>
        <v>12898200</v>
      </c>
      <c r="I92" s="86">
        <f>VLOOKUP($A92,'Data shares'!$C:$FA,92)</f>
        <v>-455100</v>
      </c>
      <c r="J92" s="87">
        <f>VLOOKUP($A92,'Data shares'!$C:$FA,93)</f>
        <v>-3.4099999999999998E-2</v>
      </c>
      <c r="K92" s="86">
        <f>VLOOKUP($A92,'Data shares'!$C:$FA,94)</f>
        <v>12354300</v>
      </c>
      <c r="L92" s="86">
        <f>VLOOKUP($A92,'Data shares'!$C:$FA,96)</f>
        <v>1529025</v>
      </c>
      <c r="M92" s="87">
        <f>VLOOKUP($A92,'Data shares'!$C:$FA,97)</f>
        <v>0.14119999999999999</v>
      </c>
      <c r="N92" s="86">
        <f>VLOOKUP($A92,'Data shares'!$C:$FA,78)</f>
        <v>22818825</v>
      </c>
      <c r="O92" s="87">
        <f>VLOOKUP($A92,'Data shares'!$C:$FA,81)</f>
        <v>-6.0299999999999999E-2</v>
      </c>
    </row>
    <row r="93" spans="1:15" x14ac:dyDescent="0.25">
      <c r="A93" s="100" t="str">
        <f>'Data Vlaue (Cr)'!C88</f>
        <v>HYUNDAI</v>
      </c>
      <c r="B93" s="82">
        <f>VLOOKUP(A93,'Data shares'!$C$2:$CV$220,98,0)</f>
        <v>9521325</v>
      </c>
      <c r="C93" s="82">
        <f>VLOOKUP(A93,'Data shares'!$C$2:$CX$220,100,0)</f>
        <v>-1078825</v>
      </c>
      <c r="D93" s="141">
        <f>VLOOKUP(A93,'Data shares'!$C$2:$CY$543,101,0)</f>
        <v>-0.1018</v>
      </c>
      <c r="E93" s="86">
        <f>VLOOKUP($A93,'Data shares'!$C:$FA,74)</f>
        <v>7871050</v>
      </c>
      <c r="F93" s="86">
        <f>VLOOKUP($A93,'Data shares'!$C:$FA,76)</f>
        <v>-1055725</v>
      </c>
      <c r="G93" s="87">
        <f>VLOOKUP(A93,'Data shares'!$C$2:$CA$220,77,0)</f>
        <v>-0.1183</v>
      </c>
      <c r="H93" s="86">
        <f>VLOOKUP($A93,'Data shares'!$C:$FA,90)</f>
        <v>1062600</v>
      </c>
      <c r="I93" s="86">
        <f>VLOOKUP($A93,'Data shares'!$C:$FA,92)</f>
        <v>65175</v>
      </c>
      <c r="J93" s="87">
        <f>VLOOKUP($A93,'Data shares'!$C:$FA,93)</f>
        <v>6.5299999999999997E-2</v>
      </c>
      <c r="K93" s="86">
        <f>VLOOKUP($A93,'Data shares'!$C:$FA,94)</f>
        <v>587675</v>
      </c>
      <c r="L93" s="86">
        <f>VLOOKUP($A93,'Data shares'!$C:$FA,96)</f>
        <v>-88275</v>
      </c>
      <c r="M93" s="87">
        <f>VLOOKUP($A93,'Data shares'!$C:$FA,97)</f>
        <v>-0.13059999999999999</v>
      </c>
      <c r="N93" s="86">
        <f>VLOOKUP($A93,'Data shares'!$C:$FA,78)</f>
        <v>3428425</v>
      </c>
      <c r="O93" s="87">
        <f>VLOOKUP($A93,'Data shares'!$C:$FA,81)</f>
        <v>-0.43880000000000002</v>
      </c>
    </row>
    <row r="94" spans="1:15" x14ac:dyDescent="0.25">
      <c r="A94" s="100" t="str">
        <f>'Data Vlaue (Cr)'!C89</f>
        <v>ICICIBANK</v>
      </c>
      <c r="B94" s="82">
        <f>VLOOKUP(A94,'Data shares'!$C$2:$CV$220,98,0)</f>
        <v>166280800</v>
      </c>
      <c r="C94" s="82">
        <f>VLOOKUP(A94,'Data shares'!$C$2:$CX$220,100,0)</f>
        <v>-552300</v>
      </c>
      <c r="D94" s="141">
        <f>VLOOKUP(A94,'Data shares'!$C$2:$CY$543,101,0)</f>
        <v>-3.3E-3</v>
      </c>
      <c r="E94" s="86">
        <f>VLOOKUP($A94,'Data shares'!$C:$FA,74)</f>
        <v>115542700</v>
      </c>
      <c r="F94" s="86">
        <f>VLOOKUP($A94,'Data shares'!$C:$FA,76)</f>
        <v>656600</v>
      </c>
      <c r="G94" s="87">
        <f>VLOOKUP(A94,'Data shares'!$C$2:$CA$220,77,0)</f>
        <v>5.7000000000000002E-3</v>
      </c>
      <c r="H94" s="86">
        <f>VLOOKUP($A94,'Data shares'!$C:$FA,90)</f>
        <v>28632100</v>
      </c>
      <c r="I94" s="86">
        <f>VLOOKUP($A94,'Data shares'!$C:$FA,92)</f>
        <v>-417200</v>
      </c>
      <c r="J94" s="87">
        <f>VLOOKUP($A94,'Data shares'!$C:$FA,93)</f>
        <v>-1.44E-2</v>
      </c>
      <c r="K94" s="86">
        <f>VLOOKUP($A94,'Data shares'!$C:$FA,94)</f>
        <v>22106000</v>
      </c>
      <c r="L94" s="86">
        <f>VLOOKUP($A94,'Data shares'!$C:$FA,96)</f>
        <v>-791700</v>
      </c>
      <c r="M94" s="87">
        <f>VLOOKUP($A94,'Data shares'!$C:$FA,97)</f>
        <v>-3.4599999999999999E-2</v>
      </c>
      <c r="N94" s="86">
        <f>VLOOKUP($A94,'Data shares'!$C:$FA,78)</f>
        <v>50201200</v>
      </c>
      <c r="O94" s="87">
        <f>VLOOKUP($A94,'Data shares'!$C:$FA,81)</f>
        <v>-0.30780000000000002</v>
      </c>
    </row>
    <row r="95" spans="1:15" x14ac:dyDescent="0.25">
      <c r="A95" s="100" t="str">
        <f>'Data Vlaue (Cr)'!C90</f>
        <v>ICICIGI</v>
      </c>
      <c r="B95" s="82">
        <f>VLOOKUP(A95,'Data shares'!$C$2:$CV$220,98,0)</f>
        <v>7673575</v>
      </c>
      <c r="C95" s="82">
        <f>VLOOKUP(A95,'Data shares'!$C$2:$CX$220,100,0)</f>
        <v>-97825</v>
      </c>
      <c r="D95" s="141">
        <f>VLOOKUP(A95,'Data shares'!$C$2:$CY$543,101,0)</f>
        <v>-1.26E-2</v>
      </c>
      <c r="E95" s="86">
        <f>VLOOKUP($A95,'Data shares'!$C:$FA,74)</f>
        <v>5542875</v>
      </c>
      <c r="F95" s="86">
        <f>VLOOKUP($A95,'Data shares'!$C:$FA,76)</f>
        <v>16575</v>
      </c>
      <c r="G95" s="87">
        <f>VLOOKUP(A95,'Data shares'!$C$2:$CA$220,77,0)</f>
        <v>3.0000000000000001E-3</v>
      </c>
      <c r="H95" s="86">
        <f>VLOOKUP($A95,'Data shares'!$C:$FA,90)</f>
        <v>1198925</v>
      </c>
      <c r="I95" s="86">
        <f>VLOOKUP($A95,'Data shares'!$C:$FA,92)</f>
        <v>-42250</v>
      </c>
      <c r="J95" s="87">
        <f>VLOOKUP($A95,'Data shares'!$C:$FA,93)</f>
        <v>-3.4000000000000002E-2</v>
      </c>
      <c r="K95" s="86">
        <f>VLOOKUP($A95,'Data shares'!$C:$FA,94)</f>
        <v>931775</v>
      </c>
      <c r="L95" s="86">
        <f>VLOOKUP($A95,'Data shares'!$C:$FA,96)</f>
        <v>-72150</v>
      </c>
      <c r="M95" s="87">
        <f>VLOOKUP($A95,'Data shares'!$C:$FA,97)</f>
        <v>-7.1900000000000006E-2</v>
      </c>
      <c r="N95" s="86">
        <f>VLOOKUP($A95,'Data shares'!$C:$FA,78)</f>
        <v>4113850</v>
      </c>
      <c r="O95" s="87">
        <f>VLOOKUP($A95,'Data shares'!$C:$FA,81)</f>
        <v>-0.2019</v>
      </c>
    </row>
    <row r="96" spans="1:15" x14ac:dyDescent="0.25">
      <c r="A96" s="100" t="str">
        <f>'Data Vlaue (Cr)'!C91</f>
        <v>ICICIPRULI</v>
      </c>
      <c r="B96" s="82">
        <f>VLOOKUP(A96,'Data shares'!$C$2:$CV$220,98,0)</f>
        <v>34311950</v>
      </c>
      <c r="C96" s="82">
        <f>VLOOKUP(A96,'Data shares'!$C$2:$CX$220,100,0)</f>
        <v>100825</v>
      </c>
      <c r="D96" s="141">
        <f>VLOOKUP(A96,'Data shares'!$C$2:$CY$543,101,0)</f>
        <v>2.8999999999999998E-3</v>
      </c>
      <c r="E96" s="86">
        <f>VLOOKUP($A96,'Data shares'!$C:$FA,74)</f>
        <v>21651475</v>
      </c>
      <c r="F96" s="86">
        <f>VLOOKUP($A96,'Data shares'!$C:$FA,76)</f>
        <v>181300</v>
      </c>
      <c r="G96" s="87">
        <f>VLOOKUP(A96,'Data shares'!$C$2:$CA$220,77,0)</f>
        <v>8.3999999999999995E-3</v>
      </c>
      <c r="H96" s="86">
        <f>VLOOKUP($A96,'Data shares'!$C:$FA,90)</f>
        <v>7560950</v>
      </c>
      <c r="I96" s="86">
        <f>VLOOKUP($A96,'Data shares'!$C:$FA,92)</f>
        <v>-276575</v>
      </c>
      <c r="J96" s="87">
        <f>VLOOKUP($A96,'Data shares'!$C:$FA,93)</f>
        <v>-3.5299999999999998E-2</v>
      </c>
      <c r="K96" s="86">
        <f>VLOOKUP($A96,'Data shares'!$C:$FA,94)</f>
        <v>5099525</v>
      </c>
      <c r="L96" s="86">
        <f>VLOOKUP($A96,'Data shares'!$C:$FA,96)</f>
        <v>196100</v>
      </c>
      <c r="M96" s="87">
        <f>VLOOKUP($A96,'Data shares'!$C:$FA,97)</f>
        <v>0.04</v>
      </c>
      <c r="N96" s="86">
        <f>VLOOKUP($A96,'Data shares'!$C:$FA,78)</f>
        <v>14821275</v>
      </c>
      <c r="O96" s="87">
        <f>VLOOKUP($A96,'Data shares'!$C:$FA,81)</f>
        <v>-0.25609999999999999</v>
      </c>
    </row>
    <row r="97" spans="1:15" x14ac:dyDescent="0.25">
      <c r="A97" s="100" t="str">
        <f>'Data Vlaue (Cr)'!C92</f>
        <v>IDEA</v>
      </c>
      <c r="B97" s="82">
        <f>VLOOKUP(A97,'Data shares'!$C$2:$CV$220,98,0)</f>
        <v>8868903900</v>
      </c>
      <c r="C97" s="82">
        <f>VLOOKUP(A97,'Data shares'!$C$2:$CX$220,100,0)</f>
        <v>-21656925</v>
      </c>
      <c r="D97" s="141">
        <f>VLOOKUP(A97,'Data shares'!$C$2:$CY$543,101,0)</f>
        <v>-2.3999999999999998E-3</v>
      </c>
      <c r="E97" s="86">
        <f>VLOOKUP($A97,'Data shares'!$C:$FA,74)</f>
        <v>6628662975</v>
      </c>
      <c r="F97" s="86">
        <f>VLOOKUP($A97,'Data shares'!$C:$FA,76)</f>
        <v>-13008450</v>
      </c>
      <c r="G97" s="87">
        <f>VLOOKUP(A97,'Data shares'!$C$2:$CA$220,77,0)</f>
        <v>-2E-3</v>
      </c>
      <c r="H97" s="86">
        <f>VLOOKUP($A97,'Data shares'!$C:$FA,90)</f>
        <v>1502547450</v>
      </c>
      <c r="I97" s="86">
        <f>VLOOKUP($A97,'Data shares'!$C:$FA,92)</f>
        <v>4574400</v>
      </c>
      <c r="J97" s="87">
        <f>VLOOKUP($A97,'Data shares'!$C:$FA,93)</f>
        <v>3.0999999999999999E-3</v>
      </c>
      <c r="K97" s="86">
        <f>VLOOKUP($A97,'Data shares'!$C:$FA,94)</f>
        <v>737693475</v>
      </c>
      <c r="L97" s="86">
        <f>VLOOKUP($A97,'Data shares'!$C:$FA,96)</f>
        <v>-13222875</v>
      </c>
      <c r="M97" s="87">
        <f>VLOOKUP($A97,'Data shares'!$C:$FA,97)</f>
        <v>-1.7600000000000001E-2</v>
      </c>
      <c r="N97" s="86">
        <f>VLOOKUP($A97,'Data shares'!$C:$FA,78)</f>
        <v>3827986575</v>
      </c>
      <c r="O97" s="87">
        <f>VLOOKUP($A97,'Data shares'!$C:$FA,81)</f>
        <v>-0.1762</v>
      </c>
    </row>
    <row r="98" spans="1:15" x14ac:dyDescent="0.25">
      <c r="A98" s="100" t="str">
        <f>'Data Vlaue (Cr)'!C93</f>
        <v>IDFCFIRSTB</v>
      </c>
      <c r="B98" s="82">
        <f>VLOOKUP(A98,'Data shares'!$C$2:$CV$220,98,0)</f>
        <v>648897550</v>
      </c>
      <c r="C98" s="82">
        <f>VLOOKUP(A98,'Data shares'!$C$2:$CX$220,100,0)</f>
        <v>-5926725</v>
      </c>
      <c r="D98" s="141">
        <f>VLOOKUP(A98,'Data shares'!$C$2:$CY$543,101,0)</f>
        <v>-9.1000000000000004E-3</v>
      </c>
      <c r="E98" s="86">
        <f>VLOOKUP($A98,'Data shares'!$C:$FA,74)</f>
        <v>402841075</v>
      </c>
      <c r="F98" s="86">
        <f>VLOOKUP($A98,'Data shares'!$C:$FA,76)</f>
        <v>-5815425</v>
      </c>
      <c r="G98" s="87">
        <f>VLOOKUP(A98,'Data shares'!$C$2:$CA$220,77,0)</f>
        <v>-1.4200000000000001E-2</v>
      </c>
      <c r="H98" s="86">
        <f>VLOOKUP($A98,'Data shares'!$C:$FA,90)</f>
        <v>128097025</v>
      </c>
      <c r="I98" s="86">
        <f>VLOOKUP($A98,'Data shares'!$C:$FA,92)</f>
        <v>2188900</v>
      </c>
      <c r="J98" s="87">
        <f>VLOOKUP($A98,'Data shares'!$C:$FA,93)</f>
        <v>1.7399999999999999E-2</v>
      </c>
      <c r="K98" s="86">
        <f>VLOOKUP($A98,'Data shares'!$C:$FA,94)</f>
        <v>117959450</v>
      </c>
      <c r="L98" s="86">
        <f>VLOOKUP($A98,'Data shares'!$C:$FA,96)</f>
        <v>-2300200</v>
      </c>
      <c r="M98" s="87">
        <f>VLOOKUP($A98,'Data shares'!$C:$FA,97)</f>
        <v>-1.9099999999999999E-2</v>
      </c>
      <c r="N98" s="86">
        <f>VLOOKUP($A98,'Data shares'!$C:$FA,78)</f>
        <v>192437700</v>
      </c>
      <c r="O98" s="87">
        <f>VLOOKUP($A98,'Data shares'!$C:$FA,81)</f>
        <v>-0.30299999999999999</v>
      </c>
    </row>
    <row r="99" spans="1:15" x14ac:dyDescent="0.25">
      <c r="A99" s="100" t="str">
        <f>'Data Vlaue (Cr)'!C94</f>
        <v>IEX</v>
      </c>
      <c r="B99" s="82">
        <f>VLOOKUP(A99,'Data shares'!$C$2:$CV$220,98,0)</f>
        <v>181751250</v>
      </c>
      <c r="C99" s="82">
        <f>VLOOKUP(A99,'Data shares'!$C$2:$CX$220,100,0)</f>
        <v>2797500</v>
      </c>
      <c r="D99" s="141">
        <f>VLOOKUP(A99,'Data shares'!$C$2:$CY$543,101,0)</f>
        <v>1.5599999999999999E-2</v>
      </c>
      <c r="E99" s="86">
        <f>VLOOKUP($A99,'Data shares'!$C:$FA,74)</f>
        <v>75090000</v>
      </c>
      <c r="F99" s="86">
        <f>VLOOKUP($A99,'Data shares'!$C:$FA,76)</f>
        <v>-8538750</v>
      </c>
      <c r="G99" s="87">
        <f>VLOOKUP(A99,'Data shares'!$C$2:$CA$220,77,0)</f>
        <v>-0.1021</v>
      </c>
      <c r="H99" s="86">
        <f>VLOOKUP($A99,'Data shares'!$C:$FA,90)</f>
        <v>60686250</v>
      </c>
      <c r="I99" s="86">
        <f>VLOOKUP($A99,'Data shares'!$C:$FA,92)</f>
        <v>5846250</v>
      </c>
      <c r="J99" s="87">
        <f>VLOOKUP($A99,'Data shares'!$C:$FA,93)</f>
        <v>0.1066</v>
      </c>
      <c r="K99" s="86">
        <f>VLOOKUP($A99,'Data shares'!$C:$FA,94)</f>
        <v>45975000</v>
      </c>
      <c r="L99" s="86">
        <f>VLOOKUP($A99,'Data shares'!$C:$FA,96)</f>
        <v>5490000</v>
      </c>
      <c r="M99" s="87">
        <f>VLOOKUP($A99,'Data shares'!$C:$FA,97)</f>
        <v>0.1356</v>
      </c>
      <c r="N99" s="86">
        <f>VLOOKUP($A99,'Data shares'!$C:$FA,78)</f>
        <v>48720000</v>
      </c>
      <c r="O99" s="87">
        <f>VLOOKUP($A99,'Data shares'!$C:$FA,81)</f>
        <v>-0.2195</v>
      </c>
    </row>
    <row r="100" spans="1:15" x14ac:dyDescent="0.25">
      <c r="A100" s="100" t="str">
        <f>'Data Vlaue (Cr)'!C95</f>
        <v>INDHOTEL</v>
      </c>
      <c r="B100" s="82">
        <f>VLOOKUP(A100,'Data shares'!$C$2:$CV$220,98,0)</f>
        <v>35301000</v>
      </c>
      <c r="C100" s="82">
        <f>VLOOKUP(A100,'Data shares'!$C$2:$CX$220,100,0)</f>
        <v>1102000</v>
      </c>
      <c r="D100" s="141">
        <f>VLOOKUP(A100,'Data shares'!$C$2:$CY$543,101,0)</f>
        <v>3.2199999999999999E-2</v>
      </c>
      <c r="E100" s="86">
        <f>VLOOKUP($A100,'Data shares'!$C:$FA,74)</f>
        <v>23030000</v>
      </c>
      <c r="F100" s="86">
        <f>VLOOKUP($A100,'Data shares'!$C:$FA,76)</f>
        <v>1219000</v>
      </c>
      <c r="G100" s="87">
        <f>VLOOKUP(A100,'Data shares'!$C$2:$CA$220,77,0)</f>
        <v>5.5899999999999998E-2</v>
      </c>
      <c r="H100" s="86">
        <f>VLOOKUP($A100,'Data shares'!$C:$FA,90)</f>
        <v>6242000</v>
      </c>
      <c r="I100" s="86">
        <f>VLOOKUP($A100,'Data shares'!$C:$FA,92)</f>
        <v>-135000</v>
      </c>
      <c r="J100" s="87">
        <f>VLOOKUP($A100,'Data shares'!$C:$FA,93)</f>
        <v>-2.12E-2</v>
      </c>
      <c r="K100" s="86">
        <f>VLOOKUP($A100,'Data shares'!$C:$FA,94)</f>
        <v>6029000</v>
      </c>
      <c r="L100" s="86">
        <f>VLOOKUP($A100,'Data shares'!$C:$FA,96)</f>
        <v>18000</v>
      </c>
      <c r="M100" s="87">
        <f>VLOOKUP($A100,'Data shares'!$C:$FA,97)</f>
        <v>3.0000000000000001E-3</v>
      </c>
      <c r="N100" s="86">
        <f>VLOOKUP($A100,'Data shares'!$C:$FA,78)</f>
        <v>14786000</v>
      </c>
      <c r="O100" s="87">
        <f>VLOOKUP($A100,'Data shares'!$C:$FA,81)</f>
        <v>-0.1842</v>
      </c>
    </row>
    <row r="101" spans="1:15" x14ac:dyDescent="0.25">
      <c r="A101" s="100" t="str">
        <f>'Data Vlaue (Cr)'!C96</f>
        <v>INDIANB</v>
      </c>
      <c r="B101" s="82">
        <f>VLOOKUP(A101,'Data shares'!$C$2:$CV$220,98,0)</f>
        <v>21114000</v>
      </c>
      <c r="C101" s="82">
        <f>VLOOKUP(A101,'Data shares'!$C$2:$CX$220,100,0)</f>
        <v>-763000</v>
      </c>
      <c r="D101" s="141">
        <f>VLOOKUP(A101,'Data shares'!$C$2:$CY$543,101,0)</f>
        <v>-3.49E-2</v>
      </c>
      <c r="E101" s="86">
        <f>VLOOKUP($A101,'Data shares'!$C:$FA,74)</f>
        <v>10418000</v>
      </c>
      <c r="F101" s="86">
        <f>VLOOKUP($A101,'Data shares'!$C:$FA,76)</f>
        <v>-760000</v>
      </c>
      <c r="G101" s="87">
        <f>VLOOKUP(A101,'Data shares'!$C$2:$CA$220,77,0)</f>
        <v>-6.8000000000000005E-2</v>
      </c>
      <c r="H101" s="86">
        <f>VLOOKUP($A101,'Data shares'!$C:$FA,90)</f>
        <v>6871000</v>
      </c>
      <c r="I101" s="86">
        <f>VLOOKUP($A101,'Data shares'!$C:$FA,92)</f>
        <v>-127000</v>
      </c>
      <c r="J101" s="87">
        <f>VLOOKUP($A101,'Data shares'!$C:$FA,93)</f>
        <v>-1.8100000000000002E-2</v>
      </c>
      <c r="K101" s="86">
        <f>VLOOKUP($A101,'Data shares'!$C:$FA,94)</f>
        <v>3825000</v>
      </c>
      <c r="L101" s="86">
        <f>VLOOKUP($A101,'Data shares'!$C:$FA,96)</f>
        <v>124000</v>
      </c>
      <c r="M101" s="87">
        <f>VLOOKUP($A101,'Data shares'!$C:$FA,97)</f>
        <v>3.3500000000000002E-2</v>
      </c>
      <c r="N101" s="86">
        <f>VLOOKUP($A101,'Data shares'!$C:$FA,78)</f>
        <v>7623000</v>
      </c>
      <c r="O101" s="87">
        <f>VLOOKUP($A101,'Data shares'!$C:$FA,81)</f>
        <v>-0.21440000000000001</v>
      </c>
    </row>
    <row r="102" spans="1:15" x14ac:dyDescent="0.25">
      <c r="A102" s="100" t="str">
        <f>'Data Vlaue (Cr)'!C97</f>
        <v>INDIAVIX</v>
      </c>
      <c r="B102" s="82">
        <f>VLOOKUP(A102,'Data shares'!$C$2:$CV$220,98,0)</f>
        <v>0</v>
      </c>
      <c r="C102" s="82">
        <f>VLOOKUP(A102,'Data shares'!$C$2:$CX$220,100,0)</f>
        <v>0</v>
      </c>
      <c r="D102" s="141">
        <f>VLOOKUP(A102,'Data shares'!$C$2:$CY$543,101,0)</f>
        <v>0</v>
      </c>
      <c r="E102" s="86">
        <f>VLOOKUP($A102,'Data shares'!$C:$FA,74)</f>
        <v>0</v>
      </c>
      <c r="F102" s="86">
        <f>VLOOKUP($A102,'Data shares'!$C:$FA,76)</f>
        <v>0</v>
      </c>
      <c r="G102" s="87">
        <f>VLOOKUP(A102,'Data shares'!$C$2:$CA$220,77,0)</f>
        <v>0</v>
      </c>
      <c r="H102" s="86">
        <f>VLOOKUP($A102,'Data shares'!$C:$FA,90)</f>
        <v>0</v>
      </c>
      <c r="I102" s="86">
        <f>VLOOKUP($A102,'Data shares'!$C:$FA,92)</f>
        <v>0</v>
      </c>
      <c r="J102" s="87">
        <f>VLOOKUP($A102,'Data shares'!$C:$FA,93)</f>
        <v>0</v>
      </c>
      <c r="K102" s="86">
        <f>VLOOKUP($A102,'Data shares'!$C:$FA,94)</f>
        <v>0</v>
      </c>
      <c r="L102" s="86">
        <f>VLOOKUP($A102,'Data shares'!$C:$FA,96)</f>
        <v>0</v>
      </c>
      <c r="M102" s="87">
        <f>VLOOKUP($A102,'Data shares'!$C:$FA,97)</f>
        <v>0</v>
      </c>
      <c r="N102" s="86">
        <f>VLOOKUP($A102,'Data shares'!$C:$FA,78)</f>
        <v>0</v>
      </c>
      <c r="O102" s="87">
        <f>VLOOKUP($A102,'Data shares'!$C:$FA,81)</f>
        <v>0</v>
      </c>
    </row>
    <row r="103" spans="1:15" x14ac:dyDescent="0.25">
      <c r="A103" s="100" t="str">
        <f>'Data Vlaue (Cr)'!C98</f>
        <v>INDIGO</v>
      </c>
      <c r="B103" s="82">
        <f>VLOOKUP(A103,'Data shares'!$C$2:$CV$220,98,0)</f>
        <v>18121800</v>
      </c>
      <c r="C103" s="82">
        <f>VLOOKUP(A103,'Data shares'!$C$2:$CX$220,100,0)</f>
        <v>43800</v>
      </c>
      <c r="D103" s="141">
        <f>VLOOKUP(A103,'Data shares'!$C$2:$CY$543,101,0)</f>
        <v>2.3999999999999998E-3</v>
      </c>
      <c r="E103" s="86">
        <f>VLOOKUP($A103,'Data shares'!$C:$FA,74)</f>
        <v>7278000</v>
      </c>
      <c r="F103" s="86">
        <f>VLOOKUP($A103,'Data shares'!$C:$FA,76)</f>
        <v>203700</v>
      </c>
      <c r="G103" s="87">
        <f>VLOOKUP(A103,'Data shares'!$C$2:$CA$220,77,0)</f>
        <v>2.8799999999999999E-2</v>
      </c>
      <c r="H103" s="86">
        <f>VLOOKUP($A103,'Data shares'!$C:$FA,90)</f>
        <v>6527550</v>
      </c>
      <c r="I103" s="86">
        <f>VLOOKUP($A103,'Data shares'!$C:$FA,92)</f>
        <v>30900</v>
      </c>
      <c r="J103" s="87">
        <f>VLOOKUP($A103,'Data shares'!$C:$FA,93)</f>
        <v>4.7999999999999996E-3</v>
      </c>
      <c r="K103" s="86">
        <f>VLOOKUP($A103,'Data shares'!$C:$FA,94)</f>
        <v>4316250</v>
      </c>
      <c r="L103" s="86">
        <f>VLOOKUP($A103,'Data shares'!$C:$FA,96)</f>
        <v>-190800</v>
      </c>
      <c r="M103" s="87">
        <f>VLOOKUP($A103,'Data shares'!$C:$FA,97)</f>
        <v>-4.2299999999999997E-2</v>
      </c>
      <c r="N103" s="86">
        <f>VLOOKUP($A103,'Data shares'!$C:$FA,78)</f>
        <v>4930350</v>
      </c>
      <c r="O103" s="87">
        <f>VLOOKUP($A103,'Data shares'!$C:$FA,81)</f>
        <v>-0.23150000000000001</v>
      </c>
    </row>
    <row r="104" spans="1:15" x14ac:dyDescent="0.25">
      <c r="A104" s="100" t="str">
        <f>'Data Vlaue (Cr)'!C99</f>
        <v>INDUSINDBK</v>
      </c>
      <c r="B104" s="82">
        <f>VLOOKUP(A104,'Data shares'!$C$2:$CV$220,98,0)</f>
        <v>54272400</v>
      </c>
      <c r="C104" s="82">
        <f>VLOOKUP(A104,'Data shares'!$C$2:$CX$220,100,0)</f>
        <v>1622600</v>
      </c>
      <c r="D104" s="141">
        <f>VLOOKUP(A104,'Data shares'!$C$2:$CY$543,101,0)</f>
        <v>3.0800000000000001E-2</v>
      </c>
      <c r="E104" s="86">
        <f>VLOOKUP($A104,'Data shares'!$C:$FA,74)</f>
        <v>38895500</v>
      </c>
      <c r="F104" s="86">
        <f>VLOOKUP($A104,'Data shares'!$C:$FA,76)</f>
        <v>990500</v>
      </c>
      <c r="G104" s="87">
        <f>VLOOKUP(A104,'Data shares'!$C$2:$CA$220,77,0)</f>
        <v>2.6100000000000002E-2</v>
      </c>
      <c r="H104" s="86">
        <f>VLOOKUP($A104,'Data shares'!$C:$FA,90)</f>
        <v>8688400</v>
      </c>
      <c r="I104" s="86">
        <f>VLOOKUP($A104,'Data shares'!$C:$FA,92)</f>
        <v>674100</v>
      </c>
      <c r="J104" s="87">
        <f>VLOOKUP($A104,'Data shares'!$C:$FA,93)</f>
        <v>8.4099999999999994E-2</v>
      </c>
      <c r="K104" s="86">
        <f>VLOOKUP($A104,'Data shares'!$C:$FA,94)</f>
        <v>6688500</v>
      </c>
      <c r="L104" s="86">
        <f>VLOOKUP($A104,'Data shares'!$C:$FA,96)</f>
        <v>-42000</v>
      </c>
      <c r="M104" s="87">
        <f>VLOOKUP($A104,'Data shares'!$C:$FA,97)</f>
        <v>-6.1999999999999998E-3</v>
      </c>
      <c r="N104" s="86">
        <f>VLOOKUP($A104,'Data shares'!$C:$FA,78)</f>
        <v>24226300</v>
      </c>
      <c r="O104" s="87">
        <f>VLOOKUP($A104,'Data shares'!$C:$FA,81)</f>
        <v>-0.2581</v>
      </c>
    </row>
    <row r="105" spans="1:15" x14ac:dyDescent="0.25">
      <c r="A105" s="100" t="str">
        <f>'Data Vlaue (Cr)'!C100</f>
        <v>INDUSTOWER</v>
      </c>
      <c r="B105" s="82">
        <f>VLOOKUP(A105,'Data shares'!$C$2:$CV$220,98,0)</f>
        <v>119873800</v>
      </c>
      <c r="C105" s="82">
        <f>VLOOKUP(A105,'Data shares'!$C$2:$CX$220,100,0)</f>
        <v>1881900</v>
      </c>
      <c r="D105" s="141">
        <f>VLOOKUP(A105,'Data shares'!$C$2:$CY$543,101,0)</f>
        <v>1.5900000000000001E-2</v>
      </c>
      <c r="E105" s="86">
        <f>VLOOKUP($A105,'Data shares'!$C:$FA,74)</f>
        <v>79723200</v>
      </c>
      <c r="F105" s="86">
        <f>VLOOKUP($A105,'Data shares'!$C:$FA,76)</f>
        <v>3080400</v>
      </c>
      <c r="G105" s="87">
        <f>VLOOKUP(A105,'Data shares'!$C$2:$CA$220,77,0)</f>
        <v>4.02E-2</v>
      </c>
      <c r="H105" s="86">
        <f>VLOOKUP($A105,'Data shares'!$C:$FA,90)</f>
        <v>26169800</v>
      </c>
      <c r="I105" s="86">
        <f>VLOOKUP($A105,'Data shares'!$C:$FA,92)</f>
        <v>-479400</v>
      </c>
      <c r="J105" s="87">
        <f>VLOOKUP($A105,'Data shares'!$C:$FA,93)</f>
        <v>-1.7999999999999999E-2</v>
      </c>
      <c r="K105" s="86">
        <f>VLOOKUP($A105,'Data shares'!$C:$FA,94)</f>
        <v>13980800</v>
      </c>
      <c r="L105" s="86">
        <f>VLOOKUP($A105,'Data shares'!$C:$FA,96)</f>
        <v>-719100</v>
      </c>
      <c r="M105" s="87">
        <f>VLOOKUP($A105,'Data shares'!$C:$FA,97)</f>
        <v>-4.8899999999999999E-2</v>
      </c>
      <c r="N105" s="86">
        <f>VLOOKUP($A105,'Data shares'!$C:$FA,78)</f>
        <v>48820600</v>
      </c>
      <c r="O105" s="87">
        <f>VLOOKUP($A105,'Data shares'!$C:$FA,81)</f>
        <v>-0.15759999999999999</v>
      </c>
    </row>
    <row r="106" spans="1:15" x14ac:dyDescent="0.25">
      <c r="A106" s="100" t="str">
        <f>'Data Vlaue (Cr)'!C101</f>
        <v>INFY</v>
      </c>
      <c r="B106" s="82">
        <f>VLOOKUP(A106,'Data shares'!$C$2:$CV$220,98,0)</f>
        <v>159018400</v>
      </c>
      <c r="C106" s="82">
        <f>VLOOKUP(A106,'Data shares'!$C$2:$CX$220,100,0)</f>
        <v>19681200</v>
      </c>
      <c r="D106" s="141">
        <f>VLOOKUP(A106,'Data shares'!$C$2:$CY$543,101,0)</f>
        <v>0.14119999999999999</v>
      </c>
      <c r="E106" s="86">
        <f>VLOOKUP($A106,'Data shares'!$C:$FA,74)</f>
        <v>84775200</v>
      </c>
      <c r="F106" s="86">
        <f>VLOOKUP($A106,'Data shares'!$C:$FA,76)</f>
        <v>5491600</v>
      </c>
      <c r="G106" s="87">
        <f>VLOOKUP(A106,'Data shares'!$C$2:$CA$220,77,0)</f>
        <v>6.93E-2</v>
      </c>
      <c r="H106" s="86">
        <f>VLOOKUP($A106,'Data shares'!$C:$FA,90)</f>
        <v>41668000</v>
      </c>
      <c r="I106" s="86">
        <f>VLOOKUP($A106,'Data shares'!$C:$FA,92)</f>
        <v>7965600</v>
      </c>
      <c r="J106" s="87">
        <f>VLOOKUP($A106,'Data shares'!$C:$FA,93)</f>
        <v>0.2364</v>
      </c>
      <c r="K106" s="86">
        <f>VLOOKUP($A106,'Data shares'!$C:$FA,94)</f>
        <v>32575200</v>
      </c>
      <c r="L106" s="86">
        <f>VLOOKUP($A106,'Data shares'!$C:$FA,96)</f>
        <v>6224000</v>
      </c>
      <c r="M106" s="87">
        <f>VLOOKUP($A106,'Data shares'!$C:$FA,97)</f>
        <v>0.23619999999999999</v>
      </c>
      <c r="N106" s="86">
        <f>VLOOKUP($A106,'Data shares'!$C:$FA,78)</f>
        <v>52834400</v>
      </c>
      <c r="O106" s="87">
        <f>VLOOKUP($A106,'Data shares'!$C:$FA,81)</f>
        <v>-0.21049999999999999</v>
      </c>
    </row>
    <row r="107" spans="1:15" x14ac:dyDescent="0.25">
      <c r="A107" s="100" t="str">
        <f>'Data Vlaue (Cr)'!C102</f>
        <v>INOXWIND</v>
      </c>
      <c r="B107" s="82">
        <f>VLOOKUP(A107,'Data shares'!$C$2:$CV$220,98,0)</f>
        <v>146199625</v>
      </c>
      <c r="C107" s="82">
        <f>VLOOKUP(A107,'Data shares'!$C$2:$CX$220,100,0)</f>
        <v>139425</v>
      </c>
      <c r="D107" s="141">
        <f>VLOOKUP(A107,'Data shares'!$C$2:$CY$543,101,0)</f>
        <v>1E-3</v>
      </c>
      <c r="E107" s="86">
        <f>VLOOKUP($A107,'Data shares'!$C:$FA,74)</f>
        <v>96342675</v>
      </c>
      <c r="F107" s="86">
        <f>VLOOKUP($A107,'Data shares'!$C:$FA,76)</f>
        <v>-600600</v>
      </c>
      <c r="G107" s="87">
        <f>VLOOKUP(A107,'Data shares'!$C$2:$CA$220,77,0)</f>
        <v>-6.1999999999999998E-3</v>
      </c>
      <c r="H107" s="86">
        <f>VLOOKUP($A107,'Data shares'!$C:$FA,90)</f>
        <v>26197600</v>
      </c>
      <c r="I107" s="86">
        <f>VLOOKUP($A107,'Data shares'!$C:$FA,92)</f>
        <v>289575</v>
      </c>
      <c r="J107" s="87">
        <f>VLOOKUP($A107,'Data shares'!$C:$FA,93)</f>
        <v>1.12E-2</v>
      </c>
      <c r="K107" s="86">
        <f>VLOOKUP($A107,'Data shares'!$C:$FA,94)</f>
        <v>23659350</v>
      </c>
      <c r="L107" s="86">
        <f>VLOOKUP($A107,'Data shares'!$C:$FA,96)</f>
        <v>450450</v>
      </c>
      <c r="M107" s="87">
        <f>VLOOKUP($A107,'Data shares'!$C:$FA,97)</f>
        <v>1.9400000000000001E-2</v>
      </c>
      <c r="N107" s="86">
        <f>VLOOKUP($A107,'Data shares'!$C:$FA,78)</f>
        <v>53532050</v>
      </c>
      <c r="O107" s="87">
        <f>VLOOKUP($A107,'Data shares'!$C:$FA,81)</f>
        <v>-0.23180000000000001</v>
      </c>
    </row>
    <row r="108" spans="1:15" x14ac:dyDescent="0.25">
      <c r="A108" s="100" t="str">
        <f>'Data Vlaue (Cr)'!C103</f>
        <v>IOC</v>
      </c>
      <c r="B108" s="82">
        <f>VLOOKUP(A108,'Data shares'!$C$2:$CV$220,98,0)</f>
        <v>219794250</v>
      </c>
      <c r="C108" s="82">
        <f>VLOOKUP(A108,'Data shares'!$C$2:$CX$220,100,0)</f>
        <v>-1945125</v>
      </c>
      <c r="D108" s="141">
        <f>VLOOKUP(A108,'Data shares'!$C$2:$CY$543,101,0)</f>
        <v>-8.8000000000000005E-3</v>
      </c>
      <c r="E108" s="86">
        <f>VLOOKUP($A108,'Data shares'!$C:$FA,74)</f>
        <v>103769250</v>
      </c>
      <c r="F108" s="86">
        <f>VLOOKUP($A108,'Data shares'!$C:$FA,76)</f>
        <v>126750</v>
      </c>
      <c r="G108" s="87">
        <f>VLOOKUP(A108,'Data shares'!$C$2:$CA$220,77,0)</f>
        <v>1.1999999999999999E-3</v>
      </c>
      <c r="H108" s="86">
        <f>VLOOKUP($A108,'Data shares'!$C:$FA,90)</f>
        <v>66641250</v>
      </c>
      <c r="I108" s="86">
        <f>VLOOKUP($A108,'Data shares'!$C:$FA,92)</f>
        <v>-1677000</v>
      </c>
      <c r="J108" s="87">
        <f>VLOOKUP($A108,'Data shares'!$C:$FA,93)</f>
        <v>-2.4500000000000001E-2</v>
      </c>
      <c r="K108" s="86">
        <f>VLOOKUP($A108,'Data shares'!$C:$FA,94)</f>
        <v>49383750</v>
      </c>
      <c r="L108" s="86">
        <f>VLOOKUP($A108,'Data shares'!$C:$FA,96)</f>
        <v>-394875</v>
      </c>
      <c r="M108" s="87">
        <f>VLOOKUP($A108,'Data shares'!$C:$FA,97)</f>
        <v>-7.9000000000000008E-3</v>
      </c>
      <c r="N108" s="86">
        <f>VLOOKUP($A108,'Data shares'!$C:$FA,78)</f>
        <v>61498125</v>
      </c>
      <c r="O108" s="87">
        <f>VLOOKUP($A108,'Data shares'!$C:$FA,81)</f>
        <v>-0.27560000000000001</v>
      </c>
    </row>
    <row r="109" spans="1:15" x14ac:dyDescent="0.25">
      <c r="A109" s="100" t="str">
        <f>'Data Vlaue (Cr)'!C104</f>
        <v>IREDA</v>
      </c>
      <c r="B109" s="82">
        <f>VLOOKUP(A109,'Data shares'!$C$2:$CV$220,98,0)</f>
        <v>121195050</v>
      </c>
      <c r="C109" s="82">
        <f>VLOOKUP(A109,'Data shares'!$C$2:$CX$220,100,0)</f>
        <v>-9415050</v>
      </c>
      <c r="D109" s="141">
        <f>VLOOKUP(A109,'Data shares'!$C$2:$CY$543,101,0)</f>
        <v>-7.2099999999999997E-2</v>
      </c>
      <c r="E109" s="86">
        <f>VLOOKUP($A109,'Data shares'!$C:$FA,74)</f>
        <v>56179800</v>
      </c>
      <c r="F109" s="86">
        <f>VLOOKUP($A109,'Data shares'!$C:$FA,76)</f>
        <v>-8400750</v>
      </c>
      <c r="G109" s="87">
        <f>VLOOKUP(A109,'Data shares'!$C$2:$CA$220,77,0)</f>
        <v>-0.13009999999999999</v>
      </c>
      <c r="H109" s="86">
        <f>VLOOKUP($A109,'Data shares'!$C:$FA,90)</f>
        <v>34344750</v>
      </c>
      <c r="I109" s="86">
        <f>VLOOKUP($A109,'Data shares'!$C:$FA,92)</f>
        <v>1459350</v>
      </c>
      <c r="J109" s="87">
        <f>VLOOKUP($A109,'Data shares'!$C:$FA,93)</f>
        <v>4.4400000000000002E-2</v>
      </c>
      <c r="K109" s="86">
        <f>VLOOKUP($A109,'Data shares'!$C:$FA,94)</f>
        <v>30670500</v>
      </c>
      <c r="L109" s="86">
        <f>VLOOKUP($A109,'Data shares'!$C:$FA,96)</f>
        <v>-2473650</v>
      </c>
      <c r="M109" s="87">
        <f>VLOOKUP($A109,'Data shares'!$C:$FA,97)</f>
        <v>-7.46E-2</v>
      </c>
      <c r="N109" s="86">
        <f>VLOOKUP($A109,'Data shares'!$C:$FA,78)</f>
        <v>26951400</v>
      </c>
      <c r="O109" s="87">
        <f>VLOOKUP($A109,'Data shares'!$C:$FA,81)</f>
        <v>-0.33889999999999998</v>
      </c>
    </row>
    <row r="110" spans="1:15" x14ac:dyDescent="0.25">
      <c r="A110" s="100" t="str">
        <f>'Data Vlaue (Cr)'!C105</f>
        <v>IRFC</v>
      </c>
      <c r="B110" s="82">
        <f>VLOOKUP(A110,'Data shares'!$C$2:$CV$220,98,0)</f>
        <v>152711000</v>
      </c>
      <c r="C110" s="82">
        <f>VLOOKUP(A110,'Data shares'!$C$2:$CX$220,100,0)</f>
        <v>15444500</v>
      </c>
      <c r="D110" s="141">
        <f>VLOOKUP(A110,'Data shares'!$C$2:$CY$543,101,0)</f>
        <v>0.1125</v>
      </c>
      <c r="E110" s="86">
        <f>VLOOKUP($A110,'Data shares'!$C:$FA,74)</f>
        <v>65348000</v>
      </c>
      <c r="F110" s="86">
        <f>VLOOKUP($A110,'Data shares'!$C:$FA,76)</f>
        <v>2295000</v>
      </c>
      <c r="G110" s="87">
        <f>VLOOKUP(A110,'Data shares'!$C$2:$CA$220,77,0)</f>
        <v>3.6400000000000002E-2</v>
      </c>
      <c r="H110" s="86">
        <f>VLOOKUP($A110,'Data shares'!$C:$FA,90)</f>
        <v>54982250</v>
      </c>
      <c r="I110" s="86">
        <f>VLOOKUP($A110,'Data shares'!$C:$FA,92)</f>
        <v>11466500</v>
      </c>
      <c r="J110" s="87">
        <f>VLOOKUP($A110,'Data shares'!$C:$FA,93)</f>
        <v>0.26350000000000001</v>
      </c>
      <c r="K110" s="86">
        <f>VLOOKUP($A110,'Data shares'!$C:$FA,94)</f>
        <v>32380750</v>
      </c>
      <c r="L110" s="86">
        <f>VLOOKUP($A110,'Data shares'!$C:$FA,96)</f>
        <v>1683000</v>
      </c>
      <c r="M110" s="87">
        <f>VLOOKUP($A110,'Data shares'!$C:$FA,97)</f>
        <v>5.4800000000000001E-2</v>
      </c>
      <c r="N110" s="86">
        <f>VLOOKUP($A110,'Data shares'!$C:$FA,78)</f>
        <v>31994000</v>
      </c>
      <c r="O110" s="87">
        <f>VLOOKUP($A110,'Data shares'!$C:$FA,81)</f>
        <v>-0.25080000000000002</v>
      </c>
    </row>
    <row r="111" spans="1:15" x14ac:dyDescent="0.25">
      <c r="A111" s="100" t="str">
        <f>'Data Vlaue (Cr)'!C106</f>
        <v>ITC</v>
      </c>
      <c r="B111" s="82">
        <f>VLOOKUP(A111,'Data shares'!$C$2:$CV$220,98,0)</f>
        <v>365785600</v>
      </c>
      <c r="C111" s="82">
        <f>VLOOKUP(A111,'Data shares'!$C$2:$CX$220,100,0)</f>
        <v>1393600</v>
      </c>
      <c r="D111" s="141">
        <f>VLOOKUP(A111,'Data shares'!$C$2:$CY$543,101,0)</f>
        <v>3.8E-3</v>
      </c>
      <c r="E111" s="86">
        <f>VLOOKUP($A111,'Data shares'!$C:$FA,74)</f>
        <v>176552000</v>
      </c>
      <c r="F111" s="86">
        <f>VLOOKUP($A111,'Data shares'!$C:$FA,76)</f>
        <v>1739200</v>
      </c>
      <c r="G111" s="87">
        <f>VLOOKUP(A111,'Data shares'!$C$2:$CA$220,77,0)</f>
        <v>9.9000000000000008E-3</v>
      </c>
      <c r="H111" s="86">
        <f>VLOOKUP($A111,'Data shares'!$C:$FA,90)</f>
        <v>125788800</v>
      </c>
      <c r="I111" s="86">
        <f>VLOOKUP($A111,'Data shares'!$C:$FA,92)</f>
        <v>-833600</v>
      </c>
      <c r="J111" s="87">
        <f>VLOOKUP($A111,'Data shares'!$C:$FA,93)</f>
        <v>-6.6E-3</v>
      </c>
      <c r="K111" s="86">
        <f>VLOOKUP($A111,'Data shares'!$C:$FA,94)</f>
        <v>63444800</v>
      </c>
      <c r="L111" s="86">
        <f>VLOOKUP($A111,'Data shares'!$C:$FA,96)</f>
        <v>488000</v>
      </c>
      <c r="M111" s="87">
        <f>VLOOKUP($A111,'Data shares'!$C:$FA,97)</f>
        <v>7.7999999999999996E-3</v>
      </c>
      <c r="N111" s="86">
        <f>VLOOKUP($A111,'Data shares'!$C:$FA,78)</f>
        <v>106334400</v>
      </c>
      <c r="O111" s="87">
        <f>VLOOKUP($A111,'Data shares'!$C:$FA,81)</f>
        <v>-0.1953</v>
      </c>
    </row>
    <row r="112" spans="1:15" x14ac:dyDescent="0.25">
      <c r="A112" s="100" t="str">
        <f>'Data Vlaue (Cr)'!C107</f>
        <v>JINDALSTEL</v>
      </c>
      <c r="B112" s="82">
        <f>VLOOKUP(A112,'Data shares'!$C$2:$CV$220,98,0)</f>
        <v>22072500</v>
      </c>
      <c r="C112" s="82">
        <f>VLOOKUP(A112,'Data shares'!$C$2:$CX$220,100,0)</f>
        <v>-406875</v>
      </c>
      <c r="D112" s="141">
        <f>VLOOKUP(A112,'Data shares'!$C$2:$CY$543,101,0)</f>
        <v>-1.8100000000000002E-2</v>
      </c>
      <c r="E112" s="86">
        <f>VLOOKUP($A112,'Data shares'!$C:$FA,74)</f>
        <v>13761875</v>
      </c>
      <c r="F112" s="86">
        <f>VLOOKUP($A112,'Data shares'!$C:$FA,76)</f>
        <v>-155000</v>
      </c>
      <c r="G112" s="87">
        <f>VLOOKUP(A112,'Data shares'!$C$2:$CA$220,77,0)</f>
        <v>-1.11E-2</v>
      </c>
      <c r="H112" s="86">
        <f>VLOOKUP($A112,'Data shares'!$C:$FA,90)</f>
        <v>4054375</v>
      </c>
      <c r="I112" s="86">
        <f>VLOOKUP($A112,'Data shares'!$C:$FA,92)</f>
        <v>8750</v>
      </c>
      <c r="J112" s="87">
        <f>VLOOKUP($A112,'Data shares'!$C:$FA,93)</f>
        <v>2.2000000000000001E-3</v>
      </c>
      <c r="K112" s="86">
        <f>VLOOKUP($A112,'Data shares'!$C:$FA,94)</f>
        <v>4256250</v>
      </c>
      <c r="L112" s="86">
        <f>VLOOKUP($A112,'Data shares'!$C:$FA,96)</f>
        <v>-260625</v>
      </c>
      <c r="M112" s="87">
        <f>VLOOKUP($A112,'Data shares'!$C:$FA,97)</f>
        <v>-5.7700000000000001E-2</v>
      </c>
      <c r="N112" s="86">
        <f>VLOOKUP($A112,'Data shares'!$C:$FA,78)</f>
        <v>8263750</v>
      </c>
      <c r="O112" s="87">
        <f>VLOOKUP($A112,'Data shares'!$C:$FA,81)</f>
        <v>-0.28849999999999998</v>
      </c>
    </row>
    <row r="113" spans="1:15" x14ac:dyDescent="0.25">
      <c r="A113" s="100" t="str">
        <f>'Data Vlaue (Cr)'!C108</f>
        <v>JIOFIN</v>
      </c>
      <c r="B113" s="82">
        <f>VLOOKUP(A113,'Data shares'!$C$2:$CV$220,98,0)</f>
        <v>316918650</v>
      </c>
      <c r="C113" s="82">
        <f>VLOOKUP(A113,'Data shares'!$C$2:$CX$220,100,0)</f>
        <v>1952850</v>
      </c>
      <c r="D113" s="141">
        <f>VLOOKUP(A113,'Data shares'!$C$2:$CY$543,101,0)</f>
        <v>6.1999999999999998E-3</v>
      </c>
      <c r="E113" s="86">
        <f>VLOOKUP($A113,'Data shares'!$C:$FA,74)</f>
        <v>192984350</v>
      </c>
      <c r="F113" s="86">
        <f>VLOOKUP($A113,'Data shares'!$C:$FA,76)</f>
        <v>10866400</v>
      </c>
      <c r="G113" s="87">
        <f>VLOOKUP(A113,'Data shares'!$C$2:$CA$220,77,0)</f>
        <v>5.9700000000000003E-2</v>
      </c>
      <c r="H113" s="86">
        <f>VLOOKUP($A113,'Data shares'!$C:$FA,90)</f>
        <v>72380000</v>
      </c>
      <c r="I113" s="86">
        <f>VLOOKUP($A113,'Data shares'!$C:$FA,92)</f>
        <v>-7263850</v>
      </c>
      <c r="J113" s="87">
        <f>VLOOKUP($A113,'Data shares'!$C:$FA,93)</f>
        <v>-9.1200000000000003E-2</v>
      </c>
      <c r="K113" s="86">
        <f>VLOOKUP($A113,'Data shares'!$C:$FA,94)</f>
        <v>51554300</v>
      </c>
      <c r="L113" s="86">
        <f>VLOOKUP($A113,'Data shares'!$C:$FA,96)</f>
        <v>-1649700</v>
      </c>
      <c r="M113" s="87">
        <f>VLOOKUP($A113,'Data shares'!$C:$FA,97)</f>
        <v>-3.1E-2</v>
      </c>
      <c r="N113" s="86">
        <f>VLOOKUP($A113,'Data shares'!$C:$FA,78)</f>
        <v>93031800</v>
      </c>
      <c r="O113" s="87">
        <f>VLOOKUP($A113,'Data shares'!$C:$FA,81)</f>
        <v>-0.20430000000000001</v>
      </c>
    </row>
    <row r="114" spans="1:15" x14ac:dyDescent="0.25">
      <c r="A114" s="100" t="str">
        <f>'Data Vlaue (Cr)'!C109</f>
        <v>JSWENERGY</v>
      </c>
      <c r="B114" s="82">
        <f>VLOOKUP(A114,'Data shares'!$C$2:$CV$220,98,0)</f>
        <v>40222000</v>
      </c>
      <c r="C114" s="82">
        <f>VLOOKUP(A114,'Data shares'!$C$2:$CX$220,100,0)</f>
        <v>-765000</v>
      </c>
      <c r="D114" s="141">
        <f>VLOOKUP(A114,'Data shares'!$C$2:$CY$543,101,0)</f>
        <v>-1.8700000000000001E-2</v>
      </c>
      <c r="E114" s="86">
        <f>VLOOKUP($A114,'Data shares'!$C:$FA,74)</f>
        <v>26158000</v>
      </c>
      <c r="F114" s="86">
        <f>VLOOKUP($A114,'Data shares'!$C:$FA,76)</f>
        <v>-892000</v>
      </c>
      <c r="G114" s="87">
        <f>VLOOKUP(A114,'Data shares'!$C$2:$CA$220,77,0)</f>
        <v>-3.3000000000000002E-2</v>
      </c>
      <c r="H114" s="86">
        <f>VLOOKUP($A114,'Data shares'!$C:$FA,90)</f>
        <v>8017000</v>
      </c>
      <c r="I114" s="86">
        <f>VLOOKUP($A114,'Data shares'!$C:$FA,92)</f>
        <v>-168000</v>
      </c>
      <c r="J114" s="87">
        <f>VLOOKUP($A114,'Data shares'!$C:$FA,93)</f>
        <v>-2.0500000000000001E-2</v>
      </c>
      <c r="K114" s="86">
        <f>VLOOKUP($A114,'Data shares'!$C:$FA,94)</f>
        <v>6047000</v>
      </c>
      <c r="L114" s="86">
        <f>VLOOKUP($A114,'Data shares'!$C:$FA,96)</f>
        <v>295000</v>
      </c>
      <c r="M114" s="87">
        <f>VLOOKUP($A114,'Data shares'!$C:$FA,97)</f>
        <v>5.1299999999999998E-2</v>
      </c>
      <c r="N114" s="86">
        <f>VLOOKUP($A114,'Data shares'!$C:$FA,78)</f>
        <v>13659000</v>
      </c>
      <c r="O114" s="87">
        <f>VLOOKUP($A114,'Data shares'!$C:$FA,81)</f>
        <v>-0.31740000000000002</v>
      </c>
    </row>
    <row r="115" spans="1:15" x14ac:dyDescent="0.25">
      <c r="A115" s="100" t="str">
        <f>'Data Vlaue (Cr)'!C110</f>
        <v>JSWSTEEL</v>
      </c>
      <c r="B115" s="82">
        <f>VLOOKUP(A115,'Data shares'!$C$2:$CV$220,98,0)</f>
        <v>62635275</v>
      </c>
      <c r="C115" s="82">
        <f>VLOOKUP(A115,'Data shares'!$C$2:$CX$220,100,0)</f>
        <v>-206550</v>
      </c>
      <c r="D115" s="141">
        <f>VLOOKUP(A115,'Data shares'!$C$2:$CY$543,101,0)</f>
        <v>-3.3E-3</v>
      </c>
      <c r="E115" s="86">
        <f>VLOOKUP($A115,'Data shares'!$C:$FA,74)</f>
        <v>49832550</v>
      </c>
      <c r="F115" s="86">
        <f>VLOOKUP($A115,'Data shares'!$C:$FA,76)</f>
        <v>-10125</v>
      </c>
      <c r="G115" s="87">
        <f>VLOOKUP(A115,'Data shares'!$C$2:$CA$220,77,0)</f>
        <v>-2.0000000000000001E-4</v>
      </c>
      <c r="H115" s="86">
        <f>VLOOKUP($A115,'Data shares'!$C:$FA,90)</f>
        <v>6778350</v>
      </c>
      <c r="I115" s="86">
        <f>VLOOKUP($A115,'Data shares'!$C:$FA,92)</f>
        <v>-74925</v>
      </c>
      <c r="J115" s="87">
        <f>VLOOKUP($A115,'Data shares'!$C:$FA,93)</f>
        <v>-1.09E-2</v>
      </c>
      <c r="K115" s="86">
        <f>VLOOKUP($A115,'Data shares'!$C:$FA,94)</f>
        <v>6024375</v>
      </c>
      <c r="L115" s="86">
        <f>VLOOKUP($A115,'Data shares'!$C:$FA,96)</f>
        <v>-121500</v>
      </c>
      <c r="M115" s="87">
        <f>VLOOKUP($A115,'Data shares'!$C:$FA,97)</f>
        <v>-1.9800000000000002E-2</v>
      </c>
      <c r="N115" s="86">
        <f>VLOOKUP($A115,'Data shares'!$C:$FA,78)</f>
        <v>23083650</v>
      </c>
      <c r="O115" s="87">
        <f>VLOOKUP($A115,'Data shares'!$C:$FA,81)</f>
        <v>-0.33410000000000001</v>
      </c>
    </row>
    <row r="116" spans="1:15" x14ac:dyDescent="0.25">
      <c r="A116" s="100" t="str">
        <f>'Data Vlaue (Cr)'!C111</f>
        <v>JUBLFOOD</v>
      </c>
      <c r="B116" s="82">
        <f>VLOOKUP(A116,'Data shares'!$C$2:$CV$220,98,0)</f>
        <v>74906250</v>
      </c>
      <c r="C116" s="82">
        <f>VLOOKUP(A116,'Data shares'!$C$2:$CX$220,100,0)</f>
        <v>-5498750</v>
      </c>
      <c r="D116" s="141">
        <f>VLOOKUP(A116,'Data shares'!$C$2:$CY$543,101,0)</f>
        <v>-6.8400000000000002E-2</v>
      </c>
      <c r="E116" s="86">
        <f>VLOOKUP($A116,'Data shares'!$C:$FA,74)</f>
        <v>50142500</v>
      </c>
      <c r="F116" s="86">
        <f>VLOOKUP($A116,'Data shares'!$C:$FA,76)</f>
        <v>-4791250</v>
      </c>
      <c r="G116" s="87">
        <f>VLOOKUP(A116,'Data shares'!$C$2:$CA$220,77,0)</f>
        <v>-8.72E-2</v>
      </c>
      <c r="H116" s="86">
        <f>VLOOKUP($A116,'Data shares'!$C:$FA,90)</f>
        <v>13303750</v>
      </c>
      <c r="I116" s="86">
        <f>VLOOKUP($A116,'Data shares'!$C:$FA,92)</f>
        <v>-325000</v>
      </c>
      <c r="J116" s="87">
        <f>VLOOKUP($A116,'Data shares'!$C:$FA,93)</f>
        <v>-2.3800000000000002E-2</v>
      </c>
      <c r="K116" s="86">
        <f>VLOOKUP($A116,'Data shares'!$C:$FA,94)</f>
        <v>11460000</v>
      </c>
      <c r="L116" s="86">
        <f>VLOOKUP($A116,'Data shares'!$C:$FA,96)</f>
        <v>-382500</v>
      </c>
      <c r="M116" s="87">
        <f>VLOOKUP($A116,'Data shares'!$C:$FA,97)</f>
        <v>-3.2300000000000002E-2</v>
      </c>
      <c r="N116" s="86">
        <f>VLOOKUP($A116,'Data shares'!$C:$FA,78)</f>
        <v>25455000</v>
      </c>
      <c r="O116" s="87">
        <f>VLOOKUP($A116,'Data shares'!$C:$FA,81)</f>
        <v>-0.29709999999999998</v>
      </c>
    </row>
    <row r="117" spans="1:15" x14ac:dyDescent="0.25">
      <c r="A117" s="100" t="str">
        <f>'Data Vlaue (Cr)'!C112</f>
        <v>KALYANKJIL</v>
      </c>
      <c r="B117" s="82">
        <f>VLOOKUP(A117,'Data shares'!$C$2:$CV$220,98,0)</f>
        <v>48363000</v>
      </c>
      <c r="C117" s="82">
        <f>VLOOKUP(A117,'Data shares'!$C$2:$CX$220,100,0)</f>
        <v>-2055075</v>
      </c>
      <c r="D117" s="141">
        <f>VLOOKUP(A117,'Data shares'!$C$2:$CY$543,101,0)</f>
        <v>-4.0800000000000003E-2</v>
      </c>
      <c r="E117" s="86">
        <f>VLOOKUP($A117,'Data shares'!$C:$FA,74)</f>
        <v>27405700</v>
      </c>
      <c r="F117" s="86">
        <f>VLOOKUP($A117,'Data shares'!$C:$FA,76)</f>
        <v>190350</v>
      </c>
      <c r="G117" s="87">
        <f>VLOOKUP(A117,'Data shares'!$C$2:$CA$220,77,0)</f>
        <v>7.0000000000000001E-3</v>
      </c>
      <c r="H117" s="86">
        <f>VLOOKUP($A117,'Data shares'!$C:$FA,90)</f>
        <v>14332650</v>
      </c>
      <c r="I117" s="86">
        <f>VLOOKUP($A117,'Data shares'!$C:$FA,92)</f>
        <v>-1981050</v>
      </c>
      <c r="J117" s="87">
        <f>VLOOKUP($A117,'Data shares'!$C:$FA,93)</f>
        <v>-0.12139999999999999</v>
      </c>
      <c r="K117" s="86">
        <f>VLOOKUP($A117,'Data shares'!$C:$FA,94)</f>
        <v>6624650</v>
      </c>
      <c r="L117" s="86">
        <f>VLOOKUP($A117,'Data shares'!$C:$FA,96)</f>
        <v>-264375</v>
      </c>
      <c r="M117" s="87">
        <f>VLOOKUP($A117,'Data shares'!$C:$FA,97)</f>
        <v>-3.8399999999999997E-2</v>
      </c>
      <c r="N117" s="86">
        <f>VLOOKUP($A117,'Data shares'!$C:$FA,78)</f>
        <v>19051450</v>
      </c>
      <c r="O117" s="87">
        <f>VLOOKUP($A117,'Data shares'!$C:$FA,81)</f>
        <v>-0.21360000000000001</v>
      </c>
    </row>
    <row r="118" spans="1:15" x14ac:dyDescent="0.25">
      <c r="A118" s="100" t="str">
        <f>'Data Vlaue (Cr)'!C113</f>
        <v>KAYNES</v>
      </c>
      <c r="B118" s="82">
        <f>VLOOKUP(A118,'Data shares'!$C$2:$CV$220,98,0)</f>
        <v>6329100</v>
      </c>
      <c r="C118" s="82">
        <f>VLOOKUP(A118,'Data shares'!$C$2:$CX$220,100,0)</f>
        <v>-481500</v>
      </c>
      <c r="D118" s="141">
        <f>VLOOKUP(A118,'Data shares'!$C$2:$CY$543,101,0)</f>
        <v>-7.0699999999999999E-2</v>
      </c>
      <c r="E118" s="86">
        <f>VLOOKUP($A118,'Data shares'!$C:$FA,74)</f>
        <v>3191900</v>
      </c>
      <c r="F118" s="86">
        <f>VLOOKUP($A118,'Data shares'!$C:$FA,76)</f>
        <v>-447300</v>
      </c>
      <c r="G118" s="87">
        <f>VLOOKUP(A118,'Data shares'!$C$2:$CA$220,77,0)</f>
        <v>-0.1229</v>
      </c>
      <c r="H118" s="86">
        <f>VLOOKUP($A118,'Data shares'!$C:$FA,90)</f>
        <v>1700800</v>
      </c>
      <c r="I118" s="86">
        <f>VLOOKUP($A118,'Data shares'!$C:$FA,92)</f>
        <v>81500</v>
      </c>
      <c r="J118" s="87">
        <f>VLOOKUP($A118,'Data shares'!$C:$FA,93)</f>
        <v>5.0299999999999997E-2</v>
      </c>
      <c r="K118" s="86">
        <f>VLOOKUP($A118,'Data shares'!$C:$FA,94)</f>
        <v>1436400</v>
      </c>
      <c r="L118" s="86">
        <f>VLOOKUP($A118,'Data shares'!$C:$FA,96)</f>
        <v>-115700</v>
      </c>
      <c r="M118" s="87">
        <f>VLOOKUP($A118,'Data shares'!$C:$FA,97)</f>
        <v>-7.4499999999999997E-2</v>
      </c>
      <c r="N118" s="86">
        <f>VLOOKUP($A118,'Data shares'!$C:$FA,78)</f>
        <v>1812600</v>
      </c>
      <c r="O118" s="87">
        <f>VLOOKUP($A118,'Data shares'!$C:$FA,81)</f>
        <v>-0.3271</v>
      </c>
    </row>
    <row r="119" spans="1:15" x14ac:dyDescent="0.25">
      <c r="A119" s="100" t="str">
        <f>'Data Vlaue (Cr)'!C114</f>
        <v>KEI</v>
      </c>
      <c r="B119" s="82">
        <f>VLOOKUP(A119,'Data shares'!$C$2:$CV$220,98,0)</f>
        <v>3659950</v>
      </c>
      <c r="C119" s="82">
        <f>VLOOKUP(A119,'Data shares'!$C$2:$CX$220,100,0)</f>
        <v>-314300</v>
      </c>
      <c r="D119" s="141">
        <f>VLOOKUP(A119,'Data shares'!$C$2:$CY$543,101,0)</f>
        <v>-7.9100000000000004E-2</v>
      </c>
      <c r="E119" s="86">
        <f>VLOOKUP($A119,'Data shares'!$C:$FA,74)</f>
        <v>2268350</v>
      </c>
      <c r="F119" s="86">
        <f>VLOOKUP($A119,'Data shares'!$C:$FA,76)</f>
        <v>-336350</v>
      </c>
      <c r="G119" s="87">
        <f>VLOOKUP(A119,'Data shares'!$C$2:$CA$220,77,0)</f>
        <v>-0.12909999999999999</v>
      </c>
      <c r="H119" s="86">
        <f>VLOOKUP($A119,'Data shares'!$C:$FA,90)</f>
        <v>813925</v>
      </c>
      <c r="I119" s="86">
        <f>VLOOKUP($A119,'Data shares'!$C:$FA,92)</f>
        <v>32550</v>
      </c>
      <c r="J119" s="87">
        <f>VLOOKUP($A119,'Data shares'!$C:$FA,93)</f>
        <v>4.1700000000000001E-2</v>
      </c>
      <c r="K119" s="86">
        <f>VLOOKUP($A119,'Data shares'!$C:$FA,94)</f>
        <v>577675</v>
      </c>
      <c r="L119" s="86">
        <f>VLOOKUP($A119,'Data shares'!$C:$FA,96)</f>
        <v>-10500</v>
      </c>
      <c r="M119" s="87">
        <f>VLOOKUP($A119,'Data shares'!$C:$FA,97)</f>
        <v>-1.7899999999999999E-2</v>
      </c>
      <c r="N119" s="86">
        <f>VLOOKUP($A119,'Data shares'!$C:$FA,78)</f>
        <v>1070475</v>
      </c>
      <c r="O119" s="87">
        <f>VLOOKUP($A119,'Data shares'!$C:$FA,81)</f>
        <v>-0.34050000000000002</v>
      </c>
    </row>
    <row r="120" spans="1:15" x14ac:dyDescent="0.25">
      <c r="A120" s="100" t="str">
        <f>'Data Vlaue (Cr)'!C115</f>
        <v>KFINTECH</v>
      </c>
      <c r="B120" s="82">
        <f>VLOOKUP(A120,'Data shares'!$C$2:$CV$220,98,0)</f>
        <v>7681000</v>
      </c>
      <c r="C120" s="82">
        <f>VLOOKUP(A120,'Data shares'!$C$2:$CX$220,100,0)</f>
        <v>-701500</v>
      </c>
      <c r="D120" s="141">
        <f>VLOOKUP(A120,'Data shares'!$C$2:$CY$543,101,0)</f>
        <v>-8.3699999999999997E-2</v>
      </c>
      <c r="E120" s="86">
        <f>VLOOKUP($A120,'Data shares'!$C:$FA,74)</f>
        <v>4077500</v>
      </c>
      <c r="F120" s="86">
        <f>VLOOKUP($A120,'Data shares'!$C:$FA,76)</f>
        <v>-327500</v>
      </c>
      <c r="G120" s="87">
        <f>VLOOKUP(A120,'Data shares'!$C$2:$CA$220,77,0)</f>
        <v>-7.4300000000000005E-2</v>
      </c>
      <c r="H120" s="86">
        <f>VLOOKUP($A120,'Data shares'!$C:$FA,90)</f>
        <v>2162500</v>
      </c>
      <c r="I120" s="86">
        <f>VLOOKUP($A120,'Data shares'!$C:$FA,92)</f>
        <v>-300500</v>
      </c>
      <c r="J120" s="87">
        <f>VLOOKUP($A120,'Data shares'!$C:$FA,93)</f>
        <v>-0.122</v>
      </c>
      <c r="K120" s="86">
        <f>VLOOKUP($A120,'Data shares'!$C:$FA,94)</f>
        <v>1441000</v>
      </c>
      <c r="L120" s="86">
        <f>VLOOKUP($A120,'Data shares'!$C:$FA,96)</f>
        <v>-73500</v>
      </c>
      <c r="M120" s="87">
        <f>VLOOKUP($A120,'Data shares'!$C:$FA,97)</f>
        <v>-4.8500000000000001E-2</v>
      </c>
      <c r="N120" s="86">
        <f>VLOOKUP($A120,'Data shares'!$C:$FA,78)</f>
        <v>2280500</v>
      </c>
      <c r="O120" s="87">
        <f>VLOOKUP($A120,'Data shares'!$C:$FA,81)</f>
        <v>-0.2455</v>
      </c>
    </row>
    <row r="121" spans="1:15" x14ac:dyDescent="0.25">
      <c r="A121" s="100" t="str">
        <f>'Data Vlaue (Cr)'!C116</f>
        <v>KOTAKBANK</v>
      </c>
      <c r="B121" s="82">
        <f>VLOOKUP(A121,'Data shares'!$C$2:$CV$220,98,0)</f>
        <v>301968000</v>
      </c>
      <c r="C121" s="82">
        <f>VLOOKUP(A121,'Data shares'!$C$2:$CX$220,100,0)</f>
        <v>12356000</v>
      </c>
      <c r="D121" s="141">
        <f>VLOOKUP(A121,'Data shares'!$C$2:$CY$543,101,0)</f>
        <v>4.2700000000000002E-2</v>
      </c>
      <c r="E121" s="86">
        <f>VLOOKUP($A121,'Data shares'!$C:$FA,74)</f>
        <v>234936000</v>
      </c>
      <c r="F121" s="86">
        <f>VLOOKUP($A121,'Data shares'!$C:$FA,76)</f>
        <v>10162000</v>
      </c>
      <c r="G121" s="87">
        <f>VLOOKUP(A121,'Data shares'!$C$2:$CA$220,77,0)</f>
        <v>4.5199999999999997E-2</v>
      </c>
      <c r="H121" s="86">
        <f>VLOOKUP($A121,'Data shares'!$C:$FA,90)</f>
        <v>37174000</v>
      </c>
      <c r="I121" s="86">
        <f>VLOOKUP($A121,'Data shares'!$C:$FA,92)</f>
        <v>1444000</v>
      </c>
      <c r="J121" s="87">
        <f>VLOOKUP($A121,'Data shares'!$C:$FA,93)</f>
        <v>4.0399999999999998E-2</v>
      </c>
      <c r="K121" s="86">
        <f>VLOOKUP($A121,'Data shares'!$C:$FA,94)</f>
        <v>29858000</v>
      </c>
      <c r="L121" s="86">
        <f>VLOOKUP($A121,'Data shares'!$C:$FA,96)</f>
        <v>750000</v>
      </c>
      <c r="M121" s="87">
        <f>VLOOKUP($A121,'Data shares'!$C:$FA,97)</f>
        <v>2.58E-2</v>
      </c>
      <c r="N121" s="86">
        <f>VLOOKUP($A121,'Data shares'!$C:$FA,78)</f>
        <v>93358000</v>
      </c>
      <c r="O121" s="87">
        <f>VLOOKUP($A121,'Data shares'!$C:$FA,81)</f>
        <v>-0.25719999999999998</v>
      </c>
    </row>
    <row r="122" spans="1:15" x14ac:dyDescent="0.25">
      <c r="A122" s="100" t="str">
        <f>'Data Vlaue (Cr)'!C117</f>
        <v>KPITTECH</v>
      </c>
      <c r="B122" s="82">
        <f>VLOOKUP(A122,'Data shares'!$C$2:$CV$220,98,0)</f>
        <v>12646725</v>
      </c>
      <c r="C122" s="82">
        <f>VLOOKUP(A122,'Data shares'!$C$2:$CX$220,100,0)</f>
        <v>-155975</v>
      </c>
      <c r="D122" s="141">
        <f>VLOOKUP(A122,'Data shares'!$C$2:$CY$543,101,0)</f>
        <v>-1.2200000000000001E-2</v>
      </c>
      <c r="E122" s="86">
        <f>VLOOKUP($A122,'Data shares'!$C:$FA,74)</f>
        <v>6843775</v>
      </c>
      <c r="F122" s="86">
        <f>VLOOKUP($A122,'Data shares'!$C:$FA,76)</f>
        <v>-151725</v>
      </c>
      <c r="G122" s="87">
        <f>VLOOKUP(A122,'Data shares'!$C$2:$CA$220,77,0)</f>
        <v>-2.1700000000000001E-2</v>
      </c>
      <c r="H122" s="86">
        <f>VLOOKUP($A122,'Data shares'!$C:$FA,90)</f>
        <v>3664350</v>
      </c>
      <c r="I122" s="86">
        <f>VLOOKUP($A122,'Data shares'!$C:$FA,92)</f>
        <v>30600</v>
      </c>
      <c r="J122" s="87">
        <f>VLOOKUP($A122,'Data shares'!$C:$FA,93)</f>
        <v>8.3999999999999995E-3</v>
      </c>
      <c r="K122" s="86">
        <f>VLOOKUP($A122,'Data shares'!$C:$FA,94)</f>
        <v>2138600</v>
      </c>
      <c r="L122" s="86">
        <f>VLOOKUP($A122,'Data shares'!$C:$FA,96)</f>
        <v>-34850</v>
      </c>
      <c r="M122" s="87">
        <f>VLOOKUP($A122,'Data shares'!$C:$FA,97)</f>
        <v>-1.6E-2</v>
      </c>
      <c r="N122" s="86">
        <f>VLOOKUP($A122,'Data shares'!$C:$FA,78)</f>
        <v>4518175</v>
      </c>
      <c r="O122" s="87">
        <f>VLOOKUP($A122,'Data shares'!$C:$FA,81)</f>
        <v>-0.25690000000000002</v>
      </c>
    </row>
    <row r="123" spans="1:15" x14ac:dyDescent="0.25">
      <c r="A123" s="100" t="str">
        <f>'Data Vlaue (Cr)'!C118</f>
        <v>LAURUSLABS</v>
      </c>
      <c r="B123" s="82">
        <f>VLOOKUP(A123,'Data shares'!$C$2:$CV$220,98,0)</f>
        <v>28939100</v>
      </c>
      <c r="C123" s="82">
        <f>VLOOKUP(A123,'Data shares'!$C$2:$CX$220,100,0)</f>
        <v>85850</v>
      </c>
      <c r="D123" s="141">
        <f>VLOOKUP(A123,'Data shares'!$C$2:$CY$543,101,0)</f>
        <v>3.0000000000000001E-3</v>
      </c>
      <c r="E123" s="86">
        <f>VLOOKUP($A123,'Data shares'!$C:$FA,74)</f>
        <v>18167050</v>
      </c>
      <c r="F123" s="86">
        <f>VLOOKUP($A123,'Data shares'!$C:$FA,76)</f>
        <v>-104550</v>
      </c>
      <c r="G123" s="87">
        <f>VLOOKUP(A123,'Data shares'!$C$2:$CA$220,77,0)</f>
        <v>-5.7000000000000002E-3</v>
      </c>
      <c r="H123" s="86">
        <f>VLOOKUP($A123,'Data shares'!$C:$FA,90)</f>
        <v>6007800</v>
      </c>
      <c r="I123" s="86">
        <f>VLOOKUP($A123,'Data shares'!$C:$FA,92)</f>
        <v>141100</v>
      </c>
      <c r="J123" s="87">
        <f>VLOOKUP($A123,'Data shares'!$C:$FA,93)</f>
        <v>2.41E-2</v>
      </c>
      <c r="K123" s="86">
        <f>VLOOKUP($A123,'Data shares'!$C:$FA,94)</f>
        <v>4764250</v>
      </c>
      <c r="L123" s="86">
        <f>VLOOKUP($A123,'Data shares'!$C:$FA,96)</f>
        <v>49300</v>
      </c>
      <c r="M123" s="87">
        <f>VLOOKUP($A123,'Data shares'!$C:$FA,97)</f>
        <v>1.0500000000000001E-2</v>
      </c>
      <c r="N123" s="86">
        <f>VLOOKUP($A123,'Data shares'!$C:$FA,78)</f>
        <v>10973500</v>
      </c>
      <c r="O123" s="87">
        <f>VLOOKUP($A123,'Data shares'!$C:$FA,81)</f>
        <v>-0.26090000000000002</v>
      </c>
    </row>
    <row r="124" spans="1:15" x14ac:dyDescent="0.25">
      <c r="A124" s="100" t="str">
        <f>'Data Vlaue (Cr)'!C119</f>
        <v>LICHSGFIN</v>
      </c>
      <c r="B124" s="82">
        <f>VLOOKUP(A124,'Data shares'!$C$2:$CV$220,98,0)</f>
        <v>46116000</v>
      </c>
      <c r="C124" s="82">
        <f>VLOOKUP(A124,'Data shares'!$C$2:$CX$220,100,0)</f>
        <v>-595000</v>
      </c>
      <c r="D124" s="141">
        <f>VLOOKUP(A124,'Data shares'!$C$2:$CY$543,101,0)</f>
        <v>-1.2699999999999999E-2</v>
      </c>
      <c r="E124" s="86">
        <f>VLOOKUP($A124,'Data shares'!$C:$FA,74)</f>
        <v>30775000</v>
      </c>
      <c r="F124" s="86">
        <f>VLOOKUP($A124,'Data shares'!$C:$FA,76)</f>
        <v>-693000</v>
      </c>
      <c r="G124" s="87">
        <f>VLOOKUP(A124,'Data shares'!$C$2:$CA$220,77,0)</f>
        <v>-2.1999999999999999E-2</v>
      </c>
      <c r="H124" s="86">
        <f>VLOOKUP($A124,'Data shares'!$C:$FA,90)</f>
        <v>8394000</v>
      </c>
      <c r="I124" s="86">
        <f>VLOOKUP($A124,'Data shares'!$C:$FA,92)</f>
        <v>294000</v>
      </c>
      <c r="J124" s="87">
        <f>VLOOKUP($A124,'Data shares'!$C:$FA,93)</f>
        <v>3.6299999999999999E-2</v>
      </c>
      <c r="K124" s="86">
        <f>VLOOKUP($A124,'Data shares'!$C:$FA,94)</f>
        <v>6947000</v>
      </c>
      <c r="L124" s="86">
        <f>VLOOKUP($A124,'Data shares'!$C:$FA,96)</f>
        <v>-196000</v>
      </c>
      <c r="M124" s="87">
        <f>VLOOKUP($A124,'Data shares'!$C:$FA,97)</f>
        <v>-2.7400000000000001E-2</v>
      </c>
      <c r="N124" s="86">
        <f>VLOOKUP($A124,'Data shares'!$C:$FA,78)</f>
        <v>20992000</v>
      </c>
      <c r="O124" s="87">
        <f>VLOOKUP($A124,'Data shares'!$C:$FA,81)</f>
        <v>-0.17150000000000001</v>
      </c>
    </row>
    <row r="125" spans="1:15" x14ac:dyDescent="0.25">
      <c r="A125" s="100" t="str">
        <f>'Data Vlaue (Cr)'!C120</f>
        <v>LICI</v>
      </c>
      <c r="B125" s="82">
        <f>VLOOKUP(A125,'Data shares'!$C$2:$CV$220,98,0)</f>
        <v>21747600</v>
      </c>
      <c r="C125" s="82">
        <f>VLOOKUP(A125,'Data shares'!$C$2:$CX$220,100,0)</f>
        <v>-1847300</v>
      </c>
      <c r="D125" s="141">
        <f>VLOOKUP(A125,'Data shares'!$C$2:$CY$543,101,0)</f>
        <v>-7.8299999999999995E-2</v>
      </c>
      <c r="E125" s="86">
        <f>VLOOKUP($A125,'Data shares'!$C:$FA,74)</f>
        <v>10148600</v>
      </c>
      <c r="F125" s="86">
        <f>VLOOKUP($A125,'Data shares'!$C:$FA,76)</f>
        <v>-1605800</v>
      </c>
      <c r="G125" s="87">
        <f>VLOOKUP(A125,'Data shares'!$C$2:$CA$220,77,0)</f>
        <v>-0.1366</v>
      </c>
      <c r="H125" s="86">
        <f>VLOOKUP($A125,'Data shares'!$C:$FA,90)</f>
        <v>6815900</v>
      </c>
      <c r="I125" s="86">
        <f>VLOOKUP($A125,'Data shares'!$C:$FA,92)</f>
        <v>-380800</v>
      </c>
      <c r="J125" s="87">
        <f>VLOOKUP($A125,'Data shares'!$C:$FA,93)</f>
        <v>-5.2900000000000003E-2</v>
      </c>
      <c r="K125" s="86">
        <f>VLOOKUP($A125,'Data shares'!$C:$FA,94)</f>
        <v>4783100</v>
      </c>
      <c r="L125" s="86">
        <f>VLOOKUP($A125,'Data shares'!$C:$FA,96)</f>
        <v>139300</v>
      </c>
      <c r="M125" s="87">
        <f>VLOOKUP($A125,'Data shares'!$C:$FA,97)</f>
        <v>0.03</v>
      </c>
      <c r="N125" s="86">
        <f>VLOOKUP($A125,'Data shares'!$C:$FA,78)</f>
        <v>5519500</v>
      </c>
      <c r="O125" s="87">
        <f>VLOOKUP($A125,'Data shares'!$C:$FA,81)</f>
        <v>-0.3392</v>
      </c>
    </row>
    <row r="126" spans="1:15" x14ac:dyDescent="0.25">
      <c r="A126" s="100" t="str">
        <f>'Data Vlaue (Cr)'!C121</f>
        <v>LODHA</v>
      </c>
      <c r="B126" s="82">
        <f>VLOOKUP(A126,'Data shares'!$C$2:$CV$220,98,0)</f>
        <v>29462400</v>
      </c>
      <c r="C126" s="82">
        <f>VLOOKUP(A126,'Data shares'!$C$2:$CX$220,100,0)</f>
        <v>303300</v>
      </c>
      <c r="D126" s="141">
        <f>VLOOKUP(A126,'Data shares'!$C$2:$CY$543,101,0)</f>
        <v>1.04E-2</v>
      </c>
      <c r="E126" s="86">
        <f>VLOOKUP($A126,'Data shares'!$C:$FA,74)</f>
        <v>18161100</v>
      </c>
      <c r="F126" s="86">
        <f>VLOOKUP($A126,'Data shares'!$C:$FA,76)</f>
        <v>-7650</v>
      </c>
      <c r="G126" s="87">
        <f>VLOOKUP(A126,'Data shares'!$C$2:$CA$220,77,0)</f>
        <v>-4.0000000000000002E-4</v>
      </c>
      <c r="H126" s="86">
        <f>VLOOKUP($A126,'Data shares'!$C:$FA,90)</f>
        <v>6072300</v>
      </c>
      <c r="I126" s="86">
        <f>VLOOKUP($A126,'Data shares'!$C:$FA,92)</f>
        <v>85050</v>
      </c>
      <c r="J126" s="87">
        <f>VLOOKUP($A126,'Data shares'!$C:$FA,93)</f>
        <v>1.4200000000000001E-2</v>
      </c>
      <c r="K126" s="86">
        <f>VLOOKUP($A126,'Data shares'!$C:$FA,94)</f>
        <v>5229000</v>
      </c>
      <c r="L126" s="86">
        <f>VLOOKUP($A126,'Data shares'!$C:$FA,96)</f>
        <v>225900</v>
      </c>
      <c r="M126" s="87">
        <f>VLOOKUP($A126,'Data shares'!$C:$FA,97)</f>
        <v>4.5199999999999997E-2</v>
      </c>
      <c r="N126" s="86">
        <f>VLOOKUP($A126,'Data shares'!$C:$FA,78)</f>
        <v>12246750</v>
      </c>
      <c r="O126" s="87">
        <f>VLOOKUP($A126,'Data shares'!$C:$FA,81)</f>
        <v>-0.22109999999999999</v>
      </c>
    </row>
    <row r="127" spans="1:15" x14ac:dyDescent="0.25">
      <c r="A127" s="100" t="str">
        <f>'Data Vlaue (Cr)'!C122</f>
        <v>LT</v>
      </c>
      <c r="B127" s="82">
        <f>VLOOKUP(A127,'Data shares'!$C$2:$CV$220,98,0)</f>
        <v>33584425</v>
      </c>
      <c r="C127" s="82">
        <f>VLOOKUP(A127,'Data shares'!$C$2:$CX$220,100,0)</f>
        <v>72450</v>
      </c>
      <c r="D127" s="141">
        <f>VLOOKUP(A127,'Data shares'!$C$2:$CY$543,101,0)</f>
        <v>2.2000000000000001E-3</v>
      </c>
      <c r="E127" s="86">
        <f>VLOOKUP($A127,'Data shares'!$C:$FA,74)</f>
        <v>15521100</v>
      </c>
      <c r="F127" s="86">
        <f>VLOOKUP($A127,'Data shares'!$C:$FA,76)</f>
        <v>310450</v>
      </c>
      <c r="G127" s="87">
        <f>VLOOKUP(A127,'Data shares'!$C$2:$CA$220,77,0)</f>
        <v>2.0400000000000001E-2</v>
      </c>
      <c r="H127" s="86">
        <f>VLOOKUP($A127,'Data shares'!$C:$FA,90)</f>
        <v>10001600</v>
      </c>
      <c r="I127" s="86">
        <f>VLOOKUP($A127,'Data shares'!$C:$FA,92)</f>
        <v>-352275</v>
      </c>
      <c r="J127" s="87">
        <f>VLOOKUP($A127,'Data shares'!$C:$FA,93)</f>
        <v>-3.4000000000000002E-2</v>
      </c>
      <c r="K127" s="86">
        <f>VLOOKUP($A127,'Data shares'!$C:$FA,94)</f>
        <v>8061725</v>
      </c>
      <c r="L127" s="86">
        <f>VLOOKUP($A127,'Data shares'!$C:$FA,96)</f>
        <v>114275</v>
      </c>
      <c r="M127" s="87">
        <f>VLOOKUP($A127,'Data shares'!$C:$FA,97)</f>
        <v>1.44E-2</v>
      </c>
      <c r="N127" s="86">
        <f>VLOOKUP($A127,'Data shares'!$C:$FA,78)</f>
        <v>8546475</v>
      </c>
      <c r="O127" s="87">
        <f>VLOOKUP($A127,'Data shares'!$C:$FA,81)</f>
        <v>-0.18529999999999999</v>
      </c>
    </row>
    <row r="128" spans="1:15" x14ac:dyDescent="0.25">
      <c r="A128" s="100" t="str">
        <f>'Data Vlaue (Cr)'!C123</f>
        <v>LTF</v>
      </c>
      <c r="B128" s="82">
        <f>VLOOKUP(A128,'Data shares'!$C$2:$CV$220,98,0)</f>
        <v>86634000</v>
      </c>
      <c r="C128" s="82">
        <f>VLOOKUP(A128,'Data shares'!$C$2:$CX$220,100,0)</f>
        <v>-821250</v>
      </c>
      <c r="D128" s="141">
        <f>VLOOKUP(A128,'Data shares'!$C$2:$CY$543,101,0)</f>
        <v>-9.4000000000000004E-3</v>
      </c>
      <c r="E128" s="86">
        <f>VLOOKUP($A128,'Data shares'!$C:$FA,74)</f>
        <v>47506500</v>
      </c>
      <c r="F128" s="86">
        <f>VLOOKUP($A128,'Data shares'!$C:$FA,76)</f>
        <v>-2022750</v>
      </c>
      <c r="G128" s="87">
        <f>VLOOKUP(A128,'Data shares'!$C$2:$CA$220,77,0)</f>
        <v>-4.0800000000000003E-2</v>
      </c>
      <c r="H128" s="86">
        <f>VLOOKUP($A128,'Data shares'!$C:$FA,90)</f>
        <v>20940750</v>
      </c>
      <c r="I128" s="86">
        <f>VLOOKUP($A128,'Data shares'!$C:$FA,92)</f>
        <v>708750</v>
      </c>
      <c r="J128" s="87">
        <f>VLOOKUP($A128,'Data shares'!$C:$FA,93)</f>
        <v>3.5000000000000003E-2</v>
      </c>
      <c r="K128" s="86">
        <f>VLOOKUP($A128,'Data shares'!$C:$FA,94)</f>
        <v>18186750</v>
      </c>
      <c r="L128" s="86">
        <f>VLOOKUP($A128,'Data shares'!$C:$FA,96)</f>
        <v>492750</v>
      </c>
      <c r="M128" s="87">
        <f>VLOOKUP($A128,'Data shares'!$C:$FA,97)</f>
        <v>2.7799999999999998E-2</v>
      </c>
      <c r="N128" s="86">
        <f>VLOOKUP($A128,'Data shares'!$C:$FA,78)</f>
        <v>29445750</v>
      </c>
      <c r="O128" s="87">
        <f>VLOOKUP($A128,'Data shares'!$C:$FA,81)</f>
        <v>-0.2964</v>
      </c>
    </row>
    <row r="129" spans="1:15" x14ac:dyDescent="0.25">
      <c r="A129" s="100" t="str">
        <f>'Data Vlaue (Cr)'!C124</f>
        <v>LTM</v>
      </c>
      <c r="B129" s="82">
        <f>VLOOKUP(A129,'Data shares'!$C$2:$CV$220,98,0)</f>
        <v>7197300</v>
      </c>
      <c r="C129" s="82">
        <f>VLOOKUP(A129,'Data shares'!$C$2:$CX$220,100,0)</f>
        <v>-21900</v>
      </c>
      <c r="D129" s="141">
        <f>VLOOKUP(A129,'Data shares'!$C$2:$CY$543,101,0)</f>
        <v>-3.0000000000000001E-3</v>
      </c>
      <c r="E129" s="86">
        <f>VLOOKUP($A129,'Data shares'!$C:$FA,74)</f>
        <v>4497150</v>
      </c>
      <c r="F129" s="86">
        <f>VLOOKUP($A129,'Data shares'!$C:$FA,76)</f>
        <v>-441450</v>
      </c>
      <c r="G129" s="87">
        <f>VLOOKUP(A129,'Data shares'!$C$2:$CA$220,77,0)</f>
        <v>-8.9399999999999993E-2</v>
      </c>
      <c r="H129" s="86">
        <f>VLOOKUP($A129,'Data shares'!$C:$FA,90)</f>
        <v>1361700</v>
      </c>
      <c r="I129" s="86">
        <f>VLOOKUP($A129,'Data shares'!$C:$FA,92)</f>
        <v>192000</v>
      </c>
      <c r="J129" s="87">
        <f>VLOOKUP($A129,'Data shares'!$C:$FA,93)</f>
        <v>0.1641</v>
      </c>
      <c r="K129" s="86">
        <f>VLOOKUP($A129,'Data shares'!$C:$FA,94)</f>
        <v>1338450</v>
      </c>
      <c r="L129" s="86">
        <f>VLOOKUP($A129,'Data shares'!$C:$FA,96)</f>
        <v>227550</v>
      </c>
      <c r="M129" s="87">
        <f>VLOOKUP($A129,'Data shares'!$C:$FA,97)</f>
        <v>0.20480000000000001</v>
      </c>
      <c r="N129" s="86">
        <f>VLOOKUP($A129,'Data shares'!$C:$FA,78)</f>
        <v>2362500</v>
      </c>
      <c r="O129" s="87">
        <f>VLOOKUP($A129,'Data shares'!$C:$FA,81)</f>
        <v>-0.31369999999999998</v>
      </c>
    </row>
    <row r="130" spans="1:15" x14ac:dyDescent="0.25">
      <c r="A130" s="100" t="str">
        <f>'Data Vlaue (Cr)'!C125</f>
        <v>LUPIN</v>
      </c>
      <c r="B130" s="82">
        <f>VLOOKUP(A130,'Data shares'!$C$2:$CV$220,98,0)</f>
        <v>12031325</v>
      </c>
      <c r="C130" s="82">
        <f>VLOOKUP(A130,'Data shares'!$C$2:$CX$220,100,0)</f>
        <v>1072275</v>
      </c>
      <c r="D130" s="141">
        <f>VLOOKUP(A130,'Data shares'!$C$2:$CY$543,101,0)</f>
        <v>9.7799999999999998E-2</v>
      </c>
      <c r="E130" s="86">
        <f>VLOOKUP($A130,'Data shares'!$C:$FA,74)</f>
        <v>7333800</v>
      </c>
      <c r="F130" s="86">
        <f>VLOOKUP($A130,'Data shares'!$C:$FA,76)</f>
        <v>470475</v>
      </c>
      <c r="G130" s="87">
        <f>VLOOKUP(A130,'Data shares'!$C$2:$CA$220,77,0)</f>
        <v>6.8500000000000005E-2</v>
      </c>
      <c r="H130" s="86">
        <f>VLOOKUP($A130,'Data shares'!$C:$FA,90)</f>
        <v>2772275</v>
      </c>
      <c r="I130" s="86">
        <f>VLOOKUP($A130,'Data shares'!$C:$FA,92)</f>
        <v>429675</v>
      </c>
      <c r="J130" s="87">
        <f>VLOOKUP($A130,'Data shares'!$C:$FA,93)</f>
        <v>0.18340000000000001</v>
      </c>
      <c r="K130" s="86">
        <f>VLOOKUP($A130,'Data shares'!$C:$FA,94)</f>
        <v>1925250</v>
      </c>
      <c r="L130" s="86">
        <f>VLOOKUP($A130,'Data shares'!$C:$FA,96)</f>
        <v>172125</v>
      </c>
      <c r="M130" s="87">
        <f>VLOOKUP($A130,'Data shares'!$C:$FA,97)</f>
        <v>9.8199999999999996E-2</v>
      </c>
      <c r="N130" s="86">
        <f>VLOOKUP($A130,'Data shares'!$C:$FA,78)</f>
        <v>5136550</v>
      </c>
      <c r="O130" s="87">
        <f>VLOOKUP($A130,'Data shares'!$C:$FA,81)</f>
        <v>-0.18840000000000001</v>
      </c>
    </row>
    <row r="131" spans="1:15" x14ac:dyDescent="0.25">
      <c r="A131" s="100" t="str">
        <f>'Data Vlaue (Cr)'!C126</f>
        <v>M&amp;M</v>
      </c>
      <c r="B131" s="82">
        <f>VLOOKUP(A131,'Data shares'!$C$2:$CV$220,98,0)</f>
        <v>29953800</v>
      </c>
      <c r="C131" s="82">
        <f>VLOOKUP(A131,'Data shares'!$C$2:$CX$220,100,0)</f>
        <v>852800</v>
      </c>
      <c r="D131" s="141">
        <f>VLOOKUP(A131,'Data shares'!$C$2:$CY$543,101,0)</f>
        <v>2.93E-2</v>
      </c>
      <c r="E131" s="86">
        <f>VLOOKUP($A131,'Data shares'!$C:$FA,74)</f>
        <v>20450800</v>
      </c>
      <c r="F131" s="86">
        <f>VLOOKUP($A131,'Data shares'!$C:$FA,76)</f>
        <v>430600</v>
      </c>
      <c r="G131" s="87">
        <f>VLOOKUP(A131,'Data shares'!$C$2:$CA$220,77,0)</f>
        <v>2.1499999999999998E-2</v>
      </c>
      <c r="H131" s="86">
        <f>VLOOKUP($A131,'Data shares'!$C:$FA,90)</f>
        <v>5781600</v>
      </c>
      <c r="I131" s="86">
        <f>VLOOKUP($A131,'Data shares'!$C:$FA,92)</f>
        <v>357600</v>
      </c>
      <c r="J131" s="87">
        <f>VLOOKUP($A131,'Data shares'!$C:$FA,93)</f>
        <v>6.59E-2</v>
      </c>
      <c r="K131" s="86">
        <f>VLOOKUP($A131,'Data shares'!$C:$FA,94)</f>
        <v>3721400</v>
      </c>
      <c r="L131" s="86">
        <f>VLOOKUP($A131,'Data shares'!$C:$FA,96)</f>
        <v>64600</v>
      </c>
      <c r="M131" s="87">
        <f>VLOOKUP($A131,'Data shares'!$C:$FA,97)</f>
        <v>1.77E-2</v>
      </c>
      <c r="N131" s="86">
        <f>VLOOKUP($A131,'Data shares'!$C:$FA,78)</f>
        <v>9791800</v>
      </c>
      <c r="O131" s="87">
        <f>VLOOKUP($A131,'Data shares'!$C:$FA,81)</f>
        <v>-0.30299999999999999</v>
      </c>
    </row>
    <row r="132" spans="1:15" x14ac:dyDescent="0.25">
      <c r="A132" s="100" t="str">
        <f>'Data Vlaue (Cr)'!C127</f>
        <v>MANAPPURAM</v>
      </c>
      <c r="B132" s="82">
        <f>VLOOKUP(A132,'Data shares'!$C$2:$CV$220,98,0)</f>
        <v>90387000</v>
      </c>
      <c r="C132" s="82">
        <f>VLOOKUP(A132,'Data shares'!$C$2:$CX$220,100,0)</f>
        <v>-2259000</v>
      </c>
      <c r="D132" s="141">
        <f>VLOOKUP(A132,'Data shares'!$C$2:$CY$543,101,0)</f>
        <v>-2.4400000000000002E-2</v>
      </c>
      <c r="E132" s="86">
        <f>VLOOKUP($A132,'Data shares'!$C:$FA,74)</f>
        <v>57231000</v>
      </c>
      <c r="F132" s="86">
        <f>VLOOKUP($A132,'Data shares'!$C:$FA,76)</f>
        <v>-1236000</v>
      </c>
      <c r="G132" s="87">
        <f>VLOOKUP(A132,'Data shares'!$C$2:$CA$220,77,0)</f>
        <v>-2.1100000000000001E-2</v>
      </c>
      <c r="H132" s="86">
        <f>VLOOKUP($A132,'Data shares'!$C:$FA,90)</f>
        <v>17715000</v>
      </c>
      <c r="I132" s="86">
        <f>VLOOKUP($A132,'Data shares'!$C:$FA,92)</f>
        <v>-381000</v>
      </c>
      <c r="J132" s="87">
        <f>VLOOKUP($A132,'Data shares'!$C:$FA,93)</f>
        <v>-2.1100000000000001E-2</v>
      </c>
      <c r="K132" s="86">
        <f>VLOOKUP($A132,'Data shares'!$C:$FA,94)</f>
        <v>15441000</v>
      </c>
      <c r="L132" s="86">
        <f>VLOOKUP($A132,'Data shares'!$C:$FA,96)</f>
        <v>-642000</v>
      </c>
      <c r="M132" s="87">
        <f>VLOOKUP($A132,'Data shares'!$C:$FA,97)</f>
        <v>-3.9899999999999998E-2</v>
      </c>
      <c r="N132" s="86">
        <f>VLOOKUP($A132,'Data shares'!$C:$FA,78)</f>
        <v>32409000</v>
      </c>
      <c r="O132" s="87">
        <f>VLOOKUP($A132,'Data shares'!$C:$FA,81)</f>
        <v>-0.20610000000000001</v>
      </c>
    </row>
    <row r="133" spans="1:15" x14ac:dyDescent="0.25">
      <c r="A133" s="100" t="str">
        <f>'Data Vlaue (Cr)'!C128</f>
        <v>MANKIND</v>
      </c>
      <c r="B133" s="82">
        <f>VLOOKUP(A133,'Data shares'!$C$2:$CV$220,98,0)</f>
        <v>4987800</v>
      </c>
      <c r="C133" s="82">
        <f>VLOOKUP(A133,'Data shares'!$C$2:$CX$220,100,0)</f>
        <v>398700</v>
      </c>
      <c r="D133" s="141">
        <f>VLOOKUP(A133,'Data shares'!$C$2:$CY$543,101,0)</f>
        <v>8.6900000000000005E-2</v>
      </c>
      <c r="E133" s="86">
        <f>VLOOKUP($A133,'Data shares'!$C:$FA,74)</f>
        <v>3280725</v>
      </c>
      <c r="F133" s="86">
        <f>VLOOKUP($A133,'Data shares'!$C:$FA,76)</f>
        <v>21825</v>
      </c>
      <c r="G133" s="87">
        <f>VLOOKUP(A133,'Data shares'!$C$2:$CA$220,77,0)</f>
        <v>6.7000000000000002E-3</v>
      </c>
      <c r="H133" s="86">
        <f>VLOOKUP($A133,'Data shares'!$C:$FA,90)</f>
        <v>857925</v>
      </c>
      <c r="I133" s="86">
        <f>VLOOKUP($A133,'Data shares'!$C:$FA,92)</f>
        <v>115425</v>
      </c>
      <c r="J133" s="87">
        <f>VLOOKUP($A133,'Data shares'!$C:$FA,93)</f>
        <v>0.1555</v>
      </c>
      <c r="K133" s="86">
        <f>VLOOKUP($A133,'Data shares'!$C:$FA,94)</f>
        <v>849150</v>
      </c>
      <c r="L133" s="86">
        <f>VLOOKUP($A133,'Data shares'!$C:$FA,96)</f>
        <v>261450</v>
      </c>
      <c r="M133" s="87">
        <f>VLOOKUP($A133,'Data shares'!$C:$FA,97)</f>
        <v>0.44490000000000002</v>
      </c>
      <c r="N133" s="86">
        <f>VLOOKUP($A133,'Data shares'!$C:$FA,78)</f>
        <v>1594350</v>
      </c>
      <c r="O133" s="87">
        <f>VLOOKUP($A133,'Data shares'!$C:$FA,81)</f>
        <v>-0.43769999999999998</v>
      </c>
    </row>
    <row r="134" spans="1:15" x14ac:dyDescent="0.25">
      <c r="A134" s="100" t="str">
        <f>'Data Vlaue (Cr)'!C129</f>
        <v>MARICO</v>
      </c>
      <c r="B134" s="82">
        <f>VLOOKUP(A134,'Data shares'!$C$2:$CV$220,98,0)</f>
        <v>32320800</v>
      </c>
      <c r="C134" s="82">
        <f>VLOOKUP(A134,'Data shares'!$C$2:$CX$220,100,0)</f>
        <v>-616800</v>
      </c>
      <c r="D134" s="141">
        <f>VLOOKUP(A134,'Data shares'!$C$2:$CY$543,101,0)</f>
        <v>-1.8700000000000001E-2</v>
      </c>
      <c r="E134" s="86">
        <f>VLOOKUP($A134,'Data shares'!$C:$FA,74)</f>
        <v>23336400</v>
      </c>
      <c r="F134" s="86">
        <f>VLOOKUP($A134,'Data shares'!$C:$FA,76)</f>
        <v>-990000</v>
      </c>
      <c r="G134" s="87">
        <f>VLOOKUP(A134,'Data shares'!$C$2:$CA$220,77,0)</f>
        <v>-4.07E-2</v>
      </c>
      <c r="H134" s="86">
        <f>VLOOKUP($A134,'Data shares'!$C:$FA,90)</f>
        <v>4456800</v>
      </c>
      <c r="I134" s="86">
        <f>VLOOKUP($A134,'Data shares'!$C:$FA,92)</f>
        <v>278400</v>
      </c>
      <c r="J134" s="87">
        <f>VLOOKUP($A134,'Data shares'!$C:$FA,93)</f>
        <v>6.6600000000000006E-2</v>
      </c>
      <c r="K134" s="86">
        <f>VLOOKUP($A134,'Data shares'!$C:$FA,94)</f>
        <v>4527600</v>
      </c>
      <c r="L134" s="86">
        <f>VLOOKUP($A134,'Data shares'!$C:$FA,96)</f>
        <v>94800</v>
      </c>
      <c r="M134" s="87">
        <f>VLOOKUP($A134,'Data shares'!$C:$FA,97)</f>
        <v>2.1399999999999999E-2</v>
      </c>
      <c r="N134" s="86">
        <f>VLOOKUP($A134,'Data shares'!$C:$FA,78)</f>
        <v>14278800</v>
      </c>
      <c r="O134" s="87">
        <f>VLOOKUP($A134,'Data shares'!$C:$FA,81)</f>
        <v>-0.35709999999999997</v>
      </c>
    </row>
    <row r="135" spans="1:15" x14ac:dyDescent="0.25">
      <c r="A135" s="100" t="str">
        <f>'Data Vlaue (Cr)'!C130</f>
        <v>MARUTI</v>
      </c>
      <c r="B135" s="82">
        <f>VLOOKUP(A135,'Data shares'!$C$2:$CV$220,98,0)</f>
        <v>7104100</v>
      </c>
      <c r="C135" s="82">
        <f>VLOOKUP(A135,'Data shares'!$C$2:$CX$220,100,0)</f>
        <v>45100</v>
      </c>
      <c r="D135" s="141">
        <f>VLOOKUP(A135,'Data shares'!$C$2:$CY$543,101,0)</f>
        <v>6.4000000000000003E-3</v>
      </c>
      <c r="E135" s="86">
        <f>VLOOKUP($A135,'Data shares'!$C:$FA,74)</f>
        <v>3709850</v>
      </c>
      <c r="F135" s="86">
        <f>VLOOKUP($A135,'Data shares'!$C:$FA,76)</f>
        <v>-50400</v>
      </c>
      <c r="G135" s="87">
        <f>VLOOKUP(A135,'Data shares'!$C$2:$CA$220,77,0)</f>
        <v>-1.34E-2</v>
      </c>
      <c r="H135" s="86">
        <f>VLOOKUP($A135,'Data shares'!$C:$FA,90)</f>
        <v>2258550</v>
      </c>
      <c r="I135" s="86">
        <f>VLOOKUP($A135,'Data shares'!$C:$FA,92)</f>
        <v>110750</v>
      </c>
      <c r="J135" s="87">
        <f>VLOOKUP($A135,'Data shares'!$C:$FA,93)</f>
        <v>5.16E-2</v>
      </c>
      <c r="K135" s="86">
        <f>VLOOKUP($A135,'Data shares'!$C:$FA,94)</f>
        <v>1135700</v>
      </c>
      <c r="L135" s="86">
        <f>VLOOKUP($A135,'Data shares'!$C:$FA,96)</f>
        <v>-15250</v>
      </c>
      <c r="M135" s="87">
        <f>VLOOKUP($A135,'Data shares'!$C:$FA,97)</f>
        <v>-1.32E-2</v>
      </c>
      <c r="N135" s="86">
        <f>VLOOKUP($A135,'Data shares'!$C:$FA,78)</f>
        <v>1856800</v>
      </c>
      <c r="O135" s="87">
        <f>VLOOKUP($A135,'Data shares'!$C:$FA,81)</f>
        <v>-0.31390000000000001</v>
      </c>
    </row>
    <row r="136" spans="1:15" x14ac:dyDescent="0.25">
      <c r="A136" s="100" t="str">
        <f>'Data Vlaue (Cr)'!C131</f>
        <v>MAXHEALTH</v>
      </c>
      <c r="B136" s="82">
        <f>VLOOKUP(A136,'Data shares'!$C$2:$CV$220,98,0)</f>
        <v>20417775</v>
      </c>
      <c r="C136" s="82">
        <f>VLOOKUP(A136,'Data shares'!$C$2:$CX$220,100,0)</f>
        <v>-73500</v>
      </c>
      <c r="D136" s="141">
        <f>VLOOKUP(A136,'Data shares'!$C$2:$CY$543,101,0)</f>
        <v>-3.5999999999999999E-3</v>
      </c>
      <c r="E136" s="86">
        <f>VLOOKUP($A136,'Data shares'!$C:$FA,74)</f>
        <v>13833750</v>
      </c>
      <c r="F136" s="86">
        <f>VLOOKUP($A136,'Data shares'!$C:$FA,76)</f>
        <v>-85575</v>
      </c>
      <c r="G136" s="87">
        <f>VLOOKUP(A136,'Data shares'!$C$2:$CA$220,77,0)</f>
        <v>-6.1000000000000004E-3</v>
      </c>
      <c r="H136" s="86">
        <f>VLOOKUP($A136,'Data shares'!$C:$FA,90)</f>
        <v>4057725</v>
      </c>
      <c r="I136" s="86">
        <f>VLOOKUP($A136,'Data shares'!$C:$FA,92)</f>
        <v>8400</v>
      </c>
      <c r="J136" s="87">
        <f>VLOOKUP($A136,'Data shares'!$C:$FA,93)</f>
        <v>2.0999999999999999E-3</v>
      </c>
      <c r="K136" s="86">
        <f>VLOOKUP($A136,'Data shares'!$C:$FA,94)</f>
        <v>2526300</v>
      </c>
      <c r="L136" s="86">
        <f>VLOOKUP($A136,'Data shares'!$C:$FA,96)</f>
        <v>3675</v>
      </c>
      <c r="M136" s="87">
        <f>VLOOKUP($A136,'Data shares'!$C:$FA,97)</f>
        <v>1.5E-3</v>
      </c>
      <c r="N136" s="86">
        <f>VLOOKUP($A136,'Data shares'!$C:$FA,78)</f>
        <v>7754775</v>
      </c>
      <c r="O136" s="87">
        <f>VLOOKUP($A136,'Data shares'!$C:$FA,81)</f>
        <v>-0.35199999999999998</v>
      </c>
    </row>
    <row r="137" spans="1:15" x14ac:dyDescent="0.25">
      <c r="A137" s="100" t="str">
        <f>'Data Vlaue (Cr)'!C132</f>
        <v>MAZDOCK</v>
      </c>
      <c r="B137" s="82">
        <f>VLOOKUP(A137,'Data shares'!$C$2:$CV$220,98,0)</f>
        <v>11971400</v>
      </c>
      <c r="C137" s="82">
        <f>VLOOKUP(A137,'Data shares'!$C$2:$CX$220,100,0)</f>
        <v>-103000</v>
      </c>
      <c r="D137" s="141">
        <f>VLOOKUP(A137,'Data shares'!$C$2:$CY$543,101,0)</f>
        <v>-8.5000000000000006E-3</v>
      </c>
      <c r="E137" s="86">
        <f>VLOOKUP($A137,'Data shares'!$C:$FA,74)</f>
        <v>4907400</v>
      </c>
      <c r="F137" s="86">
        <f>VLOOKUP($A137,'Data shares'!$C:$FA,76)</f>
        <v>-132200</v>
      </c>
      <c r="G137" s="87">
        <f>VLOOKUP(A137,'Data shares'!$C$2:$CA$220,77,0)</f>
        <v>-2.6200000000000001E-2</v>
      </c>
      <c r="H137" s="86">
        <f>VLOOKUP($A137,'Data shares'!$C:$FA,90)</f>
        <v>3822600</v>
      </c>
      <c r="I137" s="86">
        <f>VLOOKUP($A137,'Data shares'!$C:$FA,92)</f>
        <v>-50600</v>
      </c>
      <c r="J137" s="87">
        <f>VLOOKUP($A137,'Data shares'!$C:$FA,93)</f>
        <v>-1.3100000000000001E-2</v>
      </c>
      <c r="K137" s="86">
        <f>VLOOKUP($A137,'Data shares'!$C:$FA,94)</f>
        <v>3241400</v>
      </c>
      <c r="L137" s="86">
        <f>VLOOKUP($A137,'Data shares'!$C:$FA,96)</f>
        <v>79800</v>
      </c>
      <c r="M137" s="87">
        <f>VLOOKUP($A137,'Data shares'!$C:$FA,97)</f>
        <v>2.52E-2</v>
      </c>
      <c r="N137" s="86">
        <f>VLOOKUP($A137,'Data shares'!$C:$FA,78)</f>
        <v>3403200</v>
      </c>
      <c r="O137" s="87">
        <f>VLOOKUP($A137,'Data shares'!$C:$FA,81)</f>
        <v>-0.20449999999999999</v>
      </c>
    </row>
    <row r="138" spans="1:15" x14ac:dyDescent="0.25">
      <c r="A138" s="100" t="str">
        <f>'Data Vlaue (Cr)'!C133</f>
        <v>MCX</v>
      </c>
      <c r="B138" s="82">
        <f>VLOOKUP(A138,'Data shares'!$C$2:$CV$220,98,0)</f>
        <v>31041875</v>
      </c>
      <c r="C138" s="82">
        <f>VLOOKUP(A138,'Data shares'!$C$2:$CX$220,100,0)</f>
        <v>-461875</v>
      </c>
      <c r="D138" s="141">
        <f>VLOOKUP(A138,'Data shares'!$C$2:$CY$543,101,0)</f>
        <v>-1.47E-2</v>
      </c>
      <c r="E138" s="86">
        <f>VLOOKUP($A138,'Data shares'!$C:$FA,74)</f>
        <v>13693750</v>
      </c>
      <c r="F138" s="86">
        <f>VLOOKUP($A138,'Data shares'!$C:$FA,76)</f>
        <v>71250</v>
      </c>
      <c r="G138" s="87">
        <f>VLOOKUP(A138,'Data shares'!$C$2:$CA$220,77,0)</f>
        <v>5.1999999999999998E-3</v>
      </c>
      <c r="H138" s="86">
        <f>VLOOKUP($A138,'Data shares'!$C:$FA,90)</f>
        <v>9896250</v>
      </c>
      <c r="I138" s="86">
        <f>VLOOKUP($A138,'Data shares'!$C:$FA,92)</f>
        <v>-117500</v>
      </c>
      <c r="J138" s="87">
        <f>VLOOKUP($A138,'Data shares'!$C:$FA,93)</f>
        <v>-1.17E-2</v>
      </c>
      <c r="K138" s="86">
        <f>VLOOKUP($A138,'Data shares'!$C:$FA,94)</f>
        <v>7451875</v>
      </c>
      <c r="L138" s="86">
        <f>VLOOKUP($A138,'Data shares'!$C:$FA,96)</f>
        <v>-415625</v>
      </c>
      <c r="M138" s="87">
        <f>VLOOKUP($A138,'Data shares'!$C:$FA,97)</f>
        <v>-5.28E-2</v>
      </c>
      <c r="N138" s="86">
        <f>VLOOKUP($A138,'Data shares'!$C:$FA,78)</f>
        <v>8646250</v>
      </c>
      <c r="O138" s="87">
        <f>VLOOKUP($A138,'Data shares'!$C:$FA,81)</f>
        <v>-0.28299999999999997</v>
      </c>
    </row>
    <row r="139" spans="1:15" x14ac:dyDescent="0.25">
      <c r="A139" s="100" t="str">
        <f>'Data Vlaue (Cr)'!C134</f>
        <v>MFSL</v>
      </c>
      <c r="B139" s="82">
        <f>VLOOKUP(A139,'Data shares'!$C$2:$CV$220,98,0)</f>
        <v>10754800</v>
      </c>
      <c r="C139" s="82">
        <f>VLOOKUP(A139,'Data shares'!$C$2:$CX$220,100,0)</f>
        <v>-116400</v>
      </c>
      <c r="D139" s="141">
        <f>VLOOKUP(A139,'Data shares'!$C$2:$CY$543,101,0)</f>
        <v>-1.0699999999999999E-2</v>
      </c>
      <c r="E139" s="86">
        <f>VLOOKUP($A139,'Data shares'!$C:$FA,74)</f>
        <v>9121600</v>
      </c>
      <c r="F139" s="86">
        <f>VLOOKUP($A139,'Data shares'!$C:$FA,76)</f>
        <v>-92000</v>
      </c>
      <c r="G139" s="87">
        <f>VLOOKUP(A139,'Data shares'!$C$2:$CA$220,77,0)</f>
        <v>-0.01</v>
      </c>
      <c r="H139" s="86">
        <f>VLOOKUP($A139,'Data shares'!$C:$FA,90)</f>
        <v>944400</v>
      </c>
      <c r="I139" s="86">
        <f>VLOOKUP($A139,'Data shares'!$C:$FA,92)</f>
        <v>-54800</v>
      </c>
      <c r="J139" s="87">
        <f>VLOOKUP($A139,'Data shares'!$C:$FA,93)</f>
        <v>-5.4800000000000001E-2</v>
      </c>
      <c r="K139" s="86">
        <f>VLOOKUP($A139,'Data shares'!$C:$FA,94)</f>
        <v>688800</v>
      </c>
      <c r="L139" s="86">
        <f>VLOOKUP($A139,'Data shares'!$C:$FA,96)</f>
        <v>30400</v>
      </c>
      <c r="M139" s="87">
        <f>VLOOKUP($A139,'Data shares'!$C:$FA,97)</f>
        <v>4.6199999999999998E-2</v>
      </c>
      <c r="N139" s="86">
        <f>VLOOKUP($A139,'Data shares'!$C:$FA,78)</f>
        <v>6641200</v>
      </c>
      <c r="O139" s="87">
        <f>VLOOKUP($A139,'Data shares'!$C:$FA,81)</f>
        <v>-0.2412</v>
      </c>
    </row>
    <row r="140" spans="1:15" x14ac:dyDescent="0.25">
      <c r="A140" s="100" t="str">
        <f>'Data Vlaue (Cr)'!C135</f>
        <v>MIDCPNIFTY</v>
      </c>
      <c r="B140" s="82">
        <f>VLOOKUP(A140,'Data shares'!$C$2:$CV$220,98,0)</f>
        <v>19709400</v>
      </c>
      <c r="C140" s="82">
        <f>VLOOKUP(A140,'Data shares'!$C$2:$CX$220,100,0)</f>
        <v>686760</v>
      </c>
      <c r="D140" s="141">
        <f>VLOOKUP(A140,'Data shares'!$C$2:$CY$543,101,0)</f>
        <v>3.61E-2</v>
      </c>
      <c r="E140" s="86">
        <f>VLOOKUP($A140,'Data shares'!$C:$FA,74)</f>
        <v>2500560</v>
      </c>
      <c r="F140" s="86">
        <f>VLOOKUP($A140,'Data shares'!$C:$FA,76)</f>
        <v>-89640</v>
      </c>
      <c r="G140" s="87">
        <f>VLOOKUP(A140,'Data shares'!$C$2:$CA$220,77,0)</f>
        <v>-3.4599999999999999E-2</v>
      </c>
      <c r="H140" s="86">
        <f>VLOOKUP($A140,'Data shares'!$C:$FA,90)</f>
        <v>8194920</v>
      </c>
      <c r="I140" s="86">
        <f>VLOOKUP($A140,'Data shares'!$C:$FA,92)</f>
        <v>463920</v>
      </c>
      <c r="J140" s="87">
        <f>VLOOKUP($A140,'Data shares'!$C:$FA,93)</f>
        <v>0.06</v>
      </c>
      <c r="K140" s="86">
        <f>VLOOKUP($A140,'Data shares'!$C:$FA,94)</f>
        <v>9013920</v>
      </c>
      <c r="L140" s="86">
        <f>VLOOKUP($A140,'Data shares'!$C:$FA,96)</f>
        <v>312480</v>
      </c>
      <c r="M140" s="87">
        <f>VLOOKUP($A140,'Data shares'!$C:$FA,97)</f>
        <v>3.5900000000000001E-2</v>
      </c>
      <c r="N140" s="86">
        <f>VLOOKUP($A140,'Data shares'!$C:$FA,78)</f>
        <v>1896360</v>
      </c>
      <c r="O140" s="87">
        <f>VLOOKUP($A140,'Data shares'!$C:$FA,81)</f>
        <v>-0.1512</v>
      </c>
    </row>
    <row r="141" spans="1:15" x14ac:dyDescent="0.25">
      <c r="A141" s="100" t="str">
        <f>'Data Vlaue (Cr)'!C136</f>
        <v>MOTHERSON</v>
      </c>
      <c r="B141" s="82">
        <f>VLOOKUP(A141,'Data shares'!$C$2:$CV$220,98,0)</f>
        <v>229923900</v>
      </c>
      <c r="C141" s="82">
        <f>VLOOKUP(A141,'Data shares'!$C$2:$CX$220,100,0)</f>
        <v>1961850</v>
      </c>
      <c r="D141" s="141">
        <f>VLOOKUP(A141,'Data shares'!$C$2:$CY$543,101,0)</f>
        <v>8.6E-3</v>
      </c>
      <c r="E141" s="86">
        <f>VLOOKUP($A141,'Data shares'!$C:$FA,74)</f>
        <v>135429150</v>
      </c>
      <c r="F141" s="86">
        <f>VLOOKUP($A141,'Data shares'!$C:$FA,76)</f>
        <v>4809300</v>
      </c>
      <c r="G141" s="87">
        <f>VLOOKUP(A141,'Data shares'!$C$2:$CA$220,77,0)</f>
        <v>3.6799999999999999E-2</v>
      </c>
      <c r="H141" s="86">
        <f>VLOOKUP($A141,'Data shares'!$C:$FA,90)</f>
        <v>49353750</v>
      </c>
      <c r="I141" s="86">
        <f>VLOOKUP($A141,'Data shares'!$C:$FA,92)</f>
        <v>-1113150</v>
      </c>
      <c r="J141" s="87">
        <f>VLOOKUP($A141,'Data shares'!$C:$FA,93)</f>
        <v>-2.2100000000000002E-2</v>
      </c>
      <c r="K141" s="86">
        <f>VLOOKUP($A141,'Data shares'!$C:$FA,94)</f>
        <v>45141000</v>
      </c>
      <c r="L141" s="86">
        <f>VLOOKUP($A141,'Data shares'!$C:$FA,96)</f>
        <v>-1734300</v>
      </c>
      <c r="M141" s="87">
        <f>VLOOKUP($A141,'Data shares'!$C:$FA,97)</f>
        <v>-3.6999999999999998E-2</v>
      </c>
      <c r="N141" s="86">
        <f>VLOOKUP($A141,'Data shares'!$C:$FA,78)</f>
        <v>81942600</v>
      </c>
      <c r="O141" s="87">
        <f>VLOOKUP($A141,'Data shares'!$C:$FA,81)</f>
        <v>-0.24970000000000001</v>
      </c>
    </row>
    <row r="142" spans="1:15" x14ac:dyDescent="0.25">
      <c r="A142" s="100" t="str">
        <f>'Data Vlaue (Cr)'!C137</f>
        <v>MOTILALOFS</v>
      </c>
      <c r="B142" s="82">
        <f>VLOOKUP(A142,'Data shares'!$C$2:$CV$220,98,0)</f>
        <v>6041125</v>
      </c>
      <c r="C142" s="82">
        <f>VLOOKUP(A142,'Data shares'!$C$2:$CX$220,100,0)</f>
        <v>244125</v>
      </c>
      <c r="D142" s="141">
        <f>VLOOKUP(A142,'Data shares'!$C$2:$CY$543,101,0)</f>
        <v>4.2099999999999999E-2</v>
      </c>
      <c r="E142" s="86">
        <f>VLOOKUP($A142,'Data shares'!$C:$FA,74)</f>
        <v>3029475</v>
      </c>
      <c r="F142" s="86">
        <f>VLOOKUP($A142,'Data shares'!$C:$FA,76)</f>
        <v>291400</v>
      </c>
      <c r="G142" s="87">
        <f>VLOOKUP(A142,'Data shares'!$C$2:$CA$220,77,0)</f>
        <v>0.10639999999999999</v>
      </c>
      <c r="H142" s="86">
        <f>VLOOKUP($A142,'Data shares'!$C:$FA,90)</f>
        <v>1563950</v>
      </c>
      <c r="I142" s="86">
        <f>VLOOKUP($A142,'Data shares'!$C:$FA,92)</f>
        <v>-16275</v>
      </c>
      <c r="J142" s="87">
        <f>VLOOKUP($A142,'Data shares'!$C:$FA,93)</f>
        <v>-1.03E-2</v>
      </c>
      <c r="K142" s="86">
        <f>VLOOKUP($A142,'Data shares'!$C:$FA,94)</f>
        <v>1447700</v>
      </c>
      <c r="L142" s="86">
        <f>VLOOKUP($A142,'Data shares'!$C:$FA,96)</f>
        <v>-31000</v>
      </c>
      <c r="M142" s="87">
        <f>VLOOKUP($A142,'Data shares'!$C:$FA,97)</f>
        <v>-2.1000000000000001E-2</v>
      </c>
      <c r="N142" s="86">
        <f>VLOOKUP($A142,'Data shares'!$C:$FA,78)</f>
        <v>1958425</v>
      </c>
      <c r="O142" s="87">
        <f>VLOOKUP($A142,'Data shares'!$C:$FA,81)</f>
        <v>-0.22559999999999999</v>
      </c>
    </row>
    <row r="143" spans="1:15" x14ac:dyDescent="0.25">
      <c r="A143" s="100" t="str">
        <f>'Data Vlaue (Cr)'!C138</f>
        <v>MPHASIS</v>
      </c>
      <c r="B143" s="82">
        <f>VLOOKUP(A143,'Data shares'!$C$2:$CV$220,98,0)</f>
        <v>7759950</v>
      </c>
      <c r="C143" s="82">
        <f>VLOOKUP(A143,'Data shares'!$C$2:$CX$220,100,0)</f>
        <v>822525</v>
      </c>
      <c r="D143" s="141">
        <f>VLOOKUP(A143,'Data shares'!$C$2:$CY$543,101,0)</f>
        <v>0.1186</v>
      </c>
      <c r="E143" s="86">
        <f>VLOOKUP($A143,'Data shares'!$C:$FA,74)</f>
        <v>5257450</v>
      </c>
      <c r="F143" s="86">
        <f>VLOOKUP($A143,'Data shares'!$C:$FA,76)</f>
        <v>565400</v>
      </c>
      <c r="G143" s="87">
        <f>VLOOKUP(A143,'Data shares'!$C$2:$CA$220,77,0)</f>
        <v>0.1205</v>
      </c>
      <c r="H143" s="86">
        <f>VLOOKUP($A143,'Data shares'!$C:$FA,90)</f>
        <v>1486925</v>
      </c>
      <c r="I143" s="86">
        <f>VLOOKUP($A143,'Data shares'!$C:$FA,92)</f>
        <v>186450</v>
      </c>
      <c r="J143" s="87">
        <f>VLOOKUP($A143,'Data shares'!$C:$FA,93)</f>
        <v>0.1434</v>
      </c>
      <c r="K143" s="86">
        <f>VLOOKUP($A143,'Data shares'!$C:$FA,94)</f>
        <v>1015575</v>
      </c>
      <c r="L143" s="86">
        <f>VLOOKUP($A143,'Data shares'!$C:$FA,96)</f>
        <v>70675</v>
      </c>
      <c r="M143" s="87">
        <f>VLOOKUP($A143,'Data shares'!$C:$FA,97)</f>
        <v>7.4800000000000005E-2</v>
      </c>
      <c r="N143" s="86">
        <f>VLOOKUP($A143,'Data shares'!$C:$FA,78)</f>
        <v>3505700</v>
      </c>
      <c r="O143" s="87">
        <f>VLOOKUP($A143,'Data shares'!$C:$FA,81)</f>
        <v>-0.15970000000000001</v>
      </c>
    </row>
    <row r="144" spans="1:15" x14ac:dyDescent="0.25">
      <c r="A144" s="100" t="str">
        <f>'Data Vlaue (Cr)'!C139</f>
        <v>MUTHOOTFIN</v>
      </c>
      <c r="B144" s="82">
        <f>VLOOKUP(A144,'Data shares'!$C$2:$CV$220,98,0)</f>
        <v>7600450</v>
      </c>
      <c r="C144" s="82">
        <f>VLOOKUP(A144,'Data shares'!$C$2:$CX$220,100,0)</f>
        <v>-452100</v>
      </c>
      <c r="D144" s="141">
        <f>VLOOKUP(A144,'Data shares'!$C$2:$CY$543,101,0)</f>
        <v>-5.6099999999999997E-2</v>
      </c>
      <c r="E144" s="86">
        <f>VLOOKUP($A144,'Data shares'!$C:$FA,74)</f>
        <v>3798575</v>
      </c>
      <c r="F144" s="86">
        <f>VLOOKUP($A144,'Data shares'!$C:$FA,76)</f>
        <v>-206525</v>
      </c>
      <c r="G144" s="87">
        <f>VLOOKUP(A144,'Data shares'!$C$2:$CA$220,77,0)</f>
        <v>-5.16E-2</v>
      </c>
      <c r="H144" s="86">
        <f>VLOOKUP($A144,'Data shares'!$C:$FA,90)</f>
        <v>2382325</v>
      </c>
      <c r="I144" s="86">
        <f>VLOOKUP($A144,'Data shares'!$C:$FA,92)</f>
        <v>-228800</v>
      </c>
      <c r="J144" s="87">
        <f>VLOOKUP($A144,'Data shares'!$C:$FA,93)</f>
        <v>-8.7599999999999997E-2</v>
      </c>
      <c r="K144" s="86">
        <f>VLOOKUP($A144,'Data shares'!$C:$FA,94)</f>
        <v>1419550</v>
      </c>
      <c r="L144" s="86">
        <f>VLOOKUP($A144,'Data shares'!$C:$FA,96)</f>
        <v>-16775</v>
      </c>
      <c r="M144" s="87">
        <f>VLOOKUP($A144,'Data shares'!$C:$FA,97)</f>
        <v>-1.17E-2</v>
      </c>
      <c r="N144" s="86">
        <f>VLOOKUP($A144,'Data shares'!$C:$FA,78)</f>
        <v>2648250</v>
      </c>
      <c r="O144" s="87">
        <f>VLOOKUP($A144,'Data shares'!$C:$FA,81)</f>
        <v>-0.27250000000000002</v>
      </c>
    </row>
    <row r="145" spans="1:15" x14ac:dyDescent="0.25">
      <c r="A145" s="100" t="str">
        <f>'Data Vlaue (Cr)'!C140</f>
        <v>NAM-INDIA</v>
      </c>
      <c r="B145" s="82">
        <f>VLOOKUP(A145,'Data shares'!$C$2:$CV$220,98,0)</f>
        <v>5273750</v>
      </c>
      <c r="C145" s="82">
        <f>VLOOKUP(A145,'Data shares'!$C$2:$CX$220,100,0)</f>
        <v>-314375</v>
      </c>
      <c r="D145" s="141">
        <f>VLOOKUP(A145,'Data shares'!$C$2:$CY$543,101,0)</f>
        <v>-5.6300000000000003E-2</v>
      </c>
      <c r="E145" s="86">
        <f>VLOOKUP($A145,'Data shares'!$C:$FA,74)</f>
        <v>3535000</v>
      </c>
      <c r="F145" s="86">
        <f>VLOOKUP($A145,'Data shares'!$C:$FA,76)</f>
        <v>-205000</v>
      </c>
      <c r="G145" s="87">
        <f>VLOOKUP(A145,'Data shares'!$C$2:$CA$220,77,0)</f>
        <v>-5.4800000000000001E-2</v>
      </c>
      <c r="H145" s="86">
        <f>VLOOKUP($A145,'Data shares'!$C:$FA,90)</f>
        <v>1160625</v>
      </c>
      <c r="I145" s="86">
        <f>VLOOKUP($A145,'Data shares'!$C:$FA,92)</f>
        <v>-42500</v>
      </c>
      <c r="J145" s="87">
        <f>VLOOKUP($A145,'Data shares'!$C:$FA,93)</f>
        <v>-3.5299999999999998E-2</v>
      </c>
      <c r="K145" s="86">
        <f>VLOOKUP($A145,'Data shares'!$C:$FA,94)</f>
        <v>578125</v>
      </c>
      <c r="L145" s="86">
        <f>VLOOKUP($A145,'Data shares'!$C:$FA,96)</f>
        <v>-66875</v>
      </c>
      <c r="M145" s="87">
        <f>VLOOKUP($A145,'Data shares'!$C:$FA,97)</f>
        <v>-0.1037</v>
      </c>
      <c r="N145" s="86">
        <f>VLOOKUP($A145,'Data shares'!$C:$FA,78)</f>
        <v>2088125</v>
      </c>
      <c r="O145" s="87">
        <f>VLOOKUP($A145,'Data shares'!$C:$FA,81)</f>
        <v>-0.30409999999999998</v>
      </c>
    </row>
    <row r="146" spans="1:15" x14ac:dyDescent="0.25">
      <c r="A146" s="100" t="str">
        <f>'Data Vlaue (Cr)'!C141</f>
        <v>NATIONALUM</v>
      </c>
      <c r="B146" s="82">
        <f>VLOOKUP(A146,'Data shares'!$C$2:$CV$220,98,0)</f>
        <v>128133750</v>
      </c>
      <c r="C146" s="82">
        <f>VLOOKUP(A146,'Data shares'!$C$2:$CX$220,100,0)</f>
        <v>671250</v>
      </c>
      <c r="D146" s="141">
        <f>VLOOKUP(A146,'Data shares'!$C$2:$CY$543,101,0)</f>
        <v>5.3E-3</v>
      </c>
      <c r="E146" s="86">
        <f>VLOOKUP($A146,'Data shares'!$C:$FA,74)</f>
        <v>56265000</v>
      </c>
      <c r="F146" s="86">
        <f>VLOOKUP($A146,'Data shares'!$C:$FA,76)</f>
        <v>825000</v>
      </c>
      <c r="G146" s="87">
        <f>VLOOKUP(A146,'Data shares'!$C$2:$CA$220,77,0)</f>
        <v>1.49E-2</v>
      </c>
      <c r="H146" s="86">
        <f>VLOOKUP($A146,'Data shares'!$C:$FA,90)</f>
        <v>39581250</v>
      </c>
      <c r="I146" s="86">
        <f>VLOOKUP($A146,'Data shares'!$C:$FA,92)</f>
        <v>300000</v>
      </c>
      <c r="J146" s="87">
        <f>VLOOKUP($A146,'Data shares'!$C:$FA,93)</f>
        <v>7.6E-3</v>
      </c>
      <c r="K146" s="86">
        <f>VLOOKUP($A146,'Data shares'!$C:$FA,94)</f>
        <v>32287500</v>
      </c>
      <c r="L146" s="86">
        <f>VLOOKUP($A146,'Data shares'!$C:$FA,96)</f>
        <v>-453750</v>
      </c>
      <c r="M146" s="87">
        <f>VLOOKUP($A146,'Data shares'!$C:$FA,97)</f>
        <v>-1.3899999999999999E-2</v>
      </c>
      <c r="N146" s="86">
        <f>VLOOKUP($A146,'Data shares'!$C:$FA,78)</f>
        <v>37541250</v>
      </c>
      <c r="O146" s="87">
        <f>VLOOKUP($A146,'Data shares'!$C:$FA,81)</f>
        <v>-0.2306</v>
      </c>
    </row>
    <row r="147" spans="1:15" x14ac:dyDescent="0.25">
      <c r="A147" s="100" t="str">
        <f>'Data Vlaue (Cr)'!C142</f>
        <v>NAUKRI</v>
      </c>
      <c r="B147" s="82">
        <f>VLOOKUP(A147,'Data shares'!$C$2:$CV$220,98,0)</f>
        <v>15998625</v>
      </c>
      <c r="C147" s="82">
        <f>VLOOKUP(A147,'Data shares'!$C$2:$CX$220,100,0)</f>
        <v>882750</v>
      </c>
      <c r="D147" s="141">
        <f>VLOOKUP(A147,'Data shares'!$C$2:$CY$543,101,0)</f>
        <v>5.8400000000000001E-2</v>
      </c>
      <c r="E147" s="86">
        <f>VLOOKUP($A147,'Data shares'!$C:$FA,74)</f>
        <v>10182375</v>
      </c>
      <c r="F147" s="86">
        <f>VLOOKUP($A147,'Data shares'!$C:$FA,76)</f>
        <v>132375</v>
      </c>
      <c r="G147" s="87">
        <f>VLOOKUP(A147,'Data shares'!$C$2:$CA$220,77,0)</f>
        <v>1.32E-2</v>
      </c>
      <c r="H147" s="86">
        <f>VLOOKUP($A147,'Data shares'!$C:$FA,90)</f>
        <v>3779250</v>
      </c>
      <c r="I147" s="86">
        <f>VLOOKUP($A147,'Data shares'!$C:$FA,92)</f>
        <v>360000</v>
      </c>
      <c r="J147" s="87">
        <f>VLOOKUP($A147,'Data shares'!$C:$FA,93)</f>
        <v>0.1053</v>
      </c>
      <c r="K147" s="86">
        <f>VLOOKUP($A147,'Data shares'!$C:$FA,94)</f>
        <v>2037000</v>
      </c>
      <c r="L147" s="86">
        <f>VLOOKUP($A147,'Data shares'!$C:$FA,96)</f>
        <v>390375</v>
      </c>
      <c r="M147" s="87">
        <f>VLOOKUP($A147,'Data shares'!$C:$FA,97)</f>
        <v>0.23710000000000001</v>
      </c>
      <c r="N147" s="86">
        <f>VLOOKUP($A147,'Data shares'!$C:$FA,78)</f>
        <v>4993875</v>
      </c>
      <c r="O147" s="87">
        <f>VLOOKUP($A147,'Data shares'!$C:$FA,81)</f>
        <v>-0.38600000000000001</v>
      </c>
    </row>
    <row r="148" spans="1:15" x14ac:dyDescent="0.25">
      <c r="A148" s="100" t="str">
        <f>'Data Vlaue (Cr)'!C143</f>
        <v>NBCC</v>
      </c>
      <c r="B148" s="82">
        <f>VLOOKUP(A148,'Data shares'!$C$2:$CV$220,98,0)</f>
        <v>118144000</v>
      </c>
      <c r="C148" s="82">
        <f>VLOOKUP(A148,'Data shares'!$C$2:$CX$220,100,0)</f>
        <v>2567500</v>
      </c>
      <c r="D148" s="141">
        <f>VLOOKUP(A148,'Data shares'!$C$2:$CY$543,101,0)</f>
        <v>2.2200000000000001E-2</v>
      </c>
      <c r="E148" s="86">
        <f>VLOOKUP($A148,'Data shares'!$C:$FA,74)</f>
        <v>81666000</v>
      </c>
      <c r="F148" s="86">
        <f>VLOOKUP($A148,'Data shares'!$C:$FA,76)</f>
        <v>1696500</v>
      </c>
      <c r="G148" s="87">
        <f>VLOOKUP(A148,'Data shares'!$C$2:$CA$220,77,0)</f>
        <v>2.12E-2</v>
      </c>
      <c r="H148" s="86">
        <f>VLOOKUP($A148,'Data shares'!$C:$FA,90)</f>
        <v>22594000</v>
      </c>
      <c r="I148" s="86">
        <f>VLOOKUP($A148,'Data shares'!$C:$FA,92)</f>
        <v>871000</v>
      </c>
      <c r="J148" s="87">
        <f>VLOOKUP($A148,'Data shares'!$C:$FA,93)</f>
        <v>4.0099999999999997E-2</v>
      </c>
      <c r="K148" s="86">
        <f>VLOOKUP($A148,'Data shares'!$C:$FA,94)</f>
        <v>13884000</v>
      </c>
      <c r="L148" s="86">
        <f>VLOOKUP($A148,'Data shares'!$C:$FA,96)</f>
        <v>0</v>
      </c>
      <c r="M148" s="87">
        <f>VLOOKUP($A148,'Data shares'!$C:$FA,97)</f>
        <v>0</v>
      </c>
      <c r="N148" s="86">
        <f>VLOOKUP($A148,'Data shares'!$C:$FA,78)</f>
        <v>42646500</v>
      </c>
      <c r="O148" s="87">
        <f>VLOOKUP($A148,'Data shares'!$C:$FA,81)</f>
        <v>-0.36630000000000001</v>
      </c>
    </row>
    <row r="149" spans="1:15" x14ac:dyDescent="0.25">
      <c r="A149" s="100" t="str">
        <f>'Data Vlaue (Cr)'!C144</f>
        <v>NESTLEIND</v>
      </c>
      <c r="B149" s="82">
        <f>VLOOKUP(A149,'Data shares'!$C$2:$CV$220,98,0)</f>
        <v>35534500</v>
      </c>
      <c r="C149" s="82">
        <f>VLOOKUP(A149,'Data shares'!$C$2:$CX$220,100,0)</f>
        <v>-2371000</v>
      </c>
      <c r="D149" s="141">
        <f>VLOOKUP(A149,'Data shares'!$C$2:$CY$543,101,0)</f>
        <v>-6.2600000000000003E-2</v>
      </c>
      <c r="E149" s="86">
        <f>VLOOKUP($A149,'Data shares'!$C:$FA,74)</f>
        <v>17172500</v>
      </c>
      <c r="F149" s="86">
        <f>VLOOKUP($A149,'Data shares'!$C:$FA,76)</f>
        <v>-137000</v>
      </c>
      <c r="G149" s="87">
        <f>VLOOKUP(A149,'Data shares'!$C$2:$CA$220,77,0)</f>
        <v>-7.9000000000000008E-3</v>
      </c>
      <c r="H149" s="86">
        <f>VLOOKUP($A149,'Data shares'!$C:$FA,90)</f>
        <v>10835000</v>
      </c>
      <c r="I149" s="86">
        <f>VLOOKUP($A149,'Data shares'!$C:$FA,92)</f>
        <v>-1838000</v>
      </c>
      <c r="J149" s="87">
        <f>VLOOKUP($A149,'Data shares'!$C:$FA,93)</f>
        <v>-0.14499999999999999</v>
      </c>
      <c r="K149" s="86">
        <f>VLOOKUP($A149,'Data shares'!$C:$FA,94)</f>
        <v>7527000</v>
      </c>
      <c r="L149" s="86">
        <f>VLOOKUP($A149,'Data shares'!$C:$FA,96)</f>
        <v>-396000</v>
      </c>
      <c r="M149" s="87">
        <f>VLOOKUP($A149,'Data shares'!$C:$FA,97)</f>
        <v>-0.05</v>
      </c>
      <c r="N149" s="86">
        <f>VLOOKUP($A149,'Data shares'!$C:$FA,78)</f>
        <v>9661500</v>
      </c>
      <c r="O149" s="87">
        <f>VLOOKUP($A149,'Data shares'!$C:$FA,81)</f>
        <v>-0.31790000000000002</v>
      </c>
    </row>
    <row r="150" spans="1:15" x14ac:dyDescent="0.25">
      <c r="A150" s="100" t="str">
        <f>'Data Vlaue (Cr)'!C145</f>
        <v>NHPC</v>
      </c>
      <c r="B150" s="82">
        <f>VLOOKUP(A150,'Data shares'!$C$2:$CV$220,98,0)</f>
        <v>157612800</v>
      </c>
      <c r="C150" s="82">
        <f>VLOOKUP(A150,'Data shares'!$C$2:$CX$220,100,0)</f>
        <v>-396800</v>
      </c>
      <c r="D150" s="141">
        <f>VLOOKUP(A150,'Data shares'!$C$2:$CY$543,101,0)</f>
        <v>-2.5000000000000001E-3</v>
      </c>
      <c r="E150" s="86">
        <f>VLOOKUP($A150,'Data shares'!$C:$FA,74)</f>
        <v>85292800</v>
      </c>
      <c r="F150" s="86">
        <f>VLOOKUP($A150,'Data shares'!$C:$FA,76)</f>
        <v>-5536000</v>
      </c>
      <c r="G150" s="87">
        <f>VLOOKUP(A150,'Data shares'!$C$2:$CA$220,77,0)</f>
        <v>-6.0900000000000003E-2</v>
      </c>
      <c r="H150" s="86">
        <f>VLOOKUP($A150,'Data shares'!$C:$FA,90)</f>
        <v>39641600</v>
      </c>
      <c r="I150" s="86">
        <f>VLOOKUP($A150,'Data shares'!$C:$FA,92)</f>
        <v>2636800</v>
      </c>
      <c r="J150" s="87">
        <f>VLOOKUP($A150,'Data shares'!$C:$FA,93)</f>
        <v>7.1300000000000002E-2</v>
      </c>
      <c r="K150" s="86">
        <f>VLOOKUP($A150,'Data shares'!$C:$FA,94)</f>
        <v>32678400</v>
      </c>
      <c r="L150" s="86">
        <f>VLOOKUP($A150,'Data shares'!$C:$FA,96)</f>
        <v>2502400</v>
      </c>
      <c r="M150" s="87">
        <f>VLOOKUP($A150,'Data shares'!$C:$FA,97)</f>
        <v>8.2900000000000001E-2</v>
      </c>
      <c r="N150" s="86">
        <f>VLOOKUP($A150,'Data shares'!$C:$FA,78)</f>
        <v>44704000</v>
      </c>
      <c r="O150" s="87">
        <f>VLOOKUP($A150,'Data shares'!$C:$FA,81)</f>
        <v>-0.42709999999999998</v>
      </c>
    </row>
    <row r="151" spans="1:15" x14ac:dyDescent="0.25">
      <c r="A151" s="100" t="str">
        <f>'Data Vlaue (Cr)'!C146</f>
        <v>NIFTY</v>
      </c>
      <c r="B151" s="82">
        <f>VLOOKUP(A151,'Data shares'!$C$2:$CV$220,98,0)</f>
        <v>457711120</v>
      </c>
      <c r="C151" s="82">
        <f>VLOOKUP(A151,'Data shares'!$C$2:$CX$220,100,0)</f>
        <v>60500915</v>
      </c>
      <c r="D151" s="141">
        <f>VLOOKUP(A151,'Data shares'!$C$2:$CY$543,101,0)</f>
        <v>0.15229999999999999</v>
      </c>
      <c r="E151" s="86">
        <f>VLOOKUP($A151,'Data shares'!$C:$FA,74)</f>
        <v>20320820</v>
      </c>
      <c r="F151" s="86">
        <f>VLOOKUP($A151,'Data shares'!$C:$FA,76)</f>
        <v>-40690</v>
      </c>
      <c r="G151" s="87">
        <f>VLOOKUP(A151,'Data shares'!$C$2:$CA$220,77,0)</f>
        <v>-2E-3</v>
      </c>
      <c r="H151" s="86">
        <f>VLOOKUP($A151,'Data shares'!$C:$FA,90)</f>
        <v>227427670</v>
      </c>
      <c r="I151" s="86">
        <f>VLOOKUP($A151,'Data shares'!$C:$FA,92)</f>
        <v>40609720</v>
      </c>
      <c r="J151" s="87">
        <f>VLOOKUP($A151,'Data shares'!$C:$FA,93)</f>
        <v>0.21740000000000001</v>
      </c>
      <c r="K151" s="86">
        <f>VLOOKUP($A151,'Data shares'!$C:$FA,94)</f>
        <v>209962630</v>
      </c>
      <c r="L151" s="86">
        <f>VLOOKUP($A151,'Data shares'!$C:$FA,96)</f>
        <v>19931885</v>
      </c>
      <c r="M151" s="87">
        <f>VLOOKUP($A151,'Data shares'!$C:$FA,97)</f>
        <v>0.10489999999999999</v>
      </c>
      <c r="N151" s="86">
        <f>VLOOKUP($A151,'Data shares'!$C:$FA,78)</f>
        <v>14441440</v>
      </c>
      <c r="O151" s="87">
        <f>VLOOKUP($A151,'Data shares'!$C:$FA,81)</f>
        <v>-0.1095</v>
      </c>
    </row>
    <row r="152" spans="1:15" x14ac:dyDescent="0.25">
      <c r="A152" s="100" t="str">
        <f>'Data Vlaue (Cr)'!C147</f>
        <v>NIFTYNXT50</v>
      </c>
      <c r="B152" s="82">
        <f>VLOOKUP(A152,'Data shares'!$C$2:$CV$220,98,0)</f>
        <v>51400</v>
      </c>
      <c r="C152" s="82">
        <f>VLOOKUP(A152,'Data shares'!$C$2:$CX$220,100,0)</f>
        <v>575</v>
      </c>
      <c r="D152" s="141">
        <f>VLOOKUP(A152,'Data shares'!$C$2:$CY$543,101,0)</f>
        <v>1.1299999999999999E-2</v>
      </c>
      <c r="E152" s="86">
        <f>VLOOKUP($A152,'Data shares'!$C:$FA,74)</f>
        <v>24250</v>
      </c>
      <c r="F152" s="86">
        <f>VLOOKUP($A152,'Data shares'!$C:$FA,76)</f>
        <v>775</v>
      </c>
      <c r="G152" s="87">
        <f>VLOOKUP(A152,'Data shares'!$C$2:$CA$220,77,0)</f>
        <v>3.3000000000000002E-2</v>
      </c>
      <c r="H152" s="86">
        <f>VLOOKUP($A152,'Data shares'!$C:$FA,90)</f>
        <v>17775</v>
      </c>
      <c r="I152" s="86">
        <f>VLOOKUP($A152,'Data shares'!$C:$FA,92)</f>
        <v>875</v>
      </c>
      <c r="J152" s="87">
        <f>VLOOKUP($A152,'Data shares'!$C:$FA,93)</f>
        <v>5.1799999999999999E-2</v>
      </c>
      <c r="K152" s="86">
        <f>VLOOKUP($A152,'Data shares'!$C:$FA,94)</f>
        <v>9375</v>
      </c>
      <c r="L152" s="86">
        <f>VLOOKUP($A152,'Data shares'!$C:$FA,96)</f>
        <v>-1075</v>
      </c>
      <c r="M152" s="87">
        <f>VLOOKUP($A152,'Data shares'!$C:$FA,97)</f>
        <v>-0.10290000000000001</v>
      </c>
      <c r="N152" s="86">
        <f>VLOOKUP($A152,'Data shares'!$C:$FA,78)</f>
        <v>17800</v>
      </c>
      <c r="O152" s="87">
        <f>VLOOKUP($A152,'Data shares'!$C:$FA,81)</f>
        <v>-4.9399999999999999E-2</v>
      </c>
    </row>
    <row r="153" spans="1:15" x14ac:dyDescent="0.25">
      <c r="A153" s="100" t="str">
        <f>'Data Vlaue (Cr)'!C148</f>
        <v>NMDC</v>
      </c>
      <c r="B153" s="82">
        <f>VLOOKUP(A153,'Data shares'!$C$2:$CV$220,98,0)</f>
        <v>462915000</v>
      </c>
      <c r="C153" s="82">
        <f>VLOOKUP(A153,'Data shares'!$C$2:$CX$220,100,0)</f>
        <v>5865750</v>
      </c>
      <c r="D153" s="141">
        <f>VLOOKUP(A153,'Data shares'!$C$2:$CY$543,101,0)</f>
        <v>1.2800000000000001E-2</v>
      </c>
      <c r="E153" s="86">
        <f>VLOOKUP($A153,'Data shares'!$C:$FA,74)</f>
        <v>324756000</v>
      </c>
      <c r="F153" s="86">
        <f>VLOOKUP($A153,'Data shares'!$C:$FA,76)</f>
        <v>2112750</v>
      </c>
      <c r="G153" s="87">
        <f>VLOOKUP(A153,'Data shares'!$C$2:$CA$220,77,0)</f>
        <v>6.4999999999999997E-3</v>
      </c>
      <c r="H153" s="86">
        <f>VLOOKUP($A153,'Data shares'!$C:$FA,90)</f>
        <v>86454000</v>
      </c>
      <c r="I153" s="86">
        <f>VLOOKUP($A153,'Data shares'!$C:$FA,92)</f>
        <v>2666250</v>
      </c>
      <c r="J153" s="87">
        <f>VLOOKUP($A153,'Data shares'!$C:$FA,93)</f>
        <v>3.1800000000000002E-2</v>
      </c>
      <c r="K153" s="86">
        <f>VLOOKUP($A153,'Data shares'!$C:$FA,94)</f>
        <v>51705000</v>
      </c>
      <c r="L153" s="86">
        <f>VLOOKUP($A153,'Data shares'!$C:$FA,96)</f>
        <v>1086750</v>
      </c>
      <c r="M153" s="87">
        <f>VLOOKUP($A153,'Data shares'!$C:$FA,97)</f>
        <v>2.1499999999999998E-2</v>
      </c>
      <c r="N153" s="86">
        <f>VLOOKUP($A153,'Data shares'!$C:$FA,78)</f>
        <v>221832000</v>
      </c>
      <c r="O153" s="87">
        <f>VLOOKUP($A153,'Data shares'!$C:$FA,81)</f>
        <v>-0.14119999999999999</v>
      </c>
    </row>
    <row r="154" spans="1:15" x14ac:dyDescent="0.25">
      <c r="A154" s="100" t="str">
        <f>'Data Vlaue (Cr)'!C149</f>
        <v>NTPC</v>
      </c>
      <c r="B154" s="82">
        <f>VLOOKUP(A154,'Data shares'!$C$2:$CV$220,98,0)</f>
        <v>228256500</v>
      </c>
      <c r="C154" s="82">
        <f>VLOOKUP(A154,'Data shares'!$C$2:$CX$220,100,0)</f>
        <v>996000</v>
      </c>
      <c r="D154" s="141">
        <f>VLOOKUP(A154,'Data shares'!$C$2:$CY$543,101,0)</f>
        <v>4.4000000000000003E-3</v>
      </c>
      <c r="E154" s="86">
        <f>VLOOKUP($A154,'Data shares'!$C:$FA,74)</f>
        <v>108913500</v>
      </c>
      <c r="F154" s="86">
        <f>VLOOKUP($A154,'Data shares'!$C:$FA,76)</f>
        <v>802500</v>
      </c>
      <c r="G154" s="87">
        <f>VLOOKUP(A154,'Data shares'!$C$2:$CA$220,77,0)</f>
        <v>7.4000000000000003E-3</v>
      </c>
      <c r="H154" s="86">
        <f>VLOOKUP($A154,'Data shares'!$C:$FA,90)</f>
        <v>76119000</v>
      </c>
      <c r="I154" s="86">
        <f>VLOOKUP($A154,'Data shares'!$C:$FA,92)</f>
        <v>1131000</v>
      </c>
      <c r="J154" s="87">
        <f>VLOOKUP($A154,'Data shares'!$C:$FA,93)</f>
        <v>1.5100000000000001E-2</v>
      </c>
      <c r="K154" s="86">
        <f>VLOOKUP($A154,'Data shares'!$C:$FA,94)</f>
        <v>43224000</v>
      </c>
      <c r="L154" s="86">
        <f>VLOOKUP($A154,'Data shares'!$C:$FA,96)</f>
        <v>-937500</v>
      </c>
      <c r="M154" s="87">
        <f>VLOOKUP($A154,'Data shares'!$C:$FA,97)</f>
        <v>-2.12E-2</v>
      </c>
      <c r="N154" s="86">
        <f>VLOOKUP($A154,'Data shares'!$C:$FA,78)</f>
        <v>64282500</v>
      </c>
      <c r="O154" s="87">
        <f>VLOOKUP($A154,'Data shares'!$C:$FA,81)</f>
        <v>-0.21970000000000001</v>
      </c>
    </row>
    <row r="155" spans="1:15" x14ac:dyDescent="0.25">
      <c r="A155" s="100" t="str">
        <f>'Data Vlaue (Cr)'!C150</f>
        <v>NUVAMA</v>
      </c>
      <c r="B155" s="82">
        <f>VLOOKUP(A155,'Data shares'!$C$2:$CV$220,98,0)</f>
        <v>4127500</v>
      </c>
      <c r="C155" s="82">
        <f>VLOOKUP(A155,'Data shares'!$C$2:$CX$220,100,0)</f>
        <v>36000</v>
      </c>
      <c r="D155" s="141">
        <f>VLOOKUP(A155,'Data shares'!$C$2:$CY$543,101,0)</f>
        <v>8.8000000000000005E-3</v>
      </c>
      <c r="E155" s="86">
        <f>VLOOKUP($A155,'Data shares'!$C:$FA,74)</f>
        <v>2106500</v>
      </c>
      <c r="F155" s="86">
        <f>VLOOKUP($A155,'Data shares'!$C:$FA,76)</f>
        <v>-26000</v>
      </c>
      <c r="G155" s="87">
        <f>VLOOKUP(A155,'Data shares'!$C$2:$CA$220,77,0)</f>
        <v>-1.2200000000000001E-2</v>
      </c>
      <c r="H155" s="86">
        <f>VLOOKUP($A155,'Data shares'!$C:$FA,90)</f>
        <v>1163000</v>
      </c>
      <c r="I155" s="86">
        <f>VLOOKUP($A155,'Data shares'!$C:$FA,92)</f>
        <v>40000</v>
      </c>
      <c r="J155" s="87">
        <f>VLOOKUP($A155,'Data shares'!$C:$FA,93)</f>
        <v>3.56E-2</v>
      </c>
      <c r="K155" s="86">
        <f>VLOOKUP($A155,'Data shares'!$C:$FA,94)</f>
        <v>858000</v>
      </c>
      <c r="L155" s="86">
        <f>VLOOKUP($A155,'Data shares'!$C:$FA,96)</f>
        <v>22000</v>
      </c>
      <c r="M155" s="87">
        <f>VLOOKUP($A155,'Data shares'!$C:$FA,97)</f>
        <v>2.63E-2</v>
      </c>
      <c r="N155" s="86">
        <f>VLOOKUP($A155,'Data shares'!$C:$FA,78)</f>
        <v>1346000</v>
      </c>
      <c r="O155" s="87">
        <f>VLOOKUP($A155,'Data shares'!$C:$FA,81)</f>
        <v>-0.2631</v>
      </c>
    </row>
    <row r="156" spans="1:15" x14ac:dyDescent="0.25">
      <c r="A156" s="100" t="str">
        <f>'Data Vlaue (Cr)'!C151</f>
        <v>NYKAA</v>
      </c>
      <c r="B156" s="82">
        <f>VLOOKUP(A156,'Data shares'!$C$2:$CV$220,98,0)</f>
        <v>69371875</v>
      </c>
      <c r="C156" s="82">
        <f>VLOOKUP(A156,'Data shares'!$C$2:$CX$220,100,0)</f>
        <v>2925000</v>
      </c>
      <c r="D156" s="141">
        <f>VLOOKUP(A156,'Data shares'!$C$2:$CY$543,101,0)</f>
        <v>4.3999999999999997E-2</v>
      </c>
      <c r="E156" s="86">
        <f>VLOOKUP($A156,'Data shares'!$C:$FA,74)</f>
        <v>51559375</v>
      </c>
      <c r="F156" s="86">
        <f>VLOOKUP($A156,'Data shares'!$C:$FA,76)</f>
        <v>2281250</v>
      </c>
      <c r="G156" s="87">
        <f>VLOOKUP(A156,'Data shares'!$C$2:$CA$220,77,0)</f>
        <v>4.6300000000000001E-2</v>
      </c>
      <c r="H156" s="86">
        <f>VLOOKUP($A156,'Data shares'!$C:$FA,90)</f>
        <v>12240625</v>
      </c>
      <c r="I156" s="86">
        <f>VLOOKUP($A156,'Data shares'!$C:$FA,92)</f>
        <v>396875</v>
      </c>
      <c r="J156" s="87">
        <f>VLOOKUP($A156,'Data shares'!$C:$FA,93)</f>
        <v>3.3500000000000002E-2</v>
      </c>
      <c r="K156" s="86">
        <f>VLOOKUP($A156,'Data shares'!$C:$FA,94)</f>
        <v>5571875</v>
      </c>
      <c r="L156" s="86">
        <f>VLOOKUP($A156,'Data shares'!$C:$FA,96)</f>
        <v>246875</v>
      </c>
      <c r="M156" s="87">
        <f>VLOOKUP($A156,'Data shares'!$C:$FA,97)</f>
        <v>4.6399999999999997E-2</v>
      </c>
      <c r="N156" s="86">
        <f>VLOOKUP($A156,'Data shares'!$C:$FA,78)</f>
        <v>36087500</v>
      </c>
      <c r="O156" s="87">
        <f>VLOOKUP($A156,'Data shares'!$C:$FA,81)</f>
        <v>-0.19089999999999999</v>
      </c>
    </row>
    <row r="157" spans="1:15" x14ac:dyDescent="0.25">
      <c r="A157" s="100" t="str">
        <f>'Data Vlaue (Cr)'!C152</f>
        <v>OBEROIRLTY</v>
      </c>
      <c r="B157" s="82">
        <f>VLOOKUP(A157,'Data shares'!$C$2:$CV$220,98,0)</f>
        <v>11321800</v>
      </c>
      <c r="C157" s="82">
        <f>VLOOKUP(A157,'Data shares'!$C$2:$CX$220,100,0)</f>
        <v>-1446900</v>
      </c>
      <c r="D157" s="141">
        <f>VLOOKUP(A157,'Data shares'!$C$2:$CY$543,101,0)</f>
        <v>-0.1133</v>
      </c>
      <c r="E157" s="86">
        <f>VLOOKUP($A157,'Data shares'!$C:$FA,74)</f>
        <v>8482600</v>
      </c>
      <c r="F157" s="86">
        <f>VLOOKUP($A157,'Data shares'!$C:$FA,76)</f>
        <v>-1362200</v>
      </c>
      <c r="G157" s="87">
        <f>VLOOKUP(A157,'Data shares'!$C$2:$CA$220,77,0)</f>
        <v>-0.1384</v>
      </c>
      <c r="H157" s="86">
        <f>VLOOKUP($A157,'Data shares'!$C:$FA,90)</f>
        <v>1759450</v>
      </c>
      <c r="I157" s="86">
        <f>VLOOKUP($A157,'Data shares'!$C:$FA,92)</f>
        <v>-44100</v>
      </c>
      <c r="J157" s="87">
        <f>VLOOKUP($A157,'Data shares'!$C:$FA,93)</f>
        <v>-2.4500000000000001E-2</v>
      </c>
      <c r="K157" s="86">
        <f>VLOOKUP($A157,'Data shares'!$C:$FA,94)</f>
        <v>1079750</v>
      </c>
      <c r="L157" s="86">
        <f>VLOOKUP($A157,'Data shares'!$C:$FA,96)</f>
        <v>-40600</v>
      </c>
      <c r="M157" s="87">
        <f>VLOOKUP($A157,'Data shares'!$C:$FA,97)</f>
        <v>-3.6200000000000003E-2</v>
      </c>
      <c r="N157" s="86">
        <f>VLOOKUP($A157,'Data shares'!$C:$FA,78)</f>
        <v>5817700</v>
      </c>
      <c r="O157" s="87">
        <f>VLOOKUP($A157,'Data shares'!$C:$FA,81)</f>
        <v>-0.30259999999999998</v>
      </c>
    </row>
    <row r="158" spans="1:15" x14ac:dyDescent="0.25">
      <c r="A158" s="100" t="str">
        <f>'Data Vlaue (Cr)'!C153</f>
        <v>OFSS</v>
      </c>
      <c r="B158" s="82">
        <f>VLOOKUP(A158,'Data shares'!$C$2:$CV$220,98,0)</f>
        <v>4451625</v>
      </c>
      <c r="C158" s="82">
        <f>VLOOKUP(A158,'Data shares'!$C$2:$CX$220,100,0)</f>
        <v>556275</v>
      </c>
      <c r="D158" s="141">
        <f>VLOOKUP(A158,'Data shares'!$C$2:$CY$543,101,0)</f>
        <v>0.14280000000000001</v>
      </c>
      <c r="E158" s="86">
        <f>VLOOKUP($A158,'Data shares'!$C:$FA,74)</f>
        <v>1629150</v>
      </c>
      <c r="F158" s="86">
        <f>VLOOKUP($A158,'Data shares'!$C:$FA,76)</f>
        <v>-73650</v>
      </c>
      <c r="G158" s="87">
        <f>VLOOKUP(A158,'Data shares'!$C$2:$CA$220,77,0)</f>
        <v>-4.3299999999999998E-2</v>
      </c>
      <c r="H158" s="86">
        <f>VLOOKUP($A158,'Data shares'!$C:$FA,90)</f>
        <v>1450425</v>
      </c>
      <c r="I158" s="86">
        <f>VLOOKUP($A158,'Data shares'!$C:$FA,92)</f>
        <v>264900</v>
      </c>
      <c r="J158" s="87">
        <f>VLOOKUP($A158,'Data shares'!$C:$FA,93)</f>
        <v>0.22339999999999999</v>
      </c>
      <c r="K158" s="86">
        <f>VLOOKUP($A158,'Data shares'!$C:$FA,94)</f>
        <v>1372050</v>
      </c>
      <c r="L158" s="86">
        <f>VLOOKUP($A158,'Data shares'!$C:$FA,96)</f>
        <v>365025</v>
      </c>
      <c r="M158" s="87">
        <f>VLOOKUP($A158,'Data shares'!$C:$FA,97)</f>
        <v>0.36249999999999999</v>
      </c>
      <c r="N158" s="86">
        <f>VLOOKUP($A158,'Data shares'!$C:$FA,78)</f>
        <v>1031325</v>
      </c>
      <c r="O158" s="87">
        <f>VLOOKUP($A158,'Data shares'!$C:$FA,81)</f>
        <v>-0.29799999999999999</v>
      </c>
    </row>
    <row r="159" spans="1:15" x14ac:dyDescent="0.25">
      <c r="A159" s="100" t="str">
        <f>'Data Vlaue (Cr)'!C154</f>
        <v>OIL</v>
      </c>
      <c r="B159" s="82">
        <f>VLOOKUP(A159,'Data shares'!$C$2:$CV$220,98,0)</f>
        <v>34988800</v>
      </c>
      <c r="C159" s="82">
        <f>VLOOKUP(A159,'Data shares'!$C$2:$CX$220,100,0)</f>
        <v>-361200</v>
      </c>
      <c r="D159" s="141">
        <f>VLOOKUP(A159,'Data shares'!$C$2:$CY$543,101,0)</f>
        <v>-1.0200000000000001E-2</v>
      </c>
      <c r="E159" s="86">
        <f>VLOOKUP($A159,'Data shares'!$C:$FA,74)</f>
        <v>19679800</v>
      </c>
      <c r="F159" s="86">
        <f>VLOOKUP($A159,'Data shares'!$C:$FA,76)</f>
        <v>-779800</v>
      </c>
      <c r="G159" s="87">
        <f>VLOOKUP(A159,'Data shares'!$C$2:$CA$220,77,0)</f>
        <v>-3.8100000000000002E-2</v>
      </c>
      <c r="H159" s="86">
        <f>VLOOKUP($A159,'Data shares'!$C:$FA,90)</f>
        <v>10406200</v>
      </c>
      <c r="I159" s="86">
        <f>VLOOKUP($A159,'Data shares'!$C:$FA,92)</f>
        <v>33600</v>
      </c>
      <c r="J159" s="87">
        <f>VLOOKUP($A159,'Data shares'!$C:$FA,93)</f>
        <v>3.2000000000000002E-3</v>
      </c>
      <c r="K159" s="86">
        <f>VLOOKUP($A159,'Data shares'!$C:$FA,94)</f>
        <v>4902800</v>
      </c>
      <c r="L159" s="86">
        <f>VLOOKUP($A159,'Data shares'!$C:$FA,96)</f>
        <v>385000</v>
      </c>
      <c r="M159" s="87">
        <f>VLOOKUP($A159,'Data shares'!$C:$FA,97)</f>
        <v>8.5199999999999998E-2</v>
      </c>
      <c r="N159" s="86">
        <f>VLOOKUP($A159,'Data shares'!$C:$FA,78)</f>
        <v>13855800</v>
      </c>
      <c r="O159" s="87">
        <f>VLOOKUP($A159,'Data shares'!$C:$FA,81)</f>
        <v>-0.255</v>
      </c>
    </row>
    <row r="160" spans="1:15" x14ac:dyDescent="0.25">
      <c r="A160" s="100" t="str">
        <f>'Data Vlaue (Cr)'!C155</f>
        <v>ONGC</v>
      </c>
      <c r="B160" s="82">
        <f>VLOOKUP(A160,'Data shares'!$C$2:$CV$220,98,0)</f>
        <v>237161250</v>
      </c>
      <c r="C160" s="82">
        <f>VLOOKUP(A160,'Data shares'!$C$2:$CX$220,100,0)</f>
        <v>3294000</v>
      </c>
      <c r="D160" s="141">
        <f>VLOOKUP(A160,'Data shares'!$C$2:$CY$543,101,0)</f>
        <v>1.41E-2</v>
      </c>
      <c r="E160" s="86">
        <f>VLOOKUP($A160,'Data shares'!$C:$FA,74)</f>
        <v>103826250</v>
      </c>
      <c r="F160" s="86">
        <f>VLOOKUP($A160,'Data shares'!$C:$FA,76)</f>
        <v>1550250</v>
      </c>
      <c r="G160" s="87">
        <f>VLOOKUP(A160,'Data shares'!$C$2:$CA$220,77,0)</f>
        <v>1.52E-2</v>
      </c>
      <c r="H160" s="86">
        <f>VLOOKUP($A160,'Data shares'!$C:$FA,90)</f>
        <v>96165000</v>
      </c>
      <c r="I160" s="86">
        <f>VLOOKUP($A160,'Data shares'!$C:$FA,92)</f>
        <v>2241000</v>
      </c>
      <c r="J160" s="87">
        <f>VLOOKUP($A160,'Data shares'!$C:$FA,93)</f>
        <v>2.3900000000000001E-2</v>
      </c>
      <c r="K160" s="86">
        <f>VLOOKUP($A160,'Data shares'!$C:$FA,94)</f>
        <v>37170000</v>
      </c>
      <c r="L160" s="86">
        <f>VLOOKUP($A160,'Data shares'!$C:$FA,96)</f>
        <v>-497250</v>
      </c>
      <c r="M160" s="87">
        <f>VLOOKUP($A160,'Data shares'!$C:$FA,97)</f>
        <v>-1.32E-2</v>
      </c>
      <c r="N160" s="86">
        <f>VLOOKUP($A160,'Data shares'!$C:$FA,78)</f>
        <v>65432250</v>
      </c>
      <c r="O160" s="87">
        <f>VLOOKUP($A160,'Data shares'!$C:$FA,81)</f>
        <v>-0.24210000000000001</v>
      </c>
    </row>
    <row r="161" spans="1:15" x14ac:dyDescent="0.25">
      <c r="A161" s="100" t="str">
        <f>'Data Vlaue (Cr)'!C156</f>
        <v>PAGEIND</v>
      </c>
      <c r="B161" s="82">
        <f>VLOOKUP(A161,'Data shares'!$C$2:$CV$220,98,0)</f>
        <v>490230</v>
      </c>
      <c r="C161" s="82">
        <f>VLOOKUP(A161,'Data shares'!$C$2:$CX$220,100,0)</f>
        <v>-8490</v>
      </c>
      <c r="D161" s="141">
        <f>VLOOKUP(A161,'Data shares'!$C$2:$CY$543,101,0)</f>
        <v>-1.7000000000000001E-2</v>
      </c>
      <c r="E161" s="86">
        <f>VLOOKUP($A161,'Data shares'!$C:$FA,74)</f>
        <v>358215</v>
      </c>
      <c r="F161" s="86">
        <f>VLOOKUP($A161,'Data shares'!$C:$FA,76)</f>
        <v>3105</v>
      </c>
      <c r="G161" s="87">
        <f>VLOOKUP(A161,'Data shares'!$C$2:$CA$220,77,0)</f>
        <v>8.6999999999999994E-3</v>
      </c>
      <c r="H161" s="86">
        <f>VLOOKUP($A161,'Data shares'!$C:$FA,90)</f>
        <v>68220</v>
      </c>
      <c r="I161" s="86">
        <f>VLOOKUP($A161,'Data shares'!$C:$FA,92)</f>
        <v>-900</v>
      </c>
      <c r="J161" s="87">
        <f>VLOOKUP($A161,'Data shares'!$C:$FA,93)</f>
        <v>-1.2999999999999999E-2</v>
      </c>
      <c r="K161" s="86">
        <f>VLOOKUP($A161,'Data shares'!$C:$FA,94)</f>
        <v>63795</v>
      </c>
      <c r="L161" s="86">
        <f>VLOOKUP($A161,'Data shares'!$C:$FA,96)</f>
        <v>-10695</v>
      </c>
      <c r="M161" s="87">
        <f>VLOOKUP($A161,'Data shares'!$C:$FA,97)</f>
        <v>-0.14360000000000001</v>
      </c>
      <c r="N161" s="86">
        <f>VLOOKUP($A161,'Data shares'!$C:$FA,78)</f>
        <v>231495</v>
      </c>
      <c r="O161" s="87">
        <f>VLOOKUP($A161,'Data shares'!$C:$FA,81)</f>
        <v>-0.30249999999999999</v>
      </c>
    </row>
    <row r="162" spans="1:15" x14ac:dyDescent="0.25">
      <c r="A162" s="100" t="str">
        <f>'Data Vlaue (Cr)'!C157</f>
        <v>PATANJALI</v>
      </c>
      <c r="B162" s="82">
        <f>VLOOKUP(A162,'Data shares'!$C$2:$CV$220,98,0)</f>
        <v>45693900</v>
      </c>
      <c r="C162" s="82">
        <f>VLOOKUP(A162,'Data shares'!$C$2:$CX$220,100,0)</f>
        <v>-1070100</v>
      </c>
      <c r="D162" s="141">
        <f>VLOOKUP(A162,'Data shares'!$C$2:$CY$543,101,0)</f>
        <v>-2.29E-2</v>
      </c>
      <c r="E162" s="86">
        <f>VLOOKUP($A162,'Data shares'!$C:$FA,74)</f>
        <v>36183600</v>
      </c>
      <c r="F162" s="86">
        <f>VLOOKUP($A162,'Data shares'!$C:$FA,76)</f>
        <v>-310500</v>
      </c>
      <c r="G162" s="87">
        <f>VLOOKUP(A162,'Data shares'!$C$2:$CA$220,77,0)</f>
        <v>-8.5000000000000006E-3</v>
      </c>
      <c r="H162" s="86">
        <f>VLOOKUP($A162,'Data shares'!$C:$FA,90)</f>
        <v>5669100</v>
      </c>
      <c r="I162" s="86">
        <f>VLOOKUP($A162,'Data shares'!$C:$FA,92)</f>
        <v>-886500</v>
      </c>
      <c r="J162" s="87">
        <f>VLOOKUP($A162,'Data shares'!$C:$FA,93)</f>
        <v>-0.13519999999999999</v>
      </c>
      <c r="K162" s="86">
        <f>VLOOKUP($A162,'Data shares'!$C:$FA,94)</f>
        <v>3841200</v>
      </c>
      <c r="L162" s="86">
        <f>VLOOKUP($A162,'Data shares'!$C:$FA,96)</f>
        <v>126900</v>
      </c>
      <c r="M162" s="87">
        <f>VLOOKUP($A162,'Data shares'!$C:$FA,97)</f>
        <v>3.4200000000000001E-2</v>
      </c>
      <c r="N162" s="86">
        <f>VLOOKUP($A162,'Data shares'!$C:$FA,78)</f>
        <v>28779300</v>
      </c>
      <c r="O162" s="87">
        <f>VLOOKUP($A162,'Data shares'!$C:$FA,81)</f>
        <v>-0.16880000000000001</v>
      </c>
    </row>
    <row r="163" spans="1:15" x14ac:dyDescent="0.25">
      <c r="A163" s="100" t="str">
        <f>'Data Vlaue (Cr)'!C158</f>
        <v>PAYTM</v>
      </c>
      <c r="B163" s="82">
        <f>VLOOKUP(A163,'Data shares'!$C$2:$CV$220,98,0)</f>
        <v>26640850</v>
      </c>
      <c r="C163" s="82">
        <f>VLOOKUP(A163,'Data shares'!$C$2:$CX$220,100,0)</f>
        <v>-862750</v>
      </c>
      <c r="D163" s="141">
        <f>VLOOKUP(A163,'Data shares'!$C$2:$CY$543,101,0)</f>
        <v>-3.1399999999999997E-2</v>
      </c>
      <c r="E163" s="86">
        <f>VLOOKUP($A163,'Data shares'!$C:$FA,74)</f>
        <v>15219925</v>
      </c>
      <c r="F163" s="86">
        <f>VLOOKUP($A163,'Data shares'!$C:$FA,76)</f>
        <v>-68875</v>
      </c>
      <c r="G163" s="87">
        <f>VLOOKUP(A163,'Data shares'!$C$2:$CA$220,77,0)</f>
        <v>-4.4999999999999997E-3</v>
      </c>
      <c r="H163" s="86">
        <f>VLOOKUP($A163,'Data shares'!$C:$FA,90)</f>
        <v>6399575</v>
      </c>
      <c r="I163" s="86">
        <f>VLOOKUP($A163,'Data shares'!$C:$FA,92)</f>
        <v>-341475</v>
      </c>
      <c r="J163" s="87">
        <f>VLOOKUP($A163,'Data shares'!$C:$FA,93)</f>
        <v>-5.0700000000000002E-2</v>
      </c>
      <c r="K163" s="86">
        <f>VLOOKUP($A163,'Data shares'!$C:$FA,94)</f>
        <v>5021350</v>
      </c>
      <c r="L163" s="86">
        <f>VLOOKUP($A163,'Data shares'!$C:$FA,96)</f>
        <v>-452400</v>
      </c>
      <c r="M163" s="87">
        <f>VLOOKUP($A163,'Data shares'!$C:$FA,97)</f>
        <v>-8.2600000000000007E-2</v>
      </c>
      <c r="N163" s="86">
        <f>VLOOKUP($A163,'Data shares'!$C:$FA,78)</f>
        <v>9349600</v>
      </c>
      <c r="O163" s="87">
        <f>VLOOKUP($A163,'Data shares'!$C:$FA,81)</f>
        <v>-0.25280000000000002</v>
      </c>
    </row>
    <row r="164" spans="1:15" x14ac:dyDescent="0.25">
      <c r="A164" s="100" t="str">
        <f>'Data Vlaue (Cr)'!C159</f>
        <v>PERSISTENT</v>
      </c>
      <c r="B164" s="82">
        <f>VLOOKUP(A164,'Data shares'!$C$2:$CV$220,98,0)</f>
        <v>9633700</v>
      </c>
      <c r="C164" s="82">
        <f>VLOOKUP(A164,'Data shares'!$C$2:$CX$220,100,0)</f>
        <v>-1002000</v>
      </c>
      <c r="D164" s="141">
        <f>VLOOKUP(A164,'Data shares'!$C$2:$CY$543,101,0)</f>
        <v>-9.4200000000000006E-2</v>
      </c>
      <c r="E164" s="86">
        <f>VLOOKUP($A164,'Data shares'!$C:$FA,74)</f>
        <v>5644200</v>
      </c>
      <c r="F164" s="86">
        <f>VLOOKUP($A164,'Data shares'!$C:$FA,76)</f>
        <v>-706100</v>
      </c>
      <c r="G164" s="87">
        <f>VLOOKUP(A164,'Data shares'!$C$2:$CA$220,77,0)</f>
        <v>-0.11119999999999999</v>
      </c>
      <c r="H164" s="86">
        <f>VLOOKUP($A164,'Data shares'!$C:$FA,90)</f>
        <v>2607600</v>
      </c>
      <c r="I164" s="86">
        <f>VLOOKUP($A164,'Data shares'!$C:$FA,92)</f>
        <v>-225500</v>
      </c>
      <c r="J164" s="87">
        <f>VLOOKUP($A164,'Data shares'!$C:$FA,93)</f>
        <v>-7.9600000000000004E-2</v>
      </c>
      <c r="K164" s="86">
        <f>VLOOKUP($A164,'Data shares'!$C:$FA,94)</f>
        <v>1381900</v>
      </c>
      <c r="L164" s="86">
        <f>VLOOKUP($A164,'Data shares'!$C:$FA,96)</f>
        <v>-70400</v>
      </c>
      <c r="M164" s="87">
        <f>VLOOKUP($A164,'Data shares'!$C:$FA,97)</f>
        <v>-4.8500000000000001E-2</v>
      </c>
      <c r="N164" s="86">
        <f>VLOOKUP($A164,'Data shares'!$C:$FA,78)</f>
        <v>3236700</v>
      </c>
      <c r="O164" s="87">
        <f>VLOOKUP($A164,'Data shares'!$C:$FA,81)</f>
        <v>-0.32700000000000001</v>
      </c>
    </row>
    <row r="165" spans="1:15" x14ac:dyDescent="0.25">
      <c r="A165" s="100" t="str">
        <f>'Data Vlaue (Cr)'!C160</f>
        <v>PETRONET</v>
      </c>
      <c r="B165" s="82">
        <f>VLOOKUP(A165,'Data shares'!$C$2:$CV$220,98,0)</f>
        <v>61535300</v>
      </c>
      <c r="C165" s="82">
        <f>VLOOKUP(A165,'Data shares'!$C$2:$CX$220,100,0)</f>
        <v>-2365500</v>
      </c>
      <c r="D165" s="141">
        <f>VLOOKUP(A165,'Data shares'!$C$2:$CY$543,101,0)</f>
        <v>-3.6999999999999998E-2</v>
      </c>
      <c r="E165" s="86">
        <f>VLOOKUP($A165,'Data shares'!$C:$FA,74)</f>
        <v>35397000</v>
      </c>
      <c r="F165" s="86">
        <f>VLOOKUP($A165,'Data shares'!$C:$FA,76)</f>
        <v>-1582700</v>
      </c>
      <c r="G165" s="87">
        <f>VLOOKUP(A165,'Data shares'!$C$2:$CA$220,77,0)</f>
        <v>-4.2799999999999998E-2</v>
      </c>
      <c r="H165" s="86">
        <f>VLOOKUP($A165,'Data shares'!$C:$FA,90)</f>
        <v>15397600</v>
      </c>
      <c r="I165" s="86">
        <f>VLOOKUP($A165,'Data shares'!$C:$FA,92)</f>
        <v>-1037400</v>
      </c>
      <c r="J165" s="87">
        <f>VLOOKUP($A165,'Data shares'!$C:$FA,93)</f>
        <v>-6.3100000000000003E-2</v>
      </c>
      <c r="K165" s="86">
        <f>VLOOKUP($A165,'Data shares'!$C:$FA,94)</f>
        <v>10740700</v>
      </c>
      <c r="L165" s="86">
        <f>VLOOKUP($A165,'Data shares'!$C:$FA,96)</f>
        <v>254600</v>
      </c>
      <c r="M165" s="87">
        <f>VLOOKUP($A165,'Data shares'!$C:$FA,97)</f>
        <v>2.4299999999999999E-2</v>
      </c>
      <c r="N165" s="86">
        <f>VLOOKUP($A165,'Data shares'!$C:$FA,78)</f>
        <v>23056500</v>
      </c>
      <c r="O165" s="87">
        <f>VLOOKUP($A165,'Data shares'!$C:$FA,81)</f>
        <v>-0.32779999999999998</v>
      </c>
    </row>
    <row r="166" spans="1:15" x14ac:dyDescent="0.25">
      <c r="A166" s="100" t="str">
        <f>'Data Vlaue (Cr)'!C161</f>
        <v>PFC</v>
      </c>
      <c r="B166" s="82">
        <f>VLOOKUP(A166,'Data shares'!$C$2:$CV$220,98,0)</f>
        <v>106068300</v>
      </c>
      <c r="C166" s="82">
        <f>VLOOKUP(A166,'Data shares'!$C$2:$CX$220,100,0)</f>
        <v>-1613300</v>
      </c>
      <c r="D166" s="141">
        <f>VLOOKUP(A166,'Data shares'!$C$2:$CY$543,101,0)</f>
        <v>-1.4999999999999999E-2</v>
      </c>
      <c r="E166" s="86">
        <f>VLOOKUP($A166,'Data shares'!$C:$FA,74)</f>
        <v>59117500</v>
      </c>
      <c r="F166" s="86">
        <f>VLOOKUP($A166,'Data shares'!$C:$FA,76)</f>
        <v>-1062100</v>
      </c>
      <c r="G166" s="87">
        <f>VLOOKUP(A166,'Data shares'!$C$2:$CA$220,77,0)</f>
        <v>-1.7600000000000001E-2</v>
      </c>
      <c r="H166" s="86">
        <f>VLOOKUP($A166,'Data shares'!$C:$FA,90)</f>
        <v>26456300</v>
      </c>
      <c r="I166" s="86">
        <f>VLOOKUP($A166,'Data shares'!$C:$FA,92)</f>
        <v>-323700</v>
      </c>
      <c r="J166" s="87">
        <f>VLOOKUP($A166,'Data shares'!$C:$FA,93)</f>
        <v>-1.21E-2</v>
      </c>
      <c r="K166" s="86">
        <f>VLOOKUP($A166,'Data shares'!$C:$FA,94)</f>
        <v>20494500</v>
      </c>
      <c r="L166" s="86">
        <f>VLOOKUP($A166,'Data shares'!$C:$FA,96)</f>
        <v>-227500</v>
      </c>
      <c r="M166" s="87">
        <f>VLOOKUP($A166,'Data shares'!$C:$FA,97)</f>
        <v>-1.0999999999999999E-2</v>
      </c>
      <c r="N166" s="86">
        <f>VLOOKUP($A166,'Data shares'!$C:$FA,78)</f>
        <v>34167900</v>
      </c>
      <c r="O166" s="87">
        <f>VLOOKUP($A166,'Data shares'!$C:$FA,81)</f>
        <v>-0.2571</v>
      </c>
    </row>
    <row r="167" spans="1:15" x14ac:dyDescent="0.25">
      <c r="A167" s="100" t="str">
        <f>'Data Vlaue (Cr)'!C162</f>
        <v>PGEL</v>
      </c>
      <c r="B167" s="82">
        <f>VLOOKUP(A167,'Data shares'!$C$2:$CV$220,98,0)</f>
        <v>32393100</v>
      </c>
      <c r="C167" s="82">
        <f>VLOOKUP(A167,'Data shares'!$C$2:$CX$220,100,0)</f>
        <v>-1607400</v>
      </c>
      <c r="D167" s="141">
        <f>VLOOKUP(A167,'Data shares'!$C$2:$CY$543,101,0)</f>
        <v>-4.7300000000000002E-2</v>
      </c>
      <c r="E167" s="86">
        <f>VLOOKUP($A167,'Data shares'!$C:$FA,74)</f>
        <v>15640800</v>
      </c>
      <c r="F167" s="86">
        <f>VLOOKUP($A167,'Data shares'!$C:$FA,76)</f>
        <v>-1083000</v>
      </c>
      <c r="G167" s="87">
        <f>VLOOKUP(A167,'Data shares'!$C$2:$CA$220,77,0)</f>
        <v>-6.4799999999999996E-2</v>
      </c>
      <c r="H167" s="86">
        <f>VLOOKUP($A167,'Data shares'!$C:$FA,90)</f>
        <v>8474950</v>
      </c>
      <c r="I167" s="86">
        <f>VLOOKUP($A167,'Data shares'!$C:$FA,92)</f>
        <v>46550</v>
      </c>
      <c r="J167" s="87">
        <f>VLOOKUP($A167,'Data shares'!$C:$FA,93)</f>
        <v>5.4999999999999997E-3</v>
      </c>
      <c r="K167" s="86">
        <f>VLOOKUP($A167,'Data shares'!$C:$FA,94)</f>
        <v>8277350</v>
      </c>
      <c r="L167" s="86">
        <f>VLOOKUP($A167,'Data shares'!$C:$FA,96)</f>
        <v>-570950</v>
      </c>
      <c r="M167" s="87">
        <f>VLOOKUP($A167,'Data shares'!$C:$FA,97)</f>
        <v>-6.4500000000000002E-2</v>
      </c>
      <c r="N167" s="86">
        <f>VLOOKUP($A167,'Data shares'!$C:$FA,78)</f>
        <v>9817300</v>
      </c>
      <c r="O167" s="87">
        <f>VLOOKUP($A167,'Data shares'!$C:$FA,81)</f>
        <v>-0.27629999999999999</v>
      </c>
    </row>
    <row r="168" spans="1:15" x14ac:dyDescent="0.25">
      <c r="A168" s="100" t="str">
        <f>'Data Vlaue (Cr)'!C163</f>
        <v>PHOENIXLTD</v>
      </c>
      <c r="B168" s="82">
        <f>VLOOKUP(A168,'Data shares'!$C$2:$CV$220,98,0)</f>
        <v>6435450</v>
      </c>
      <c r="C168" s="82">
        <f>VLOOKUP(A168,'Data shares'!$C$2:$CX$220,100,0)</f>
        <v>215950</v>
      </c>
      <c r="D168" s="141">
        <f>VLOOKUP(A168,'Data shares'!$C$2:$CY$543,101,0)</f>
        <v>3.4700000000000002E-2</v>
      </c>
      <c r="E168" s="86">
        <f>VLOOKUP($A168,'Data shares'!$C:$FA,74)</f>
        <v>4018000</v>
      </c>
      <c r="F168" s="86">
        <f>VLOOKUP($A168,'Data shares'!$C:$FA,76)</f>
        <v>55650</v>
      </c>
      <c r="G168" s="87">
        <f>VLOOKUP(A168,'Data shares'!$C$2:$CA$220,77,0)</f>
        <v>1.4E-2</v>
      </c>
      <c r="H168" s="86">
        <f>VLOOKUP($A168,'Data shares'!$C:$FA,90)</f>
        <v>1347150</v>
      </c>
      <c r="I168" s="86">
        <f>VLOOKUP($A168,'Data shares'!$C:$FA,92)</f>
        <v>85400</v>
      </c>
      <c r="J168" s="87">
        <f>VLOOKUP($A168,'Data shares'!$C:$FA,93)</f>
        <v>6.7699999999999996E-2</v>
      </c>
      <c r="K168" s="86">
        <f>VLOOKUP($A168,'Data shares'!$C:$FA,94)</f>
        <v>1070300</v>
      </c>
      <c r="L168" s="86">
        <f>VLOOKUP($A168,'Data shares'!$C:$FA,96)</f>
        <v>74900</v>
      </c>
      <c r="M168" s="87">
        <f>VLOOKUP($A168,'Data shares'!$C:$FA,97)</f>
        <v>7.5200000000000003E-2</v>
      </c>
      <c r="N168" s="86">
        <f>VLOOKUP($A168,'Data shares'!$C:$FA,78)</f>
        <v>2528400</v>
      </c>
      <c r="O168" s="87">
        <f>VLOOKUP($A168,'Data shares'!$C:$FA,81)</f>
        <v>-0.2571</v>
      </c>
    </row>
    <row r="169" spans="1:15" x14ac:dyDescent="0.25">
      <c r="A169" s="100" t="str">
        <f>'Data Vlaue (Cr)'!C164</f>
        <v>PIDILITIND</v>
      </c>
      <c r="B169" s="82">
        <f>VLOOKUP(A169,'Data shares'!$C$2:$CV$220,98,0)</f>
        <v>11166000</v>
      </c>
      <c r="C169" s="82">
        <f>VLOOKUP(A169,'Data shares'!$C$2:$CX$220,100,0)</f>
        <v>-227500</v>
      </c>
      <c r="D169" s="141">
        <f>VLOOKUP(A169,'Data shares'!$C$2:$CY$543,101,0)</f>
        <v>-0.02</v>
      </c>
      <c r="E169" s="86">
        <f>VLOOKUP($A169,'Data shares'!$C:$FA,74)</f>
        <v>8063500</v>
      </c>
      <c r="F169" s="86">
        <f>VLOOKUP($A169,'Data shares'!$C:$FA,76)</f>
        <v>-246500</v>
      </c>
      <c r="G169" s="87">
        <f>VLOOKUP(A169,'Data shares'!$C$2:$CA$220,77,0)</f>
        <v>-2.9700000000000001E-2</v>
      </c>
      <c r="H169" s="86">
        <f>VLOOKUP($A169,'Data shares'!$C:$FA,90)</f>
        <v>1737000</v>
      </c>
      <c r="I169" s="86">
        <f>VLOOKUP($A169,'Data shares'!$C:$FA,92)</f>
        <v>-6500</v>
      </c>
      <c r="J169" s="87">
        <f>VLOOKUP($A169,'Data shares'!$C:$FA,93)</f>
        <v>-3.7000000000000002E-3</v>
      </c>
      <c r="K169" s="86">
        <f>VLOOKUP($A169,'Data shares'!$C:$FA,94)</f>
        <v>1365500</v>
      </c>
      <c r="L169" s="86">
        <f>VLOOKUP($A169,'Data shares'!$C:$FA,96)</f>
        <v>25500</v>
      </c>
      <c r="M169" s="87">
        <f>VLOOKUP($A169,'Data shares'!$C:$FA,97)</f>
        <v>1.9E-2</v>
      </c>
      <c r="N169" s="86">
        <f>VLOOKUP($A169,'Data shares'!$C:$FA,78)</f>
        <v>5316000</v>
      </c>
      <c r="O169" s="87">
        <f>VLOOKUP($A169,'Data shares'!$C:$FA,81)</f>
        <v>-0.32619999999999999</v>
      </c>
    </row>
    <row r="170" spans="1:15" x14ac:dyDescent="0.25">
      <c r="A170" s="100" t="str">
        <f>'Data Vlaue (Cr)'!C165</f>
        <v>PIIND</v>
      </c>
      <c r="B170" s="82">
        <f>VLOOKUP(A170,'Data shares'!$C$2:$CV$220,98,0)</f>
        <v>4196150</v>
      </c>
      <c r="C170" s="82">
        <f>VLOOKUP(A170,'Data shares'!$C$2:$CX$220,100,0)</f>
        <v>-16975</v>
      </c>
      <c r="D170" s="141">
        <f>VLOOKUP(A170,'Data shares'!$C$2:$CY$543,101,0)</f>
        <v>-4.0000000000000001E-3</v>
      </c>
      <c r="E170" s="86">
        <f>VLOOKUP($A170,'Data shares'!$C:$FA,74)</f>
        <v>2616075</v>
      </c>
      <c r="F170" s="86">
        <f>VLOOKUP($A170,'Data shares'!$C:$FA,76)</f>
        <v>-185675</v>
      </c>
      <c r="G170" s="87">
        <f>VLOOKUP(A170,'Data shares'!$C$2:$CA$220,77,0)</f>
        <v>-6.6299999999999998E-2</v>
      </c>
      <c r="H170" s="86">
        <f>VLOOKUP($A170,'Data shares'!$C:$FA,90)</f>
        <v>903700</v>
      </c>
      <c r="I170" s="86">
        <f>VLOOKUP($A170,'Data shares'!$C:$FA,92)</f>
        <v>126700</v>
      </c>
      <c r="J170" s="87">
        <f>VLOOKUP($A170,'Data shares'!$C:$FA,93)</f>
        <v>0.16309999999999999</v>
      </c>
      <c r="K170" s="86">
        <f>VLOOKUP($A170,'Data shares'!$C:$FA,94)</f>
        <v>676375</v>
      </c>
      <c r="L170" s="86">
        <f>VLOOKUP($A170,'Data shares'!$C:$FA,96)</f>
        <v>42000</v>
      </c>
      <c r="M170" s="87">
        <f>VLOOKUP($A170,'Data shares'!$C:$FA,97)</f>
        <v>6.6199999999999995E-2</v>
      </c>
      <c r="N170" s="86">
        <f>VLOOKUP($A170,'Data shares'!$C:$FA,78)</f>
        <v>1656375</v>
      </c>
      <c r="O170" s="87">
        <f>VLOOKUP($A170,'Data shares'!$C:$FA,81)</f>
        <v>-0.3342</v>
      </c>
    </row>
    <row r="171" spans="1:15" x14ac:dyDescent="0.25">
      <c r="A171" s="100" t="str">
        <f>'Data Vlaue (Cr)'!C166</f>
        <v>PNB</v>
      </c>
      <c r="B171" s="82">
        <f>VLOOKUP(A171,'Data shares'!$C$2:$CV$220,98,0)</f>
        <v>440152000</v>
      </c>
      <c r="C171" s="82">
        <f>VLOOKUP(A171,'Data shares'!$C$2:$CX$220,100,0)</f>
        <v>4560000</v>
      </c>
      <c r="D171" s="141">
        <f>VLOOKUP(A171,'Data shares'!$C$2:$CY$543,101,0)</f>
        <v>1.0500000000000001E-2</v>
      </c>
      <c r="E171" s="86">
        <f>VLOOKUP($A171,'Data shares'!$C:$FA,74)</f>
        <v>274376000</v>
      </c>
      <c r="F171" s="86">
        <f>VLOOKUP($A171,'Data shares'!$C:$FA,76)</f>
        <v>6432000</v>
      </c>
      <c r="G171" s="87">
        <f>VLOOKUP(A171,'Data shares'!$C$2:$CA$220,77,0)</f>
        <v>2.4E-2</v>
      </c>
      <c r="H171" s="86">
        <f>VLOOKUP($A171,'Data shares'!$C:$FA,90)</f>
        <v>88024000</v>
      </c>
      <c r="I171" s="86">
        <f>VLOOKUP($A171,'Data shares'!$C:$FA,92)</f>
        <v>248000</v>
      </c>
      <c r="J171" s="87">
        <f>VLOOKUP($A171,'Data shares'!$C:$FA,93)</f>
        <v>2.8E-3</v>
      </c>
      <c r="K171" s="86">
        <f>VLOOKUP($A171,'Data shares'!$C:$FA,94)</f>
        <v>77752000</v>
      </c>
      <c r="L171" s="86">
        <f>VLOOKUP($A171,'Data shares'!$C:$FA,96)</f>
        <v>-2120000</v>
      </c>
      <c r="M171" s="87">
        <f>VLOOKUP($A171,'Data shares'!$C:$FA,97)</f>
        <v>-2.6499999999999999E-2</v>
      </c>
      <c r="N171" s="86">
        <f>VLOOKUP($A171,'Data shares'!$C:$FA,78)</f>
        <v>161952000</v>
      </c>
      <c r="O171" s="87">
        <f>VLOOKUP($A171,'Data shares'!$C:$FA,81)</f>
        <v>-0.2046</v>
      </c>
    </row>
    <row r="172" spans="1:15" x14ac:dyDescent="0.25">
      <c r="A172" s="100" t="str">
        <f>'Data Vlaue (Cr)'!C167</f>
        <v>PNBHOUSING</v>
      </c>
      <c r="B172" s="82">
        <f>VLOOKUP(A172,'Data shares'!$C$2:$CV$220,98,0)</f>
        <v>23714600</v>
      </c>
      <c r="C172" s="82">
        <f>VLOOKUP(A172,'Data shares'!$C$2:$CX$220,100,0)</f>
        <v>-286000</v>
      </c>
      <c r="D172" s="141">
        <f>VLOOKUP(A172,'Data shares'!$C$2:$CY$543,101,0)</f>
        <v>-1.1900000000000001E-2</v>
      </c>
      <c r="E172" s="86">
        <f>VLOOKUP($A172,'Data shares'!$C:$FA,74)</f>
        <v>12583350</v>
      </c>
      <c r="F172" s="86">
        <f>VLOOKUP($A172,'Data shares'!$C:$FA,76)</f>
        <v>339950</v>
      </c>
      <c r="G172" s="87">
        <f>VLOOKUP(A172,'Data shares'!$C$2:$CA$220,77,0)</f>
        <v>2.7799999999999998E-2</v>
      </c>
      <c r="H172" s="86">
        <f>VLOOKUP($A172,'Data shares'!$C:$FA,90)</f>
        <v>5424250</v>
      </c>
      <c r="I172" s="86">
        <f>VLOOKUP($A172,'Data shares'!$C:$FA,92)</f>
        <v>-849550</v>
      </c>
      <c r="J172" s="87">
        <f>VLOOKUP($A172,'Data shares'!$C:$FA,93)</f>
        <v>-0.13539999999999999</v>
      </c>
      <c r="K172" s="86">
        <f>VLOOKUP($A172,'Data shares'!$C:$FA,94)</f>
        <v>5707000</v>
      </c>
      <c r="L172" s="86">
        <f>VLOOKUP($A172,'Data shares'!$C:$FA,96)</f>
        <v>223600</v>
      </c>
      <c r="M172" s="87">
        <f>VLOOKUP($A172,'Data shares'!$C:$FA,97)</f>
        <v>4.0800000000000003E-2</v>
      </c>
      <c r="N172" s="86">
        <f>VLOOKUP($A172,'Data shares'!$C:$FA,78)</f>
        <v>7630350</v>
      </c>
      <c r="O172" s="87">
        <f>VLOOKUP($A172,'Data shares'!$C:$FA,81)</f>
        <v>-0.28399999999999997</v>
      </c>
    </row>
    <row r="173" spans="1:15" x14ac:dyDescent="0.25">
      <c r="A173" s="100" t="str">
        <f>'Data Vlaue (Cr)'!C168</f>
        <v>POLICYBZR</v>
      </c>
      <c r="B173" s="82">
        <f>VLOOKUP(A173,'Data shares'!$C$2:$CV$220,98,0)</f>
        <v>12481000</v>
      </c>
      <c r="C173" s="82">
        <f>VLOOKUP(A173,'Data shares'!$C$2:$CX$220,100,0)</f>
        <v>823200</v>
      </c>
      <c r="D173" s="141">
        <f>VLOOKUP(A173,'Data shares'!$C$2:$CY$543,101,0)</f>
        <v>7.0599999999999996E-2</v>
      </c>
      <c r="E173" s="86">
        <f>VLOOKUP($A173,'Data shares'!$C:$FA,74)</f>
        <v>8396150</v>
      </c>
      <c r="F173" s="86">
        <f>VLOOKUP($A173,'Data shares'!$C:$FA,76)</f>
        <v>633500</v>
      </c>
      <c r="G173" s="87">
        <f>VLOOKUP(A173,'Data shares'!$C$2:$CA$220,77,0)</f>
        <v>8.1600000000000006E-2</v>
      </c>
      <c r="H173" s="86">
        <f>VLOOKUP($A173,'Data shares'!$C:$FA,90)</f>
        <v>2144450</v>
      </c>
      <c r="I173" s="86">
        <f>VLOOKUP($A173,'Data shares'!$C:$FA,92)</f>
        <v>-128800</v>
      </c>
      <c r="J173" s="87">
        <f>VLOOKUP($A173,'Data shares'!$C:$FA,93)</f>
        <v>-5.67E-2</v>
      </c>
      <c r="K173" s="86">
        <f>VLOOKUP($A173,'Data shares'!$C:$FA,94)</f>
        <v>1940400</v>
      </c>
      <c r="L173" s="86">
        <f>VLOOKUP($A173,'Data shares'!$C:$FA,96)</f>
        <v>318500</v>
      </c>
      <c r="M173" s="87">
        <f>VLOOKUP($A173,'Data shares'!$C:$FA,97)</f>
        <v>0.19639999999999999</v>
      </c>
      <c r="N173" s="86">
        <f>VLOOKUP($A173,'Data shares'!$C:$FA,78)</f>
        <v>4232900</v>
      </c>
      <c r="O173" s="87">
        <f>VLOOKUP($A173,'Data shares'!$C:$FA,81)</f>
        <v>-0.31130000000000002</v>
      </c>
    </row>
    <row r="174" spans="1:15" x14ac:dyDescent="0.25">
      <c r="A174" s="100" t="str">
        <f>'Data Vlaue (Cr)'!C169</f>
        <v>POLYCAB</v>
      </c>
      <c r="B174" s="82">
        <f>VLOOKUP(A174,'Data shares'!$C$2:$CV$220,98,0)</f>
        <v>4468250</v>
      </c>
      <c r="C174" s="82">
        <f>VLOOKUP(A174,'Data shares'!$C$2:$CX$220,100,0)</f>
        <v>-57750</v>
      </c>
      <c r="D174" s="141">
        <f>VLOOKUP(A174,'Data shares'!$C$2:$CY$543,101,0)</f>
        <v>-1.2800000000000001E-2</v>
      </c>
      <c r="E174" s="86">
        <f>VLOOKUP($A174,'Data shares'!$C:$FA,74)</f>
        <v>1914625</v>
      </c>
      <c r="F174" s="86">
        <f>VLOOKUP($A174,'Data shares'!$C:$FA,76)</f>
        <v>-19375</v>
      </c>
      <c r="G174" s="87">
        <f>VLOOKUP(A174,'Data shares'!$C$2:$CA$220,77,0)</f>
        <v>-0.01</v>
      </c>
      <c r="H174" s="86">
        <f>VLOOKUP($A174,'Data shares'!$C:$FA,90)</f>
        <v>1458500</v>
      </c>
      <c r="I174" s="86">
        <f>VLOOKUP($A174,'Data shares'!$C:$FA,92)</f>
        <v>48250</v>
      </c>
      <c r="J174" s="87">
        <f>VLOOKUP($A174,'Data shares'!$C:$FA,93)</f>
        <v>3.4200000000000001E-2</v>
      </c>
      <c r="K174" s="86">
        <f>VLOOKUP($A174,'Data shares'!$C:$FA,94)</f>
        <v>1095125</v>
      </c>
      <c r="L174" s="86">
        <f>VLOOKUP($A174,'Data shares'!$C:$FA,96)</f>
        <v>-86625</v>
      </c>
      <c r="M174" s="87">
        <f>VLOOKUP($A174,'Data shares'!$C:$FA,97)</f>
        <v>-7.3300000000000004E-2</v>
      </c>
      <c r="N174" s="86">
        <f>VLOOKUP($A174,'Data shares'!$C:$FA,78)</f>
        <v>1366000</v>
      </c>
      <c r="O174" s="87">
        <f>VLOOKUP($A174,'Data shares'!$C:$FA,81)</f>
        <v>-0.19980000000000001</v>
      </c>
    </row>
    <row r="175" spans="1:15" x14ac:dyDescent="0.25">
      <c r="A175" s="100" t="str">
        <f>'Data Vlaue (Cr)'!C170</f>
        <v>POWERGRID</v>
      </c>
      <c r="B175" s="82">
        <f>VLOOKUP(A175,'Data shares'!$C$2:$CV$220,98,0)</f>
        <v>146987800</v>
      </c>
      <c r="C175" s="82">
        <f>VLOOKUP(A175,'Data shares'!$C$2:$CX$220,100,0)</f>
        <v>-2291400</v>
      </c>
      <c r="D175" s="141">
        <f>VLOOKUP(A175,'Data shares'!$C$2:$CY$543,101,0)</f>
        <v>-1.5299999999999999E-2</v>
      </c>
      <c r="E175" s="86">
        <f>VLOOKUP($A175,'Data shares'!$C:$FA,74)</f>
        <v>79714500</v>
      </c>
      <c r="F175" s="86">
        <f>VLOOKUP($A175,'Data shares'!$C:$FA,76)</f>
        <v>-1873400</v>
      </c>
      <c r="G175" s="87">
        <f>VLOOKUP(A175,'Data shares'!$C$2:$CA$220,77,0)</f>
        <v>-2.3E-2</v>
      </c>
      <c r="H175" s="86">
        <f>VLOOKUP($A175,'Data shares'!$C:$FA,90)</f>
        <v>41374400</v>
      </c>
      <c r="I175" s="86">
        <f>VLOOKUP($A175,'Data shares'!$C:$FA,92)</f>
        <v>-28500</v>
      </c>
      <c r="J175" s="87">
        <f>VLOOKUP($A175,'Data shares'!$C:$FA,93)</f>
        <v>-6.9999999999999999E-4</v>
      </c>
      <c r="K175" s="86">
        <f>VLOOKUP($A175,'Data shares'!$C:$FA,94)</f>
        <v>25898900</v>
      </c>
      <c r="L175" s="86">
        <f>VLOOKUP($A175,'Data shares'!$C:$FA,96)</f>
        <v>-389500</v>
      </c>
      <c r="M175" s="87">
        <f>VLOOKUP($A175,'Data shares'!$C:$FA,97)</f>
        <v>-1.4800000000000001E-2</v>
      </c>
      <c r="N175" s="86">
        <f>VLOOKUP($A175,'Data shares'!$C:$FA,78)</f>
        <v>43795000</v>
      </c>
      <c r="O175" s="87">
        <f>VLOOKUP($A175,'Data shares'!$C:$FA,81)</f>
        <v>-0.31419999999999998</v>
      </c>
    </row>
    <row r="176" spans="1:15" x14ac:dyDescent="0.25">
      <c r="A176" s="100" t="str">
        <f>'Data Vlaue (Cr)'!C171</f>
        <v>POWERINDIA</v>
      </c>
      <c r="B176" s="82">
        <f>VLOOKUP(A176,'Data shares'!$C$2:$CV$220,98,0)</f>
        <v>1298750</v>
      </c>
      <c r="C176" s="82">
        <f>VLOOKUP(A176,'Data shares'!$C$2:$CX$220,100,0)</f>
        <v>166550</v>
      </c>
      <c r="D176" s="141">
        <f>VLOOKUP(A176,'Data shares'!$C$2:$CY$543,101,0)</f>
        <v>0.14710000000000001</v>
      </c>
      <c r="E176" s="86">
        <f>VLOOKUP($A176,'Data shares'!$C:$FA,74)</f>
        <v>424150</v>
      </c>
      <c r="F176" s="86">
        <f>VLOOKUP($A176,'Data shares'!$C:$FA,76)</f>
        <v>18650</v>
      </c>
      <c r="G176" s="87">
        <f>VLOOKUP(A176,'Data shares'!$C$2:$CA$220,77,0)</f>
        <v>4.5999999999999999E-2</v>
      </c>
      <c r="H176" s="86">
        <f>VLOOKUP($A176,'Data shares'!$C:$FA,90)</f>
        <v>362200</v>
      </c>
      <c r="I176" s="86">
        <f>VLOOKUP($A176,'Data shares'!$C:$FA,92)</f>
        <v>50500</v>
      </c>
      <c r="J176" s="87">
        <f>VLOOKUP($A176,'Data shares'!$C:$FA,93)</f>
        <v>0.16200000000000001</v>
      </c>
      <c r="K176" s="86">
        <f>VLOOKUP($A176,'Data shares'!$C:$FA,94)</f>
        <v>512400</v>
      </c>
      <c r="L176" s="86">
        <f>VLOOKUP($A176,'Data shares'!$C:$FA,96)</f>
        <v>97400</v>
      </c>
      <c r="M176" s="87">
        <f>VLOOKUP($A176,'Data shares'!$C:$FA,97)</f>
        <v>0.23469999999999999</v>
      </c>
      <c r="N176" s="86">
        <f>VLOOKUP($A176,'Data shares'!$C:$FA,78)</f>
        <v>268450</v>
      </c>
      <c r="O176" s="87">
        <f>VLOOKUP($A176,'Data shares'!$C:$FA,81)</f>
        <v>-0.2581</v>
      </c>
    </row>
    <row r="177" spans="1:15" x14ac:dyDescent="0.25">
      <c r="A177" s="100" t="str">
        <f>'Data Vlaue (Cr)'!C172</f>
        <v>PPLPHARMA</v>
      </c>
      <c r="B177" s="82">
        <f>VLOOKUP(A177,'Data shares'!$C$2:$CV$220,98,0)</f>
        <v>23966250</v>
      </c>
      <c r="C177" s="82">
        <f>VLOOKUP(A177,'Data shares'!$C$2:$CX$220,100,0)</f>
        <v>4559625</v>
      </c>
      <c r="D177" s="141">
        <f>VLOOKUP(A177,'Data shares'!$C$2:$CY$543,101,0)</f>
        <v>0.23499999999999999</v>
      </c>
      <c r="E177" s="86">
        <f>VLOOKUP($A177,'Data shares'!$C:$FA,74)</f>
        <v>8242500</v>
      </c>
      <c r="F177" s="86">
        <f>VLOOKUP($A177,'Data shares'!$C:$FA,76)</f>
        <v>-2042250</v>
      </c>
      <c r="G177" s="87">
        <f>VLOOKUP(A177,'Data shares'!$C$2:$CA$220,77,0)</f>
        <v>-0.1986</v>
      </c>
      <c r="H177" s="86">
        <f>VLOOKUP($A177,'Data shares'!$C:$FA,90)</f>
        <v>8757000</v>
      </c>
      <c r="I177" s="86">
        <f>VLOOKUP($A177,'Data shares'!$C:$FA,92)</f>
        <v>3045000</v>
      </c>
      <c r="J177" s="87">
        <f>VLOOKUP($A177,'Data shares'!$C:$FA,93)</f>
        <v>0.53310000000000002</v>
      </c>
      <c r="K177" s="86">
        <f>VLOOKUP($A177,'Data shares'!$C:$FA,94)</f>
        <v>6966750</v>
      </c>
      <c r="L177" s="86">
        <f>VLOOKUP($A177,'Data shares'!$C:$FA,96)</f>
        <v>3556875</v>
      </c>
      <c r="M177" s="87">
        <f>VLOOKUP($A177,'Data shares'!$C:$FA,97)</f>
        <v>1.0430999999999999</v>
      </c>
      <c r="N177" s="86">
        <f>VLOOKUP($A177,'Data shares'!$C:$FA,78)</f>
        <v>8242500</v>
      </c>
      <c r="O177" s="87">
        <f>VLOOKUP($A177,'Data shares'!$C:$FA,81)</f>
        <v>-0.1986</v>
      </c>
    </row>
    <row r="178" spans="1:15" x14ac:dyDescent="0.25">
      <c r="A178" s="100" t="str">
        <f>'Data Vlaue (Cr)'!C173</f>
        <v>PREMIERENE</v>
      </c>
      <c r="B178" s="82">
        <f>VLOOKUP(A178,'Data shares'!$C$2:$CV$220,98,0)</f>
        <v>16984925</v>
      </c>
      <c r="C178" s="82">
        <f>VLOOKUP(A178,'Data shares'!$C$2:$CX$220,100,0)</f>
        <v>-1654850</v>
      </c>
      <c r="D178" s="141">
        <f>VLOOKUP(A178,'Data shares'!$C$2:$CY$543,101,0)</f>
        <v>-8.8800000000000004E-2</v>
      </c>
      <c r="E178" s="86">
        <f>VLOOKUP($A178,'Data shares'!$C:$FA,74)</f>
        <v>12359625</v>
      </c>
      <c r="F178" s="86">
        <f>VLOOKUP($A178,'Data shares'!$C:$FA,76)</f>
        <v>-1512250</v>
      </c>
      <c r="G178" s="87">
        <f>VLOOKUP(A178,'Data shares'!$C$2:$CA$220,77,0)</f>
        <v>-0.109</v>
      </c>
      <c r="H178" s="86">
        <f>VLOOKUP($A178,'Data shares'!$C:$FA,90)</f>
        <v>2768050</v>
      </c>
      <c r="I178" s="86">
        <f>VLOOKUP($A178,'Data shares'!$C:$FA,92)</f>
        <v>-116150</v>
      </c>
      <c r="J178" s="87">
        <f>VLOOKUP($A178,'Data shares'!$C:$FA,93)</f>
        <v>-4.0300000000000002E-2</v>
      </c>
      <c r="K178" s="86">
        <f>VLOOKUP($A178,'Data shares'!$C:$FA,94)</f>
        <v>1857250</v>
      </c>
      <c r="L178" s="86">
        <f>VLOOKUP($A178,'Data shares'!$C:$FA,96)</f>
        <v>-26450</v>
      </c>
      <c r="M178" s="87">
        <f>VLOOKUP($A178,'Data shares'!$C:$FA,97)</f>
        <v>-1.4E-2</v>
      </c>
      <c r="N178" s="86">
        <f>VLOOKUP($A178,'Data shares'!$C:$FA,78)</f>
        <v>7719375</v>
      </c>
      <c r="O178" s="87">
        <f>VLOOKUP($A178,'Data shares'!$C:$FA,81)</f>
        <v>-0.27750000000000002</v>
      </c>
    </row>
    <row r="179" spans="1:15" x14ac:dyDescent="0.25">
      <c r="A179" s="100" t="str">
        <f>'Data Vlaue (Cr)'!C174</f>
        <v>PRESTIGE</v>
      </c>
      <c r="B179" s="82">
        <f>VLOOKUP(A179,'Data shares'!$C$2:$CV$220,98,0)</f>
        <v>10047600</v>
      </c>
      <c r="C179" s="82">
        <f>VLOOKUP(A179,'Data shares'!$C$2:$CX$220,100,0)</f>
        <v>-220050</v>
      </c>
      <c r="D179" s="141">
        <f>VLOOKUP(A179,'Data shares'!$C$2:$CY$543,101,0)</f>
        <v>-2.1399999999999999E-2</v>
      </c>
      <c r="E179" s="86">
        <f>VLOOKUP($A179,'Data shares'!$C:$FA,74)</f>
        <v>6485400</v>
      </c>
      <c r="F179" s="86">
        <f>VLOOKUP($A179,'Data shares'!$C:$FA,76)</f>
        <v>-87750</v>
      </c>
      <c r="G179" s="87">
        <f>VLOOKUP(A179,'Data shares'!$C$2:$CA$220,77,0)</f>
        <v>-1.3299999999999999E-2</v>
      </c>
      <c r="H179" s="86">
        <f>VLOOKUP($A179,'Data shares'!$C:$FA,90)</f>
        <v>2050650</v>
      </c>
      <c r="I179" s="86">
        <f>VLOOKUP($A179,'Data shares'!$C:$FA,92)</f>
        <v>-77850</v>
      </c>
      <c r="J179" s="87">
        <f>VLOOKUP($A179,'Data shares'!$C:$FA,93)</f>
        <v>-3.6600000000000001E-2</v>
      </c>
      <c r="K179" s="86">
        <f>VLOOKUP($A179,'Data shares'!$C:$FA,94)</f>
        <v>1511550</v>
      </c>
      <c r="L179" s="86">
        <f>VLOOKUP($A179,'Data shares'!$C:$FA,96)</f>
        <v>-54450</v>
      </c>
      <c r="M179" s="87">
        <f>VLOOKUP($A179,'Data shares'!$C:$FA,97)</f>
        <v>-3.4799999999999998E-2</v>
      </c>
      <c r="N179" s="86">
        <f>VLOOKUP($A179,'Data shares'!$C:$FA,78)</f>
        <v>4458600</v>
      </c>
      <c r="O179" s="87">
        <f>VLOOKUP($A179,'Data shares'!$C:$FA,81)</f>
        <v>-0.26529999999999998</v>
      </c>
    </row>
    <row r="180" spans="1:15" x14ac:dyDescent="0.25">
      <c r="A180" s="100" t="str">
        <f>'Data Vlaue (Cr)'!C175</f>
        <v>RBLBANK</v>
      </c>
      <c r="B180" s="82">
        <f>VLOOKUP(A180,'Data shares'!$C$2:$CV$220,98,0)</f>
        <v>117925850</v>
      </c>
      <c r="C180" s="82">
        <f>VLOOKUP(A180,'Data shares'!$C$2:$CX$220,100,0)</f>
        <v>1463675</v>
      </c>
      <c r="D180" s="141">
        <f>VLOOKUP(A180,'Data shares'!$C$2:$CY$543,101,0)</f>
        <v>1.26E-2</v>
      </c>
      <c r="E180" s="86">
        <f>VLOOKUP($A180,'Data shares'!$C:$FA,74)</f>
        <v>59813825</v>
      </c>
      <c r="F180" s="86">
        <f>VLOOKUP($A180,'Data shares'!$C:$FA,76)</f>
        <v>247650</v>
      </c>
      <c r="G180" s="87">
        <f>VLOOKUP(A180,'Data shares'!$C$2:$CA$220,77,0)</f>
        <v>4.1999999999999997E-3</v>
      </c>
      <c r="H180" s="86">
        <f>VLOOKUP($A180,'Data shares'!$C:$FA,90)</f>
        <v>30854650</v>
      </c>
      <c r="I180" s="86">
        <f>VLOOKUP($A180,'Data shares'!$C:$FA,92)</f>
        <v>495300</v>
      </c>
      <c r="J180" s="87">
        <f>VLOOKUP($A180,'Data shares'!$C:$FA,93)</f>
        <v>1.6299999999999999E-2</v>
      </c>
      <c r="K180" s="86">
        <f>VLOOKUP($A180,'Data shares'!$C:$FA,94)</f>
        <v>27257375</v>
      </c>
      <c r="L180" s="86">
        <f>VLOOKUP($A180,'Data shares'!$C:$FA,96)</f>
        <v>720725</v>
      </c>
      <c r="M180" s="87">
        <f>VLOOKUP($A180,'Data shares'!$C:$FA,97)</f>
        <v>2.7199999999999998E-2</v>
      </c>
      <c r="N180" s="86">
        <f>VLOOKUP($A180,'Data shares'!$C:$FA,78)</f>
        <v>40363775</v>
      </c>
      <c r="O180" s="87">
        <f>VLOOKUP($A180,'Data shares'!$C:$FA,81)</f>
        <v>-0.21579999999999999</v>
      </c>
    </row>
    <row r="181" spans="1:15" x14ac:dyDescent="0.25">
      <c r="A181" s="100" t="str">
        <f>'Data Vlaue (Cr)'!C176</f>
        <v>RECLTD</v>
      </c>
      <c r="B181" s="82">
        <f>VLOOKUP(A181,'Data shares'!$C$2:$CV$220,98,0)</f>
        <v>120566600</v>
      </c>
      <c r="C181" s="82">
        <f>VLOOKUP(A181,'Data shares'!$C$2:$CX$220,100,0)</f>
        <v>385000</v>
      </c>
      <c r="D181" s="141">
        <f>VLOOKUP(A181,'Data shares'!$C$2:$CY$543,101,0)</f>
        <v>3.2000000000000002E-3</v>
      </c>
      <c r="E181" s="86">
        <f>VLOOKUP($A181,'Data shares'!$C:$FA,74)</f>
        <v>67569600</v>
      </c>
      <c r="F181" s="86">
        <f>VLOOKUP($A181,'Data shares'!$C:$FA,76)</f>
        <v>1670200</v>
      </c>
      <c r="G181" s="87">
        <f>VLOOKUP(A181,'Data shares'!$C$2:$CA$220,77,0)</f>
        <v>2.53E-2</v>
      </c>
      <c r="H181" s="86">
        <f>VLOOKUP($A181,'Data shares'!$C:$FA,90)</f>
        <v>28970200</v>
      </c>
      <c r="I181" s="86">
        <f>VLOOKUP($A181,'Data shares'!$C:$FA,92)</f>
        <v>291200</v>
      </c>
      <c r="J181" s="87">
        <f>VLOOKUP($A181,'Data shares'!$C:$FA,93)</f>
        <v>1.0200000000000001E-2</v>
      </c>
      <c r="K181" s="86">
        <f>VLOOKUP($A181,'Data shares'!$C:$FA,94)</f>
        <v>24026800</v>
      </c>
      <c r="L181" s="86">
        <f>VLOOKUP($A181,'Data shares'!$C:$FA,96)</f>
        <v>-1576400</v>
      </c>
      <c r="M181" s="87">
        <f>VLOOKUP($A181,'Data shares'!$C:$FA,97)</f>
        <v>-6.1600000000000002E-2</v>
      </c>
      <c r="N181" s="86">
        <f>VLOOKUP($A181,'Data shares'!$C:$FA,78)</f>
        <v>42659400</v>
      </c>
      <c r="O181" s="87">
        <f>VLOOKUP($A181,'Data shares'!$C:$FA,81)</f>
        <v>-0.16470000000000001</v>
      </c>
    </row>
    <row r="182" spans="1:15" x14ac:dyDescent="0.25">
      <c r="A182" s="100" t="str">
        <f>'Data Vlaue (Cr)'!C177</f>
        <v>RELIANCE</v>
      </c>
      <c r="B182" s="82">
        <f>VLOOKUP(A182,'Data shares'!$C$2:$CV$220,98,0)</f>
        <v>226886500</v>
      </c>
      <c r="C182" s="82">
        <f>VLOOKUP(A182,'Data shares'!$C$2:$CX$220,100,0)</f>
        <v>8844500</v>
      </c>
      <c r="D182" s="141">
        <f>VLOOKUP(A182,'Data shares'!$C$2:$CY$543,101,0)</f>
        <v>4.0599999999999997E-2</v>
      </c>
      <c r="E182" s="86">
        <f>VLOOKUP($A182,'Data shares'!$C:$FA,74)</f>
        <v>104295500</v>
      </c>
      <c r="F182" s="86">
        <f>VLOOKUP($A182,'Data shares'!$C:$FA,76)</f>
        <v>2788500</v>
      </c>
      <c r="G182" s="87">
        <f>VLOOKUP(A182,'Data shares'!$C$2:$CA$220,77,0)</f>
        <v>2.75E-2</v>
      </c>
      <c r="H182" s="86">
        <f>VLOOKUP($A182,'Data shares'!$C:$FA,90)</f>
        <v>81209000</v>
      </c>
      <c r="I182" s="86">
        <f>VLOOKUP($A182,'Data shares'!$C:$FA,92)</f>
        <v>3156000</v>
      </c>
      <c r="J182" s="87">
        <f>VLOOKUP($A182,'Data shares'!$C:$FA,93)</f>
        <v>4.0399999999999998E-2</v>
      </c>
      <c r="K182" s="86">
        <f>VLOOKUP($A182,'Data shares'!$C:$FA,94)</f>
        <v>41382000</v>
      </c>
      <c r="L182" s="86">
        <f>VLOOKUP($A182,'Data shares'!$C:$FA,96)</f>
        <v>2900000</v>
      </c>
      <c r="M182" s="87">
        <f>VLOOKUP($A182,'Data shares'!$C:$FA,97)</f>
        <v>7.5399999999999995E-2</v>
      </c>
      <c r="N182" s="86">
        <f>VLOOKUP($A182,'Data shares'!$C:$FA,78)</f>
        <v>53319000</v>
      </c>
      <c r="O182" s="87">
        <f>VLOOKUP($A182,'Data shares'!$C:$FA,81)</f>
        <v>-0.2208</v>
      </c>
    </row>
    <row r="183" spans="1:15" x14ac:dyDescent="0.25">
      <c r="A183" s="100" t="str">
        <f>'Data Vlaue (Cr)'!C178</f>
        <v>RVNL</v>
      </c>
      <c r="B183" s="82">
        <f>VLOOKUP(A183,'Data shares'!$C$2:$CV$220,98,0)</f>
        <v>100488350</v>
      </c>
      <c r="C183" s="82">
        <f>VLOOKUP(A183,'Data shares'!$C$2:$CX$220,100,0)</f>
        <v>-10008575</v>
      </c>
      <c r="D183" s="141">
        <f>VLOOKUP(A183,'Data shares'!$C$2:$CY$543,101,0)</f>
        <v>-9.06E-2</v>
      </c>
      <c r="E183" s="86">
        <f>VLOOKUP($A183,'Data shares'!$C:$FA,74)</f>
        <v>60274100</v>
      </c>
      <c r="F183" s="86">
        <f>VLOOKUP($A183,'Data shares'!$C:$FA,76)</f>
        <v>-10941875</v>
      </c>
      <c r="G183" s="87">
        <f>VLOOKUP(A183,'Data shares'!$C$2:$CA$220,77,0)</f>
        <v>-0.15359999999999999</v>
      </c>
      <c r="H183" s="86">
        <f>VLOOKUP($A183,'Data shares'!$C:$FA,90)</f>
        <v>23103750</v>
      </c>
      <c r="I183" s="86">
        <f>VLOOKUP($A183,'Data shares'!$C:$FA,92)</f>
        <v>603900</v>
      </c>
      <c r="J183" s="87">
        <f>VLOOKUP($A183,'Data shares'!$C:$FA,93)</f>
        <v>2.6800000000000001E-2</v>
      </c>
      <c r="K183" s="86">
        <f>VLOOKUP($A183,'Data shares'!$C:$FA,94)</f>
        <v>17110500</v>
      </c>
      <c r="L183" s="86">
        <f>VLOOKUP($A183,'Data shares'!$C:$FA,96)</f>
        <v>329400</v>
      </c>
      <c r="M183" s="87">
        <f>VLOOKUP($A183,'Data shares'!$C:$FA,97)</f>
        <v>1.9599999999999999E-2</v>
      </c>
      <c r="N183" s="86">
        <f>VLOOKUP($A183,'Data shares'!$C:$FA,78)</f>
        <v>28148450</v>
      </c>
      <c r="O183" s="87">
        <f>VLOOKUP($A183,'Data shares'!$C:$FA,81)</f>
        <v>-0.4279</v>
      </c>
    </row>
    <row r="184" spans="1:15" x14ac:dyDescent="0.25">
      <c r="A184" s="100" t="str">
        <f>'Data Vlaue (Cr)'!C179</f>
        <v>SAIL</v>
      </c>
      <c r="B184" s="82">
        <f>VLOOKUP(A184,'Data shares'!$C$2:$CV$220,98,0)</f>
        <v>212021700</v>
      </c>
      <c r="C184" s="82">
        <f>VLOOKUP(A184,'Data shares'!$C$2:$CX$220,100,0)</f>
        <v>14100</v>
      </c>
      <c r="D184" s="141">
        <f>VLOOKUP(A184,'Data shares'!$C$2:$CY$543,101,0)</f>
        <v>1E-4</v>
      </c>
      <c r="E184" s="86">
        <f>VLOOKUP($A184,'Data shares'!$C:$FA,74)</f>
        <v>194128800</v>
      </c>
      <c r="F184" s="86">
        <f>VLOOKUP($A184,'Data shares'!$C:$FA,76)</f>
        <v>-89300</v>
      </c>
      <c r="G184" s="87">
        <f>VLOOKUP(A184,'Data shares'!$C$2:$CA$220,77,0)</f>
        <v>-5.0000000000000001E-4</v>
      </c>
      <c r="H184" s="86">
        <f>VLOOKUP($A184,'Data shares'!$C:$FA,90)</f>
        <v>9785400</v>
      </c>
      <c r="I184" s="86">
        <f>VLOOKUP($A184,'Data shares'!$C:$FA,92)</f>
        <v>-192700</v>
      </c>
      <c r="J184" s="87">
        <f>VLOOKUP($A184,'Data shares'!$C:$FA,93)</f>
        <v>-1.9300000000000001E-2</v>
      </c>
      <c r="K184" s="86">
        <f>VLOOKUP($A184,'Data shares'!$C:$FA,94)</f>
        <v>8107500</v>
      </c>
      <c r="L184" s="86">
        <f>VLOOKUP($A184,'Data shares'!$C:$FA,96)</f>
        <v>296100</v>
      </c>
      <c r="M184" s="87">
        <f>VLOOKUP($A184,'Data shares'!$C:$FA,97)</f>
        <v>3.7900000000000003E-2</v>
      </c>
      <c r="N184" s="86">
        <f>VLOOKUP($A184,'Data shares'!$C:$FA,78)</f>
        <v>156340800</v>
      </c>
      <c r="O184" s="87">
        <f>VLOOKUP($A184,'Data shares'!$C:$FA,81)</f>
        <v>-1.47E-2</v>
      </c>
    </row>
    <row r="185" spans="1:15" x14ac:dyDescent="0.25">
      <c r="A185" s="100" t="str">
        <f>'Data Vlaue (Cr)'!C180</f>
        <v>SAMMAANCAP</v>
      </c>
      <c r="B185" s="82">
        <f>VLOOKUP(A185,'Data shares'!$C$2:$CV$220,98,0)</f>
        <v>141573200</v>
      </c>
      <c r="C185" s="82">
        <f>VLOOKUP(A185,'Data shares'!$C$2:$CX$220,100,0)</f>
        <v>-589100</v>
      </c>
      <c r="D185" s="141">
        <f>VLOOKUP(A185,'Data shares'!$C$2:$CY$543,101,0)</f>
        <v>-4.1000000000000003E-3</v>
      </c>
      <c r="E185" s="86">
        <f>VLOOKUP($A185,'Data shares'!$C:$FA,74)</f>
        <v>104386800</v>
      </c>
      <c r="F185" s="86">
        <f>VLOOKUP($A185,'Data shares'!$C:$FA,76)</f>
        <v>-614900</v>
      </c>
      <c r="G185" s="87">
        <f>VLOOKUP(A185,'Data shares'!$C$2:$CA$220,77,0)</f>
        <v>-5.8999999999999999E-3</v>
      </c>
      <c r="H185" s="86">
        <f>VLOOKUP($A185,'Data shares'!$C:$FA,90)</f>
        <v>20261600</v>
      </c>
      <c r="I185" s="86">
        <f>VLOOKUP($A185,'Data shares'!$C:$FA,92)</f>
        <v>-4300</v>
      </c>
      <c r="J185" s="87">
        <f>VLOOKUP($A185,'Data shares'!$C:$FA,93)</f>
        <v>-2.0000000000000001E-4</v>
      </c>
      <c r="K185" s="86">
        <f>VLOOKUP($A185,'Data shares'!$C:$FA,94)</f>
        <v>16924800</v>
      </c>
      <c r="L185" s="86">
        <f>VLOOKUP($A185,'Data shares'!$C:$FA,96)</f>
        <v>30100</v>
      </c>
      <c r="M185" s="87">
        <f>VLOOKUP($A185,'Data shares'!$C:$FA,97)</f>
        <v>1.8E-3</v>
      </c>
      <c r="N185" s="86">
        <f>VLOOKUP($A185,'Data shares'!$C:$FA,78)</f>
        <v>57521100</v>
      </c>
      <c r="O185" s="87">
        <f>VLOOKUP($A185,'Data shares'!$C:$FA,81)</f>
        <v>-0.1923</v>
      </c>
    </row>
    <row r="186" spans="1:15" x14ac:dyDescent="0.25">
      <c r="A186" s="100" t="str">
        <f>'Data Vlaue (Cr)'!C181</f>
        <v>SBICARD</v>
      </c>
      <c r="B186" s="82">
        <f>VLOOKUP(A186,'Data shares'!$C$2:$CV$220,98,0)</f>
        <v>44924000</v>
      </c>
      <c r="C186" s="82">
        <f>VLOOKUP(A186,'Data shares'!$C$2:$CX$220,100,0)</f>
        <v>-3133600</v>
      </c>
      <c r="D186" s="141">
        <f>VLOOKUP(A186,'Data shares'!$C$2:$CY$543,101,0)</f>
        <v>-6.5199999999999994E-2</v>
      </c>
      <c r="E186" s="86">
        <f>VLOOKUP($A186,'Data shares'!$C:$FA,74)</f>
        <v>28775200</v>
      </c>
      <c r="F186" s="86">
        <f>VLOOKUP($A186,'Data shares'!$C:$FA,76)</f>
        <v>-2687200</v>
      </c>
      <c r="G186" s="87">
        <f>VLOOKUP(A186,'Data shares'!$C$2:$CA$220,77,0)</f>
        <v>-8.5400000000000004E-2</v>
      </c>
      <c r="H186" s="86">
        <f>VLOOKUP($A186,'Data shares'!$C:$FA,90)</f>
        <v>8497600</v>
      </c>
      <c r="I186" s="86">
        <f>VLOOKUP($A186,'Data shares'!$C:$FA,92)</f>
        <v>-463200</v>
      </c>
      <c r="J186" s="87">
        <f>VLOOKUP($A186,'Data shares'!$C:$FA,93)</f>
        <v>-5.1700000000000003E-2</v>
      </c>
      <c r="K186" s="86">
        <f>VLOOKUP($A186,'Data shares'!$C:$FA,94)</f>
        <v>7651200</v>
      </c>
      <c r="L186" s="86">
        <f>VLOOKUP($A186,'Data shares'!$C:$FA,96)</f>
        <v>16800</v>
      </c>
      <c r="M186" s="87">
        <f>VLOOKUP($A186,'Data shares'!$C:$FA,97)</f>
        <v>2.2000000000000001E-3</v>
      </c>
      <c r="N186" s="86">
        <f>VLOOKUP($A186,'Data shares'!$C:$FA,78)</f>
        <v>19018400</v>
      </c>
      <c r="O186" s="87">
        <f>VLOOKUP($A186,'Data shares'!$C:$FA,81)</f>
        <v>-0.22620000000000001</v>
      </c>
    </row>
    <row r="187" spans="1:15" x14ac:dyDescent="0.25">
      <c r="A187" s="100" t="str">
        <f>'Data Vlaue (Cr)'!C182</f>
        <v>SBILIFE</v>
      </c>
      <c r="B187" s="82">
        <f>VLOOKUP(A187,'Data shares'!$C$2:$CV$220,98,0)</f>
        <v>24101250</v>
      </c>
      <c r="C187" s="82">
        <f>VLOOKUP(A187,'Data shares'!$C$2:$CX$220,100,0)</f>
        <v>1086750</v>
      </c>
      <c r="D187" s="141">
        <f>VLOOKUP(A187,'Data shares'!$C$2:$CY$543,101,0)</f>
        <v>4.7199999999999999E-2</v>
      </c>
      <c r="E187" s="86">
        <f>VLOOKUP($A187,'Data shares'!$C:$FA,74)</f>
        <v>13248750</v>
      </c>
      <c r="F187" s="86">
        <f>VLOOKUP($A187,'Data shares'!$C:$FA,76)</f>
        <v>734250</v>
      </c>
      <c r="G187" s="87">
        <f>VLOOKUP(A187,'Data shares'!$C$2:$CA$220,77,0)</f>
        <v>5.8700000000000002E-2</v>
      </c>
      <c r="H187" s="86">
        <f>VLOOKUP($A187,'Data shares'!$C:$FA,90)</f>
        <v>7444125</v>
      </c>
      <c r="I187" s="86">
        <f>VLOOKUP($A187,'Data shares'!$C:$FA,92)</f>
        <v>657750</v>
      </c>
      <c r="J187" s="87">
        <f>VLOOKUP($A187,'Data shares'!$C:$FA,93)</f>
        <v>9.69E-2</v>
      </c>
      <c r="K187" s="86">
        <f>VLOOKUP($A187,'Data shares'!$C:$FA,94)</f>
        <v>3408375</v>
      </c>
      <c r="L187" s="86">
        <f>VLOOKUP($A187,'Data shares'!$C:$FA,96)</f>
        <v>-305250</v>
      </c>
      <c r="M187" s="87">
        <f>VLOOKUP($A187,'Data shares'!$C:$FA,97)</f>
        <v>-8.2199999999999995E-2</v>
      </c>
      <c r="N187" s="86">
        <f>VLOOKUP($A187,'Data shares'!$C:$FA,78)</f>
        <v>7959375</v>
      </c>
      <c r="O187" s="87">
        <f>VLOOKUP($A187,'Data shares'!$C:$FA,81)</f>
        <v>-0.14749999999999999</v>
      </c>
    </row>
    <row r="188" spans="1:15" x14ac:dyDescent="0.25">
      <c r="A188" s="100" t="str">
        <f>'Data Vlaue (Cr)'!C183</f>
        <v>SBIN</v>
      </c>
      <c r="B188" s="82">
        <f>VLOOKUP(A188,'Data shares'!$C$2:$CV$220,98,0)</f>
        <v>177969000</v>
      </c>
      <c r="C188" s="82">
        <f>VLOOKUP(A188,'Data shares'!$C$2:$CX$220,100,0)</f>
        <v>1033500</v>
      </c>
      <c r="D188" s="141">
        <f>VLOOKUP(A188,'Data shares'!$C$2:$CY$543,101,0)</f>
        <v>5.7999999999999996E-3</v>
      </c>
      <c r="E188" s="86">
        <f>VLOOKUP($A188,'Data shares'!$C:$FA,74)</f>
        <v>88077750</v>
      </c>
      <c r="F188" s="86">
        <f>VLOOKUP($A188,'Data shares'!$C:$FA,76)</f>
        <v>2459250</v>
      </c>
      <c r="G188" s="87">
        <f>VLOOKUP(A188,'Data shares'!$C$2:$CA$220,77,0)</f>
        <v>2.87E-2</v>
      </c>
      <c r="H188" s="86">
        <f>VLOOKUP($A188,'Data shares'!$C:$FA,90)</f>
        <v>50079750</v>
      </c>
      <c r="I188" s="86">
        <f>VLOOKUP($A188,'Data shares'!$C:$FA,92)</f>
        <v>215250</v>
      </c>
      <c r="J188" s="87">
        <f>VLOOKUP($A188,'Data shares'!$C:$FA,93)</f>
        <v>4.3E-3</v>
      </c>
      <c r="K188" s="86">
        <f>VLOOKUP($A188,'Data shares'!$C:$FA,94)</f>
        <v>39811500</v>
      </c>
      <c r="L188" s="86">
        <f>VLOOKUP($A188,'Data shares'!$C:$FA,96)</f>
        <v>-1641000</v>
      </c>
      <c r="M188" s="87">
        <f>VLOOKUP($A188,'Data shares'!$C:$FA,97)</f>
        <v>-3.9600000000000003E-2</v>
      </c>
      <c r="N188" s="86">
        <f>VLOOKUP($A188,'Data shares'!$C:$FA,78)</f>
        <v>52866750</v>
      </c>
      <c r="O188" s="87">
        <f>VLOOKUP($A188,'Data shares'!$C:$FA,81)</f>
        <v>-0.19189999999999999</v>
      </c>
    </row>
    <row r="189" spans="1:15" x14ac:dyDescent="0.25">
      <c r="A189" s="100" t="str">
        <f>'Data Vlaue (Cr)'!C184</f>
        <v>SHREECEM</v>
      </c>
      <c r="B189" s="82">
        <f>VLOOKUP(A189,'Data shares'!$C$2:$CV$220,98,0)</f>
        <v>525450</v>
      </c>
      <c r="C189" s="82">
        <f>VLOOKUP(A189,'Data shares'!$C$2:$CX$220,100,0)</f>
        <v>10400</v>
      </c>
      <c r="D189" s="141">
        <f>VLOOKUP(A189,'Data shares'!$C$2:$CY$543,101,0)</f>
        <v>2.0199999999999999E-2</v>
      </c>
      <c r="E189" s="86">
        <f>VLOOKUP($A189,'Data shares'!$C:$FA,74)</f>
        <v>400950</v>
      </c>
      <c r="F189" s="86">
        <f>VLOOKUP($A189,'Data shares'!$C:$FA,76)</f>
        <v>3300</v>
      </c>
      <c r="G189" s="87">
        <f>VLOOKUP(A189,'Data shares'!$C$2:$CA$220,77,0)</f>
        <v>8.3000000000000001E-3</v>
      </c>
      <c r="H189" s="86">
        <f>VLOOKUP($A189,'Data shares'!$C:$FA,90)</f>
        <v>71150</v>
      </c>
      <c r="I189" s="86">
        <f>VLOOKUP($A189,'Data shares'!$C:$FA,92)</f>
        <v>6425</v>
      </c>
      <c r="J189" s="87">
        <f>VLOOKUP($A189,'Data shares'!$C:$FA,93)</f>
        <v>9.9299999999999999E-2</v>
      </c>
      <c r="K189" s="86">
        <f>VLOOKUP($A189,'Data shares'!$C:$FA,94)</f>
        <v>53350</v>
      </c>
      <c r="L189" s="86">
        <f>VLOOKUP($A189,'Data shares'!$C:$FA,96)</f>
        <v>675</v>
      </c>
      <c r="M189" s="87">
        <f>VLOOKUP($A189,'Data shares'!$C:$FA,97)</f>
        <v>1.2800000000000001E-2</v>
      </c>
      <c r="N189" s="86">
        <f>VLOOKUP($A189,'Data shares'!$C:$FA,78)</f>
        <v>268100</v>
      </c>
      <c r="O189" s="87">
        <f>VLOOKUP($A189,'Data shares'!$C:$FA,81)</f>
        <v>-0.27400000000000002</v>
      </c>
    </row>
    <row r="190" spans="1:15" x14ac:dyDescent="0.25">
      <c r="A190" s="100" t="str">
        <f>'Data Vlaue (Cr)'!C185</f>
        <v>SHRIRAMFIN</v>
      </c>
      <c r="B190" s="82">
        <f>VLOOKUP(A190,'Data shares'!$C$2:$CV$220,98,0)</f>
        <v>65826750</v>
      </c>
      <c r="C190" s="82">
        <f>VLOOKUP(A190,'Data shares'!$C$2:$CX$220,100,0)</f>
        <v>1541925</v>
      </c>
      <c r="D190" s="141">
        <f>VLOOKUP(A190,'Data shares'!$C$2:$CY$543,101,0)</f>
        <v>2.4E-2</v>
      </c>
      <c r="E190" s="86">
        <f>VLOOKUP($A190,'Data shares'!$C:$FA,74)</f>
        <v>39987750</v>
      </c>
      <c r="F190" s="86">
        <f>VLOOKUP($A190,'Data shares'!$C:$FA,76)</f>
        <v>490050</v>
      </c>
      <c r="G190" s="87">
        <f>VLOOKUP(A190,'Data shares'!$C$2:$CA$220,77,0)</f>
        <v>1.24E-2</v>
      </c>
      <c r="H190" s="86">
        <f>VLOOKUP($A190,'Data shares'!$C:$FA,90)</f>
        <v>15196500</v>
      </c>
      <c r="I190" s="86">
        <f>VLOOKUP($A190,'Data shares'!$C:$FA,92)</f>
        <v>792000</v>
      </c>
      <c r="J190" s="87">
        <f>VLOOKUP($A190,'Data shares'!$C:$FA,93)</f>
        <v>5.5E-2</v>
      </c>
      <c r="K190" s="86">
        <f>VLOOKUP($A190,'Data shares'!$C:$FA,94)</f>
        <v>10642500</v>
      </c>
      <c r="L190" s="86">
        <f>VLOOKUP($A190,'Data shares'!$C:$FA,96)</f>
        <v>259875</v>
      </c>
      <c r="M190" s="87">
        <f>VLOOKUP($A190,'Data shares'!$C:$FA,97)</f>
        <v>2.5000000000000001E-2</v>
      </c>
      <c r="N190" s="86">
        <f>VLOOKUP($A190,'Data shares'!$C:$FA,78)</f>
        <v>21860025</v>
      </c>
      <c r="O190" s="87">
        <f>VLOOKUP($A190,'Data shares'!$C:$FA,81)</f>
        <v>-0.25469999999999998</v>
      </c>
    </row>
    <row r="191" spans="1:15" x14ac:dyDescent="0.25">
      <c r="A191" s="100" t="str">
        <f>'Data Vlaue (Cr)'!C186</f>
        <v>SIEMENS</v>
      </c>
      <c r="B191" s="82">
        <f>VLOOKUP(A191,'Data shares'!$C$2:$CV$220,98,0)</f>
        <v>6821150</v>
      </c>
      <c r="C191" s="82">
        <f>VLOOKUP(A191,'Data shares'!$C$2:$CX$220,100,0)</f>
        <v>-178675</v>
      </c>
      <c r="D191" s="141">
        <f>VLOOKUP(A191,'Data shares'!$C$2:$CY$543,101,0)</f>
        <v>-2.5499999999999998E-2</v>
      </c>
      <c r="E191" s="86">
        <f>VLOOKUP($A191,'Data shares'!$C:$FA,74)</f>
        <v>3452400</v>
      </c>
      <c r="F191" s="86">
        <f>VLOOKUP($A191,'Data shares'!$C:$FA,76)</f>
        <v>-290325</v>
      </c>
      <c r="G191" s="87">
        <f>VLOOKUP(A191,'Data shares'!$C$2:$CA$220,77,0)</f>
        <v>-7.7600000000000002E-2</v>
      </c>
      <c r="H191" s="86">
        <f>VLOOKUP($A191,'Data shares'!$C:$FA,90)</f>
        <v>1839075</v>
      </c>
      <c r="I191" s="86">
        <f>VLOOKUP($A191,'Data shares'!$C:$FA,92)</f>
        <v>179025</v>
      </c>
      <c r="J191" s="87">
        <f>VLOOKUP($A191,'Data shares'!$C:$FA,93)</f>
        <v>0.10780000000000001</v>
      </c>
      <c r="K191" s="86">
        <f>VLOOKUP($A191,'Data shares'!$C:$FA,94)</f>
        <v>1529675</v>
      </c>
      <c r="L191" s="86">
        <f>VLOOKUP($A191,'Data shares'!$C:$FA,96)</f>
        <v>-67375</v>
      </c>
      <c r="M191" s="87">
        <f>VLOOKUP($A191,'Data shares'!$C:$FA,97)</f>
        <v>-4.2200000000000001E-2</v>
      </c>
      <c r="N191" s="86">
        <f>VLOOKUP($A191,'Data shares'!$C:$FA,78)</f>
        <v>2235275</v>
      </c>
      <c r="O191" s="87">
        <f>VLOOKUP($A191,'Data shares'!$C:$FA,81)</f>
        <v>-0.28889999999999999</v>
      </c>
    </row>
    <row r="192" spans="1:15" x14ac:dyDescent="0.25">
      <c r="A192" s="100" t="str">
        <f>'Data Vlaue (Cr)'!C187</f>
        <v>SOLARINDS</v>
      </c>
      <c r="B192" s="82">
        <f>VLOOKUP(A192,'Data shares'!$C$2:$CV$220,98,0)</f>
        <v>1416500</v>
      </c>
      <c r="C192" s="82">
        <f>VLOOKUP(A192,'Data shares'!$C$2:$CX$220,100,0)</f>
        <v>-15200</v>
      </c>
      <c r="D192" s="141">
        <f>VLOOKUP(A192,'Data shares'!$C$2:$CY$543,101,0)</f>
        <v>-1.06E-2</v>
      </c>
      <c r="E192" s="86">
        <f>VLOOKUP($A192,'Data shares'!$C:$FA,74)</f>
        <v>767150</v>
      </c>
      <c r="F192" s="86">
        <f>VLOOKUP($A192,'Data shares'!$C:$FA,76)</f>
        <v>-35800</v>
      </c>
      <c r="G192" s="87">
        <f>VLOOKUP(A192,'Data shares'!$C$2:$CA$220,77,0)</f>
        <v>-4.4600000000000001E-2</v>
      </c>
      <c r="H192" s="86">
        <f>VLOOKUP($A192,'Data shares'!$C:$FA,90)</f>
        <v>349900</v>
      </c>
      <c r="I192" s="86">
        <f>VLOOKUP($A192,'Data shares'!$C:$FA,92)</f>
        <v>-49150</v>
      </c>
      <c r="J192" s="87">
        <f>VLOOKUP($A192,'Data shares'!$C:$FA,93)</f>
        <v>-0.1232</v>
      </c>
      <c r="K192" s="86">
        <f>VLOOKUP($A192,'Data shares'!$C:$FA,94)</f>
        <v>299450</v>
      </c>
      <c r="L192" s="86">
        <f>VLOOKUP($A192,'Data shares'!$C:$FA,96)</f>
        <v>69750</v>
      </c>
      <c r="M192" s="87">
        <f>VLOOKUP($A192,'Data shares'!$C:$FA,97)</f>
        <v>0.30370000000000003</v>
      </c>
      <c r="N192" s="86">
        <f>VLOOKUP($A192,'Data shares'!$C:$FA,78)</f>
        <v>443550</v>
      </c>
      <c r="O192" s="87">
        <f>VLOOKUP($A192,'Data shares'!$C:$FA,81)</f>
        <v>-0.31119999999999998</v>
      </c>
    </row>
    <row r="193" spans="1:15" x14ac:dyDescent="0.25">
      <c r="A193" s="100" t="str">
        <f>'Data Vlaue (Cr)'!C188</f>
        <v>SONACOMS</v>
      </c>
      <c r="B193" s="82">
        <f>VLOOKUP(A193,'Data shares'!$C$2:$CV$220,98,0)</f>
        <v>21836850</v>
      </c>
      <c r="C193" s="82">
        <f>VLOOKUP(A193,'Data shares'!$C$2:$CX$220,100,0)</f>
        <v>-205800</v>
      </c>
      <c r="D193" s="141">
        <f>VLOOKUP(A193,'Data shares'!$C$2:$CY$543,101,0)</f>
        <v>-9.2999999999999992E-3</v>
      </c>
      <c r="E193" s="86">
        <f>VLOOKUP($A193,'Data shares'!$C:$FA,74)</f>
        <v>14257775</v>
      </c>
      <c r="F193" s="86">
        <f>VLOOKUP($A193,'Data shares'!$C:$FA,76)</f>
        <v>-199675</v>
      </c>
      <c r="G193" s="87">
        <f>VLOOKUP(A193,'Data shares'!$C$2:$CA$220,77,0)</f>
        <v>-1.38E-2</v>
      </c>
      <c r="H193" s="86">
        <f>VLOOKUP($A193,'Data shares'!$C:$FA,90)</f>
        <v>4472475</v>
      </c>
      <c r="I193" s="86">
        <f>VLOOKUP($A193,'Data shares'!$C:$FA,92)</f>
        <v>61250</v>
      </c>
      <c r="J193" s="87">
        <f>VLOOKUP($A193,'Data shares'!$C:$FA,93)</f>
        <v>1.3899999999999999E-2</v>
      </c>
      <c r="K193" s="86">
        <f>VLOOKUP($A193,'Data shares'!$C:$FA,94)</f>
        <v>3106600</v>
      </c>
      <c r="L193" s="86">
        <f>VLOOKUP($A193,'Data shares'!$C:$FA,96)</f>
        <v>-67375</v>
      </c>
      <c r="M193" s="87">
        <f>VLOOKUP($A193,'Data shares'!$C:$FA,97)</f>
        <v>-2.12E-2</v>
      </c>
      <c r="N193" s="86">
        <f>VLOOKUP($A193,'Data shares'!$C:$FA,78)</f>
        <v>10977225</v>
      </c>
      <c r="O193" s="87">
        <f>VLOOKUP($A193,'Data shares'!$C:$FA,81)</f>
        <v>-0.18559999999999999</v>
      </c>
    </row>
    <row r="194" spans="1:15" x14ac:dyDescent="0.25">
      <c r="A194" s="100" t="str">
        <f>'Data Vlaue (Cr)'!C189</f>
        <v>SRF</v>
      </c>
      <c r="B194" s="82">
        <f>VLOOKUP(A194,'Data shares'!$C$2:$CV$220,98,0)</f>
        <v>7272000</v>
      </c>
      <c r="C194" s="82">
        <f>VLOOKUP(A194,'Data shares'!$C$2:$CX$220,100,0)</f>
        <v>-431000</v>
      </c>
      <c r="D194" s="141">
        <f>VLOOKUP(A194,'Data shares'!$C$2:$CY$543,101,0)</f>
        <v>-5.6000000000000001E-2</v>
      </c>
      <c r="E194" s="86">
        <f>VLOOKUP($A194,'Data shares'!$C:$FA,74)</f>
        <v>3862400</v>
      </c>
      <c r="F194" s="86">
        <f>VLOOKUP($A194,'Data shares'!$C:$FA,76)</f>
        <v>-466600</v>
      </c>
      <c r="G194" s="87">
        <f>VLOOKUP(A194,'Data shares'!$C$2:$CA$220,77,0)</f>
        <v>-0.10780000000000001</v>
      </c>
      <c r="H194" s="86">
        <f>VLOOKUP($A194,'Data shares'!$C:$FA,90)</f>
        <v>2149800</v>
      </c>
      <c r="I194" s="86">
        <f>VLOOKUP($A194,'Data shares'!$C:$FA,92)</f>
        <v>-50200</v>
      </c>
      <c r="J194" s="87">
        <f>VLOOKUP($A194,'Data shares'!$C:$FA,93)</f>
        <v>-2.2800000000000001E-2</v>
      </c>
      <c r="K194" s="86">
        <f>VLOOKUP($A194,'Data shares'!$C:$FA,94)</f>
        <v>1259800</v>
      </c>
      <c r="L194" s="86">
        <f>VLOOKUP($A194,'Data shares'!$C:$FA,96)</f>
        <v>85800</v>
      </c>
      <c r="M194" s="87">
        <f>VLOOKUP($A194,'Data shares'!$C:$FA,97)</f>
        <v>7.3099999999999998E-2</v>
      </c>
      <c r="N194" s="86">
        <f>VLOOKUP($A194,'Data shares'!$C:$FA,78)</f>
        <v>2523200</v>
      </c>
      <c r="O194" s="87">
        <f>VLOOKUP($A194,'Data shares'!$C:$FA,81)</f>
        <v>-0.34699999999999998</v>
      </c>
    </row>
    <row r="195" spans="1:15" x14ac:dyDescent="0.25">
      <c r="A195" s="100" t="str">
        <f>'Data Vlaue (Cr)'!C190</f>
        <v>SUNPHARMA</v>
      </c>
      <c r="B195" s="82">
        <f>VLOOKUP(A195,'Data shares'!$C$2:$CV$220,98,0)</f>
        <v>32668650</v>
      </c>
      <c r="C195" s="82">
        <f>VLOOKUP(A195,'Data shares'!$C$2:$CX$220,100,0)</f>
        <v>971950</v>
      </c>
      <c r="D195" s="141">
        <f>VLOOKUP(A195,'Data shares'!$C$2:$CY$543,101,0)</f>
        <v>3.0700000000000002E-2</v>
      </c>
      <c r="E195" s="86">
        <f>VLOOKUP($A195,'Data shares'!$C:$FA,74)</f>
        <v>18451650</v>
      </c>
      <c r="F195" s="86">
        <f>VLOOKUP($A195,'Data shares'!$C:$FA,76)</f>
        <v>24500</v>
      </c>
      <c r="G195" s="87">
        <f>VLOOKUP(A195,'Data shares'!$C$2:$CA$220,77,0)</f>
        <v>1.2999999999999999E-3</v>
      </c>
      <c r="H195" s="86">
        <f>VLOOKUP($A195,'Data shares'!$C:$FA,90)</f>
        <v>8215900</v>
      </c>
      <c r="I195" s="86">
        <f>VLOOKUP($A195,'Data shares'!$C:$FA,92)</f>
        <v>178500</v>
      </c>
      <c r="J195" s="87">
        <f>VLOOKUP($A195,'Data shares'!$C:$FA,93)</f>
        <v>2.2200000000000001E-2</v>
      </c>
      <c r="K195" s="86">
        <f>VLOOKUP($A195,'Data shares'!$C:$FA,94)</f>
        <v>6001100</v>
      </c>
      <c r="L195" s="86">
        <f>VLOOKUP($A195,'Data shares'!$C:$FA,96)</f>
        <v>768950</v>
      </c>
      <c r="M195" s="87">
        <f>VLOOKUP($A195,'Data shares'!$C:$FA,97)</f>
        <v>0.14699999999999999</v>
      </c>
      <c r="N195" s="86">
        <f>VLOOKUP($A195,'Data shares'!$C:$FA,78)</f>
        <v>9535050</v>
      </c>
      <c r="O195" s="87">
        <f>VLOOKUP($A195,'Data shares'!$C:$FA,81)</f>
        <v>-0.26469999999999999</v>
      </c>
    </row>
    <row r="196" spans="1:15" x14ac:dyDescent="0.25">
      <c r="A196" s="100" t="str">
        <f>'Data Vlaue (Cr)'!C191</f>
        <v>SUPREMEIND</v>
      </c>
      <c r="B196" s="82">
        <f>VLOOKUP(A196,'Data shares'!$C$2:$CV$220,98,0)</f>
        <v>3697050</v>
      </c>
      <c r="C196" s="82">
        <f>VLOOKUP(A196,'Data shares'!$C$2:$CX$220,100,0)</f>
        <v>119000</v>
      </c>
      <c r="D196" s="141">
        <f>VLOOKUP(A196,'Data shares'!$C$2:$CY$543,101,0)</f>
        <v>3.3300000000000003E-2</v>
      </c>
      <c r="E196" s="86">
        <f>VLOOKUP($A196,'Data shares'!$C:$FA,74)</f>
        <v>2387000</v>
      </c>
      <c r="F196" s="86">
        <f>VLOOKUP($A196,'Data shares'!$C:$FA,76)</f>
        <v>107275</v>
      </c>
      <c r="G196" s="87">
        <f>VLOOKUP(A196,'Data shares'!$C$2:$CA$220,77,0)</f>
        <v>4.7100000000000003E-2</v>
      </c>
      <c r="H196" s="86">
        <f>VLOOKUP($A196,'Data shares'!$C:$FA,90)</f>
        <v>883575</v>
      </c>
      <c r="I196" s="86">
        <f>VLOOKUP($A196,'Data shares'!$C:$FA,92)</f>
        <v>8750</v>
      </c>
      <c r="J196" s="87">
        <f>VLOOKUP($A196,'Data shares'!$C:$FA,93)</f>
        <v>0.01</v>
      </c>
      <c r="K196" s="86">
        <f>VLOOKUP($A196,'Data shares'!$C:$FA,94)</f>
        <v>426475</v>
      </c>
      <c r="L196" s="86">
        <f>VLOOKUP($A196,'Data shares'!$C:$FA,96)</f>
        <v>2975</v>
      </c>
      <c r="M196" s="87">
        <f>VLOOKUP($A196,'Data shares'!$C:$FA,97)</f>
        <v>7.0000000000000001E-3</v>
      </c>
      <c r="N196" s="86">
        <f>VLOOKUP($A196,'Data shares'!$C:$FA,78)</f>
        <v>1650600</v>
      </c>
      <c r="O196" s="87">
        <f>VLOOKUP($A196,'Data shares'!$C:$FA,81)</f>
        <v>-0.19819999999999999</v>
      </c>
    </row>
    <row r="197" spans="1:15" x14ac:dyDescent="0.25">
      <c r="A197" s="100" t="str">
        <f>'Data Vlaue (Cr)'!C192</f>
        <v>SUZLON</v>
      </c>
      <c r="B197" s="82">
        <f>VLOOKUP(A197,'Data shares'!$C$2:$CV$220,98,0)</f>
        <v>724057700</v>
      </c>
      <c r="C197" s="82">
        <f>VLOOKUP(A197,'Data shares'!$C$2:$CX$220,100,0)</f>
        <v>-40296625</v>
      </c>
      <c r="D197" s="141">
        <f>VLOOKUP(A197,'Data shares'!$C$2:$CY$543,101,0)</f>
        <v>-5.2699999999999997E-2</v>
      </c>
      <c r="E197" s="86">
        <f>VLOOKUP($A197,'Data shares'!$C:$FA,74)</f>
        <v>346984175</v>
      </c>
      <c r="F197" s="86">
        <f>VLOOKUP($A197,'Data shares'!$C:$FA,76)</f>
        <v>-26434225</v>
      </c>
      <c r="G197" s="87">
        <f>VLOOKUP(A197,'Data shares'!$C$2:$CA$220,77,0)</f>
        <v>-7.0800000000000002E-2</v>
      </c>
      <c r="H197" s="86">
        <f>VLOOKUP($A197,'Data shares'!$C:$FA,90)</f>
        <v>206862025</v>
      </c>
      <c r="I197" s="86">
        <f>VLOOKUP($A197,'Data shares'!$C:$FA,92)</f>
        <v>-4548600</v>
      </c>
      <c r="J197" s="87">
        <f>VLOOKUP($A197,'Data shares'!$C:$FA,93)</f>
        <v>-2.1499999999999998E-2</v>
      </c>
      <c r="K197" s="86">
        <f>VLOOKUP($A197,'Data shares'!$C:$FA,94)</f>
        <v>170211500</v>
      </c>
      <c r="L197" s="86">
        <f>VLOOKUP($A197,'Data shares'!$C:$FA,96)</f>
        <v>-9313800</v>
      </c>
      <c r="M197" s="87">
        <f>VLOOKUP($A197,'Data shares'!$C:$FA,97)</f>
        <v>-5.1900000000000002E-2</v>
      </c>
      <c r="N197" s="86">
        <f>VLOOKUP($A197,'Data shares'!$C:$FA,78)</f>
        <v>176808775</v>
      </c>
      <c r="O197" s="87">
        <f>VLOOKUP($A197,'Data shares'!$C:$FA,81)</f>
        <v>-0.34699999999999998</v>
      </c>
    </row>
    <row r="198" spans="1:15" x14ac:dyDescent="0.25">
      <c r="A198" s="100" t="str">
        <f>'Data Vlaue (Cr)'!C193</f>
        <v>SWIGGY</v>
      </c>
      <c r="B198" s="82">
        <f>VLOOKUP(A198,'Data shares'!$C$2:$CV$220,98,0)</f>
        <v>66987700</v>
      </c>
      <c r="C198" s="82">
        <f>VLOOKUP(A198,'Data shares'!$C$2:$CX$220,100,0)</f>
        <v>-4173000</v>
      </c>
      <c r="D198" s="141">
        <f>VLOOKUP(A198,'Data shares'!$C$2:$CY$543,101,0)</f>
        <v>-5.8599999999999999E-2</v>
      </c>
      <c r="E198" s="86">
        <f>VLOOKUP($A198,'Data shares'!$C:$FA,74)</f>
        <v>51051000</v>
      </c>
      <c r="F198" s="86">
        <f>VLOOKUP($A198,'Data shares'!$C:$FA,76)</f>
        <v>-3590600</v>
      </c>
      <c r="G198" s="87">
        <f>VLOOKUP(A198,'Data shares'!$C$2:$CA$220,77,0)</f>
        <v>-6.5699999999999995E-2</v>
      </c>
      <c r="H198" s="86">
        <f>VLOOKUP($A198,'Data shares'!$C:$FA,90)</f>
        <v>9298900</v>
      </c>
      <c r="I198" s="86">
        <f>VLOOKUP($A198,'Data shares'!$C:$FA,92)</f>
        <v>-341900</v>
      </c>
      <c r="J198" s="87">
        <f>VLOOKUP($A198,'Data shares'!$C:$FA,93)</f>
        <v>-3.5499999999999997E-2</v>
      </c>
      <c r="K198" s="86">
        <f>VLOOKUP($A198,'Data shares'!$C:$FA,94)</f>
        <v>6637800</v>
      </c>
      <c r="L198" s="86">
        <f>VLOOKUP($A198,'Data shares'!$C:$FA,96)</f>
        <v>-240500</v>
      </c>
      <c r="M198" s="87">
        <f>VLOOKUP($A198,'Data shares'!$C:$FA,97)</f>
        <v>-3.5000000000000003E-2</v>
      </c>
      <c r="N198" s="86">
        <f>VLOOKUP($A198,'Data shares'!$C:$FA,78)</f>
        <v>30862000</v>
      </c>
      <c r="O198" s="87">
        <f>VLOOKUP($A198,'Data shares'!$C:$FA,81)</f>
        <v>-0.3548</v>
      </c>
    </row>
    <row r="199" spans="1:15" x14ac:dyDescent="0.25">
      <c r="A199" s="100" t="str">
        <f>'Data Vlaue (Cr)'!C194</f>
        <v>TATACONSUM</v>
      </c>
      <c r="B199" s="82">
        <f>VLOOKUP(A199,'Data shares'!$C$2:$CV$220,98,0)</f>
        <v>18318850</v>
      </c>
      <c r="C199" s="82">
        <f>VLOOKUP(A199,'Data shares'!$C$2:$CX$220,100,0)</f>
        <v>-105600</v>
      </c>
      <c r="D199" s="141">
        <f>VLOOKUP(A199,'Data shares'!$C$2:$CY$543,101,0)</f>
        <v>-5.7000000000000002E-3</v>
      </c>
      <c r="E199" s="86">
        <f>VLOOKUP($A199,'Data shares'!$C:$FA,74)</f>
        <v>11517000</v>
      </c>
      <c r="F199" s="86">
        <f>VLOOKUP($A199,'Data shares'!$C:$FA,76)</f>
        <v>-329450</v>
      </c>
      <c r="G199" s="87">
        <f>VLOOKUP(A199,'Data shares'!$C$2:$CA$220,77,0)</f>
        <v>-2.7799999999999998E-2</v>
      </c>
      <c r="H199" s="86">
        <f>VLOOKUP($A199,'Data shares'!$C:$FA,90)</f>
        <v>2916100</v>
      </c>
      <c r="I199" s="86">
        <f>VLOOKUP($A199,'Data shares'!$C:$FA,92)</f>
        <v>-85250</v>
      </c>
      <c r="J199" s="87">
        <f>VLOOKUP($A199,'Data shares'!$C:$FA,93)</f>
        <v>-2.8400000000000002E-2</v>
      </c>
      <c r="K199" s="86">
        <f>VLOOKUP($A199,'Data shares'!$C:$FA,94)</f>
        <v>3885750</v>
      </c>
      <c r="L199" s="86">
        <f>VLOOKUP($A199,'Data shares'!$C:$FA,96)</f>
        <v>309100</v>
      </c>
      <c r="M199" s="87">
        <f>VLOOKUP($A199,'Data shares'!$C:$FA,97)</f>
        <v>8.6400000000000005E-2</v>
      </c>
      <c r="N199" s="86">
        <f>VLOOKUP($A199,'Data shares'!$C:$FA,78)</f>
        <v>9007900</v>
      </c>
      <c r="O199" s="87">
        <f>VLOOKUP($A199,'Data shares'!$C:$FA,81)</f>
        <v>-0.14610000000000001</v>
      </c>
    </row>
    <row r="200" spans="1:15" x14ac:dyDescent="0.25">
      <c r="A200" s="100" t="str">
        <f>'Data Vlaue (Cr)'!C195</f>
        <v>TATAELXSI</v>
      </c>
      <c r="B200" s="82">
        <f>VLOOKUP(A200,'Data shares'!$C$2:$CV$220,98,0)</f>
        <v>6591500</v>
      </c>
      <c r="C200" s="82">
        <f>VLOOKUP(A200,'Data shares'!$C$2:$CX$220,100,0)</f>
        <v>58700</v>
      </c>
      <c r="D200" s="141">
        <f>VLOOKUP(A200,'Data shares'!$C$2:$CY$543,101,0)</f>
        <v>8.9999999999999993E-3</v>
      </c>
      <c r="E200" s="86">
        <f>VLOOKUP($A200,'Data shares'!$C:$FA,74)</f>
        <v>2747900</v>
      </c>
      <c r="F200" s="86">
        <f>VLOOKUP($A200,'Data shares'!$C:$FA,76)</f>
        <v>-157100</v>
      </c>
      <c r="G200" s="87">
        <f>VLOOKUP(A200,'Data shares'!$C$2:$CA$220,77,0)</f>
        <v>-5.4100000000000002E-2</v>
      </c>
      <c r="H200" s="86">
        <f>VLOOKUP($A200,'Data shares'!$C:$FA,90)</f>
        <v>2862800</v>
      </c>
      <c r="I200" s="86">
        <f>VLOOKUP($A200,'Data shares'!$C:$FA,92)</f>
        <v>177700</v>
      </c>
      <c r="J200" s="87">
        <f>VLOOKUP($A200,'Data shares'!$C:$FA,93)</f>
        <v>6.6199999999999995E-2</v>
      </c>
      <c r="K200" s="86">
        <f>VLOOKUP($A200,'Data shares'!$C:$FA,94)</f>
        <v>980800</v>
      </c>
      <c r="L200" s="86">
        <f>VLOOKUP($A200,'Data shares'!$C:$FA,96)</f>
        <v>38100</v>
      </c>
      <c r="M200" s="87">
        <f>VLOOKUP($A200,'Data shares'!$C:$FA,97)</f>
        <v>4.0399999999999998E-2</v>
      </c>
      <c r="N200" s="86">
        <f>VLOOKUP($A200,'Data shares'!$C:$FA,78)</f>
        <v>1122200</v>
      </c>
      <c r="O200" s="87">
        <f>VLOOKUP($A200,'Data shares'!$C:$FA,81)</f>
        <v>-0.43419999999999997</v>
      </c>
    </row>
    <row r="201" spans="1:15" x14ac:dyDescent="0.25">
      <c r="A201" s="100" t="str">
        <f>'Data Vlaue (Cr)'!C196</f>
        <v>TATAPOWER</v>
      </c>
      <c r="B201" s="82">
        <f>VLOOKUP(A201,'Data shares'!$C$2:$CV$220,98,0)</f>
        <v>125149500</v>
      </c>
      <c r="C201" s="82">
        <f>VLOOKUP(A201,'Data shares'!$C$2:$CX$220,100,0)</f>
        <v>488650</v>
      </c>
      <c r="D201" s="141">
        <f>VLOOKUP(A201,'Data shares'!$C$2:$CY$543,101,0)</f>
        <v>3.8999999999999998E-3</v>
      </c>
      <c r="E201" s="86">
        <f>VLOOKUP($A201,'Data shares'!$C:$FA,74)</f>
        <v>60096700</v>
      </c>
      <c r="F201" s="86">
        <f>VLOOKUP($A201,'Data shares'!$C:$FA,76)</f>
        <v>1480450</v>
      </c>
      <c r="G201" s="87">
        <f>VLOOKUP(A201,'Data shares'!$C$2:$CA$220,77,0)</f>
        <v>2.53E-2</v>
      </c>
      <c r="H201" s="86">
        <f>VLOOKUP($A201,'Data shares'!$C:$FA,90)</f>
        <v>36893800</v>
      </c>
      <c r="I201" s="86">
        <f>VLOOKUP($A201,'Data shares'!$C:$FA,92)</f>
        <v>813450</v>
      </c>
      <c r="J201" s="87">
        <f>VLOOKUP($A201,'Data shares'!$C:$FA,93)</f>
        <v>2.2499999999999999E-2</v>
      </c>
      <c r="K201" s="86">
        <f>VLOOKUP($A201,'Data shares'!$C:$FA,94)</f>
        <v>28159000</v>
      </c>
      <c r="L201" s="86">
        <f>VLOOKUP($A201,'Data shares'!$C:$FA,96)</f>
        <v>-1805250</v>
      </c>
      <c r="M201" s="87">
        <f>VLOOKUP($A201,'Data shares'!$C:$FA,97)</f>
        <v>-6.0199999999999997E-2</v>
      </c>
      <c r="N201" s="86">
        <f>VLOOKUP($A201,'Data shares'!$C:$FA,78)</f>
        <v>38300300</v>
      </c>
      <c r="O201" s="87">
        <f>VLOOKUP($A201,'Data shares'!$C:$FA,81)</f>
        <v>-0.21360000000000001</v>
      </c>
    </row>
    <row r="202" spans="1:15" x14ac:dyDescent="0.25">
      <c r="A202" s="100" t="str">
        <f>'Data Vlaue (Cr)'!C197</f>
        <v>TATASTEEL</v>
      </c>
      <c r="B202" s="82">
        <f>VLOOKUP(A202,'Data shares'!$C$2:$CV$220,98,0)</f>
        <v>400785000</v>
      </c>
      <c r="C202" s="82">
        <f>VLOOKUP(A202,'Data shares'!$C$2:$CX$220,100,0)</f>
        <v>-4603500</v>
      </c>
      <c r="D202" s="141">
        <f>VLOOKUP(A202,'Data shares'!$C$2:$CY$543,101,0)</f>
        <v>-1.14E-2</v>
      </c>
      <c r="E202" s="86">
        <f>VLOOKUP($A202,'Data shares'!$C:$FA,74)</f>
        <v>182792500</v>
      </c>
      <c r="F202" s="86">
        <f>VLOOKUP($A202,'Data shares'!$C:$FA,76)</f>
        <v>2238500</v>
      </c>
      <c r="G202" s="87">
        <f>VLOOKUP(A202,'Data shares'!$C$2:$CA$220,77,0)</f>
        <v>1.24E-2</v>
      </c>
      <c r="H202" s="86">
        <f>VLOOKUP($A202,'Data shares'!$C:$FA,90)</f>
        <v>122023000</v>
      </c>
      <c r="I202" s="86">
        <f>VLOOKUP($A202,'Data shares'!$C:$FA,92)</f>
        <v>-2469500</v>
      </c>
      <c r="J202" s="87">
        <f>VLOOKUP($A202,'Data shares'!$C:$FA,93)</f>
        <v>-1.9800000000000002E-2</v>
      </c>
      <c r="K202" s="86">
        <f>VLOOKUP($A202,'Data shares'!$C:$FA,94)</f>
        <v>95969500</v>
      </c>
      <c r="L202" s="86">
        <f>VLOOKUP($A202,'Data shares'!$C:$FA,96)</f>
        <v>-4372500</v>
      </c>
      <c r="M202" s="87">
        <f>VLOOKUP($A202,'Data shares'!$C:$FA,97)</f>
        <v>-4.36E-2</v>
      </c>
      <c r="N202" s="86">
        <f>VLOOKUP($A202,'Data shares'!$C:$FA,78)</f>
        <v>116545000</v>
      </c>
      <c r="O202" s="87">
        <f>VLOOKUP($A202,'Data shares'!$C:$FA,81)</f>
        <v>-0.1729</v>
      </c>
    </row>
    <row r="203" spans="1:15" x14ac:dyDescent="0.25">
      <c r="A203" s="100" t="str">
        <f>'Data Vlaue (Cr)'!C198</f>
        <v>TATATECH</v>
      </c>
      <c r="B203" s="82">
        <f>VLOOKUP(A203,'Data shares'!$C$2:$CV$220,98,0)</f>
        <v>9518400</v>
      </c>
      <c r="C203" s="82">
        <f>VLOOKUP(A203,'Data shares'!$C$2:$CX$220,100,0)</f>
        <v>-677600</v>
      </c>
      <c r="D203" s="141">
        <f>VLOOKUP(A203,'Data shares'!$C$2:$CY$543,101,0)</f>
        <v>-6.6500000000000004E-2</v>
      </c>
      <c r="E203" s="86">
        <f>VLOOKUP($A203,'Data shares'!$C:$FA,74)</f>
        <v>4682400</v>
      </c>
      <c r="F203" s="86">
        <f>VLOOKUP($A203,'Data shares'!$C:$FA,76)</f>
        <v>-910400</v>
      </c>
      <c r="G203" s="87">
        <f>VLOOKUP(A203,'Data shares'!$C$2:$CA$220,77,0)</f>
        <v>-0.1628</v>
      </c>
      <c r="H203" s="86">
        <f>VLOOKUP($A203,'Data shares'!$C:$FA,90)</f>
        <v>2712800</v>
      </c>
      <c r="I203" s="86">
        <f>VLOOKUP($A203,'Data shares'!$C:$FA,92)</f>
        <v>112000</v>
      </c>
      <c r="J203" s="87">
        <f>VLOOKUP($A203,'Data shares'!$C:$FA,93)</f>
        <v>4.3099999999999999E-2</v>
      </c>
      <c r="K203" s="86">
        <f>VLOOKUP($A203,'Data shares'!$C:$FA,94)</f>
        <v>2123200</v>
      </c>
      <c r="L203" s="86">
        <f>VLOOKUP($A203,'Data shares'!$C:$FA,96)</f>
        <v>120800</v>
      </c>
      <c r="M203" s="87">
        <f>VLOOKUP($A203,'Data shares'!$C:$FA,97)</f>
        <v>6.0299999999999999E-2</v>
      </c>
      <c r="N203" s="86">
        <f>VLOOKUP($A203,'Data shares'!$C:$FA,78)</f>
        <v>4682400</v>
      </c>
      <c r="O203" s="87">
        <f>VLOOKUP($A203,'Data shares'!$C:$FA,81)</f>
        <v>-0.1628</v>
      </c>
    </row>
    <row r="204" spans="1:15" x14ac:dyDescent="0.25">
      <c r="A204" s="100" t="str">
        <f>'Data Vlaue (Cr)'!C199</f>
        <v>TCS</v>
      </c>
      <c r="B204" s="82">
        <f>VLOOKUP(A204,'Data shares'!$C$2:$CV$220,98,0)</f>
        <v>66550400</v>
      </c>
      <c r="C204" s="82">
        <f>VLOOKUP(A204,'Data shares'!$C$2:$CX$220,100,0)</f>
        <v>467425</v>
      </c>
      <c r="D204" s="141">
        <f>VLOOKUP(A204,'Data shares'!$C$2:$CY$543,101,0)</f>
        <v>7.1000000000000004E-3</v>
      </c>
      <c r="E204" s="86">
        <f>VLOOKUP($A204,'Data shares'!$C:$FA,74)</f>
        <v>36055600</v>
      </c>
      <c r="F204" s="86">
        <f>VLOOKUP($A204,'Data shares'!$C:$FA,76)</f>
        <v>-828450</v>
      </c>
      <c r="G204" s="87">
        <f>VLOOKUP(A204,'Data shares'!$C$2:$CA$220,77,0)</f>
        <v>-2.2499999999999999E-2</v>
      </c>
      <c r="H204" s="86">
        <f>VLOOKUP($A204,'Data shares'!$C:$FA,90)</f>
        <v>18975775</v>
      </c>
      <c r="I204" s="86">
        <f>VLOOKUP($A204,'Data shares'!$C:$FA,92)</f>
        <v>766500</v>
      </c>
      <c r="J204" s="87">
        <f>VLOOKUP($A204,'Data shares'!$C:$FA,93)</f>
        <v>4.2099999999999999E-2</v>
      </c>
      <c r="K204" s="86">
        <f>VLOOKUP($A204,'Data shares'!$C:$FA,94)</f>
        <v>11519025</v>
      </c>
      <c r="L204" s="86">
        <f>VLOOKUP($A204,'Data shares'!$C:$FA,96)</f>
        <v>529375</v>
      </c>
      <c r="M204" s="87">
        <f>VLOOKUP($A204,'Data shares'!$C:$FA,97)</f>
        <v>4.82E-2</v>
      </c>
      <c r="N204" s="86">
        <f>VLOOKUP($A204,'Data shares'!$C:$FA,78)</f>
        <v>24370150</v>
      </c>
      <c r="O204" s="87">
        <f>VLOOKUP($A204,'Data shares'!$C:$FA,81)</f>
        <v>-0.21010000000000001</v>
      </c>
    </row>
    <row r="205" spans="1:15" x14ac:dyDescent="0.25">
      <c r="A205" s="100" t="str">
        <f>'Data Vlaue (Cr)'!C200</f>
        <v>TECHM</v>
      </c>
      <c r="B205" s="82">
        <f>VLOOKUP(A205,'Data shares'!$C$2:$CV$220,98,0)</f>
        <v>38566800</v>
      </c>
      <c r="C205" s="82">
        <f>VLOOKUP(A205,'Data shares'!$C$2:$CX$220,100,0)</f>
        <v>-156600</v>
      </c>
      <c r="D205" s="141">
        <f>VLOOKUP(A205,'Data shares'!$C$2:$CY$543,101,0)</f>
        <v>-4.0000000000000001E-3</v>
      </c>
      <c r="E205" s="86">
        <f>VLOOKUP($A205,'Data shares'!$C:$FA,74)</f>
        <v>19813200</v>
      </c>
      <c r="F205" s="86">
        <f>VLOOKUP($A205,'Data shares'!$C:$FA,76)</f>
        <v>329400</v>
      </c>
      <c r="G205" s="87">
        <f>VLOOKUP(A205,'Data shares'!$C$2:$CA$220,77,0)</f>
        <v>1.6899999999999998E-2</v>
      </c>
      <c r="H205" s="86">
        <f>VLOOKUP($A205,'Data shares'!$C:$FA,90)</f>
        <v>12700800</v>
      </c>
      <c r="I205" s="86">
        <f>VLOOKUP($A205,'Data shares'!$C:$FA,92)</f>
        <v>1391400</v>
      </c>
      <c r="J205" s="87">
        <f>VLOOKUP($A205,'Data shares'!$C:$FA,93)</f>
        <v>0.123</v>
      </c>
      <c r="K205" s="86">
        <f>VLOOKUP($A205,'Data shares'!$C:$FA,94)</f>
        <v>6052800</v>
      </c>
      <c r="L205" s="86">
        <f>VLOOKUP($A205,'Data shares'!$C:$FA,96)</f>
        <v>-1877400</v>
      </c>
      <c r="M205" s="87">
        <f>VLOOKUP($A205,'Data shares'!$C:$FA,97)</f>
        <v>-0.23669999999999999</v>
      </c>
      <c r="N205" s="86">
        <f>VLOOKUP($A205,'Data shares'!$C:$FA,78)</f>
        <v>11574600</v>
      </c>
      <c r="O205" s="87">
        <f>VLOOKUP($A205,'Data shares'!$C:$FA,81)</f>
        <v>-0.31309999999999999</v>
      </c>
    </row>
    <row r="206" spans="1:15" x14ac:dyDescent="0.25">
      <c r="A206" s="100" t="str">
        <f>'Data Vlaue (Cr)'!C201</f>
        <v>TIINDIA</v>
      </c>
      <c r="B206" s="82">
        <f>VLOOKUP(A206,'Data shares'!$C$2:$CV$220,98,0)</f>
        <v>4085400</v>
      </c>
      <c r="C206" s="82">
        <f>VLOOKUP(A206,'Data shares'!$C$2:$CX$220,100,0)</f>
        <v>209000</v>
      </c>
      <c r="D206" s="141">
        <f>VLOOKUP(A206,'Data shares'!$C$2:$CY$543,101,0)</f>
        <v>5.3900000000000003E-2</v>
      </c>
      <c r="E206" s="86">
        <f>VLOOKUP($A206,'Data shares'!$C:$FA,74)</f>
        <v>2542000</v>
      </c>
      <c r="F206" s="86">
        <f>VLOOKUP($A206,'Data shares'!$C:$FA,76)</f>
        <v>17800</v>
      </c>
      <c r="G206" s="87">
        <f>VLOOKUP(A206,'Data shares'!$C$2:$CA$220,77,0)</f>
        <v>7.1000000000000004E-3</v>
      </c>
      <c r="H206" s="86">
        <f>VLOOKUP($A206,'Data shares'!$C:$FA,90)</f>
        <v>841600</v>
      </c>
      <c r="I206" s="86">
        <f>VLOOKUP($A206,'Data shares'!$C:$FA,92)</f>
        <v>110000</v>
      </c>
      <c r="J206" s="87">
        <f>VLOOKUP($A206,'Data shares'!$C:$FA,93)</f>
        <v>0.15040000000000001</v>
      </c>
      <c r="K206" s="86">
        <f>VLOOKUP($A206,'Data shares'!$C:$FA,94)</f>
        <v>701800</v>
      </c>
      <c r="L206" s="86">
        <f>VLOOKUP($A206,'Data shares'!$C:$FA,96)</f>
        <v>81200</v>
      </c>
      <c r="M206" s="87">
        <f>VLOOKUP($A206,'Data shares'!$C:$FA,97)</f>
        <v>0.1308</v>
      </c>
      <c r="N206" s="86">
        <f>VLOOKUP($A206,'Data shares'!$C:$FA,78)</f>
        <v>1711800</v>
      </c>
      <c r="O206" s="87">
        <f>VLOOKUP($A206,'Data shares'!$C:$FA,81)</f>
        <v>-0.27710000000000001</v>
      </c>
    </row>
    <row r="207" spans="1:15" x14ac:dyDescent="0.25">
      <c r="A207" s="100" t="str">
        <f>'Data Vlaue (Cr)'!C202</f>
        <v>TITAN</v>
      </c>
      <c r="B207" s="82">
        <f>VLOOKUP(A207,'Data shares'!$C$2:$CV$220,98,0)</f>
        <v>15648675</v>
      </c>
      <c r="C207" s="82">
        <f>VLOOKUP(A207,'Data shares'!$C$2:$CX$220,100,0)</f>
        <v>-232925</v>
      </c>
      <c r="D207" s="141">
        <f>VLOOKUP(A207,'Data shares'!$C$2:$CY$543,101,0)</f>
        <v>-1.47E-2</v>
      </c>
      <c r="E207" s="86">
        <f>VLOOKUP($A207,'Data shares'!$C:$FA,74)</f>
        <v>8947925</v>
      </c>
      <c r="F207" s="86">
        <f>VLOOKUP($A207,'Data shares'!$C:$FA,76)</f>
        <v>184800</v>
      </c>
      <c r="G207" s="87">
        <f>VLOOKUP(A207,'Data shares'!$C$2:$CA$220,77,0)</f>
        <v>2.1100000000000001E-2</v>
      </c>
      <c r="H207" s="86">
        <f>VLOOKUP($A207,'Data shares'!$C:$FA,90)</f>
        <v>3817100</v>
      </c>
      <c r="I207" s="86">
        <f>VLOOKUP($A207,'Data shares'!$C:$FA,92)</f>
        <v>-155750</v>
      </c>
      <c r="J207" s="87">
        <f>VLOOKUP($A207,'Data shares'!$C:$FA,93)</f>
        <v>-3.9199999999999999E-2</v>
      </c>
      <c r="K207" s="86">
        <f>VLOOKUP($A207,'Data shares'!$C:$FA,94)</f>
        <v>2883650</v>
      </c>
      <c r="L207" s="86">
        <f>VLOOKUP($A207,'Data shares'!$C:$FA,96)</f>
        <v>-261975</v>
      </c>
      <c r="M207" s="87">
        <f>VLOOKUP($A207,'Data shares'!$C:$FA,97)</f>
        <v>-8.3299999999999999E-2</v>
      </c>
      <c r="N207" s="86">
        <f>VLOOKUP($A207,'Data shares'!$C:$FA,78)</f>
        <v>5851475</v>
      </c>
      <c r="O207" s="87">
        <f>VLOOKUP($A207,'Data shares'!$C:$FA,81)</f>
        <v>-0.19120000000000001</v>
      </c>
    </row>
    <row r="208" spans="1:15" x14ac:dyDescent="0.25">
      <c r="A208" s="100" t="str">
        <f>'Data Vlaue (Cr)'!C203</f>
        <v>TMPV</v>
      </c>
      <c r="B208" s="82">
        <f>VLOOKUP(A208,'Data shares'!$C$2:$CV$220,98,0)</f>
        <v>129237600</v>
      </c>
      <c r="C208" s="82">
        <f>VLOOKUP(A208,'Data shares'!$C$2:$CX$220,100,0)</f>
        <v>552000</v>
      </c>
      <c r="D208" s="141">
        <f>VLOOKUP(A208,'Data shares'!$C$2:$CY$543,101,0)</f>
        <v>4.3E-3</v>
      </c>
      <c r="E208" s="86">
        <f>VLOOKUP($A208,'Data shares'!$C:$FA,74)</f>
        <v>64608800</v>
      </c>
      <c r="F208" s="86">
        <f>VLOOKUP($A208,'Data shares'!$C:$FA,76)</f>
        <v>1773600</v>
      </c>
      <c r="G208" s="87">
        <f>VLOOKUP(A208,'Data shares'!$C$2:$CA$220,77,0)</f>
        <v>2.8199999999999999E-2</v>
      </c>
      <c r="H208" s="86">
        <f>VLOOKUP($A208,'Data shares'!$C:$FA,90)</f>
        <v>37183200</v>
      </c>
      <c r="I208" s="86">
        <f>VLOOKUP($A208,'Data shares'!$C:$FA,92)</f>
        <v>690400</v>
      </c>
      <c r="J208" s="87">
        <f>VLOOKUP($A208,'Data shares'!$C:$FA,93)</f>
        <v>1.89E-2</v>
      </c>
      <c r="K208" s="86">
        <f>VLOOKUP($A208,'Data shares'!$C:$FA,94)</f>
        <v>27445600</v>
      </c>
      <c r="L208" s="86">
        <f>VLOOKUP($A208,'Data shares'!$C:$FA,96)</f>
        <v>-1912000</v>
      </c>
      <c r="M208" s="87">
        <f>VLOOKUP($A208,'Data shares'!$C:$FA,97)</f>
        <v>-6.5100000000000005E-2</v>
      </c>
      <c r="N208" s="86">
        <f>VLOOKUP($A208,'Data shares'!$C:$FA,78)</f>
        <v>34161600</v>
      </c>
      <c r="O208" s="87">
        <f>VLOOKUP($A208,'Data shares'!$C:$FA,81)</f>
        <v>-0.3276</v>
      </c>
    </row>
    <row r="209" spans="1:15" x14ac:dyDescent="0.25">
      <c r="A209" s="100" t="str">
        <f>'Data Vlaue (Cr)'!C204</f>
        <v>TORNTPHARM</v>
      </c>
      <c r="B209" s="82">
        <f>VLOOKUP(A209,'Data shares'!$C$2:$CV$220,98,0)</f>
        <v>4254750</v>
      </c>
      <c r="C209" s="82">
        <f>VLOOKUP(A209,'Data shares'!$C$2:$CX$220,100,0)</f>
        <v>-146000</v>
      </c>
      <c r="D209" s="141">
        <f>VLOOKUP(A209,'Data shares'!$C$2:$CY$543,101,0)</f>
        <v>-3.32E-2</v>
      </c>
      <c r="E209" s="86">
        <f>VLOOKUP($A209,'Data shares'!$C:$FA,74)</f>
        <v>3120250</v>
      </c>
      <c r="F209" s="86">
        <f>VLOOKUP($A209,'Data shares'!$C:$FA,76)</f>
        <v>-173750</v>
      </c>
      <c r="G209" s="87">
        <f>VLOOKUP(A209,'Data shares'!$C$2:$CA$220,77,0)</f>
        <v>-5.2699999999999997E-2</v>
      </c>
      <c r="H209" s="86">
        <f>VLOOKUP($A209,'Data shares'!$C:$FA,90)</f>
        <v>659750</v>
      </c>
      <c r="I209" s="86">
        <f>VLOOKUP($A209,'Data shares'!$C:$FA,92)</f>
        <v>7250</v>
      </c>
      <c r="J209" s="87">
        <f>VLOOKUP($A209,'Data shares'!$C:$FA,93)</f>
        <v>1.11E-2</v>
      </c>
      <c r="K209" s="86">
        <f>VLOOKUP($A209,'Data shares'!$C:$FA,94)</f>
        <v>474750</v>
      </c>
      <c r="L209" s="86">
        <f>VLOOKUP($A209,'Data shares'!$C:$FA,96)</f>
        <v>20500</v>
      </c>
      <c r="M209" s="87">
        <f>VLOOKUP($A209,'Data shares'!$C:$FA,97)</f>
        <v>4.5100000000000001E-2</v>
      </c>
      <c r="N209" s="86">
        <f>VLOOKUP($A209,'Data shares'!$C:$FA,78)</f>
        <v>1759250</v>
      </c>
      <c r="O209" s="87">
        <f>VLOOKUP($A209,'Data shares'!$C:$FA,81)</f>
        <v>-0.36859999999999998</v>
      </c>
    </row>
    <row r="210" spans="1:15" x14ac:dyDescent="0.25">
      <c r="A210" s="100" t="str">
        <f>'Data Vlaue (Cr)'!C205</f>
        <v>TORNTPOWER</v>
      </c>
      <c r="B210" s="82">
        <f>VLOOKUP(A210,'Data shares'!$C$2:$CV$220,98,0)</f>
        <v>5952550</v>
      </c>
      <c r="C210" s="82">
        <f>VLOOKUP(A210,'Data shares'!$C$2:$CX$220,100,0)</f>
        <v>-67150</v>
      </c>
      <c r="D210" s="141">
        <f>VLOOKUP(A210,'Data shares'!$C$2:$CY$543,101,0)</f>
        <v>-1.12E-2</v>
      </c>
      <c r="E210" s="86">
        <f>VLOOKUP($A210,'Data shares'!$C:$FA,74)</f>
        <v>2523225</v>
      </c>
      <c r="F210" s="86">
        <f>VLOOKUP($A210,'Data shares'!$C:$FA,76)</f>
        <v>-341275</v>
      </c>
      <c r="G210" s="87">
        <f>VLOOKUP(A210,'Data shares'!$C$2:$CA$220,77,0)</f>
        <v>-0.1191</v>
      </c>
      <c r="H210" s="86">
        <f>VLOOKUP($A210,'Data shares'!$C:$FA,90)</f>
        <v>1555925</v>
      </c>
      <c r="I210" s="86">
        <f>VLOOKUP($A210,'Data shares'!$C:$FA,92)</f>
        <v>-118150</v>
      </c>
      <c r="J210" s="87">
        <f>VLOOKUP($A210,'Data shares'!$C:$FA,93)</f>
        <v>-7.0599999999999996E-2</v>
      </c>
      <c r="K210" s="86">
        <f>VLOOKUP($A210,'Data shares'!$C:$FA,94)</f>
        <v>1873400</v>
      </c>
      <c r="L210" s="86">
        <f>VLOOKUP($A210,'Data shares'!$C:$FA,96)</f>
        <v>392275</v>
      </c>
      <c r="M210" s="87">
        <f>VLOOKUP($A210,'Data shares'!$C:$FA,97)</f>
        <v>0.26479999999999998</v>
      </c>
      <c r="N210" s="86">
        <f>VLOOKUP($A210,'Data shares'!$C:$FA,78)</f>
        <v>2523225</v>
      </c>
      <c r="O210" s="87">
        <f>VLOOKUP($A210,'Data shares'!$C:$FA,81)</f>
        <v>-0.1191</v>
      </c>
    </row>
    <row r="211" spans="1:15" x14ac:dyDescent="0.25">
      <c r="A211" s="100" t="str">
        <f>'Data Vlaue (Cr)'!C206</f>
        <v>TRENT</v>
      </c>
      <c r="B211" s="82">
        <f>VLOOKUP(A211,'Data shares'!$C$2:$CV$220,98,0)</f>
        <v>18083900</v>
      </c>
      <c r="C211" s="82">
        <f>VLOOKUP(A211,'Data shares'!$C$2:$CX$220,100,0)</f>
        <v>1036500</v>
      </c>
      <c r="D211" s="141">
        <f>VLOOKUP(A211,'Data shares'!$C$2:$CY$543,101,0)</f>
        <v>6.08E-2</v>
      </c>
      <c r="E211" s="86">
        <f>VLOOKUP($A211,'Data shares'!$C:$FA,74)</f>
        <v>7924100</v>
      </c>
      <c r="F211" s="86">
        <f>VLOOKUP($A211,'Data shares'!$C:$FA,76)</f>
        <v>-432000</v>
      </c>
      <c r="G211" s="87">
        <f>VLOOKUP(A211,'Data shares'!$C$2:$CA$220,77,0)</f>
        <v>-5.1700000000000003E-2</v>
      </c>
      <c r="H211" s="86">
        <f>VLOOKUP($A211,'Data shares'!$C:$FA,90)</f>
        <v>6464600</v>
      </c>
      <c r="I211" s="86">
        <f>VLOOKUP($A211,'Data shares'!$C:$FA,92)</f>
        <v>1581200</v>
      </c>
      <c r="J211" s="87">
        <f>VLOOKUP($A211,'Data shares'!$C:$FA,93)</f>
        <v>0.32379999999999998</v>
      </c>
      <c r="K211" s="86">
        <f>VLOOKUP($A211,'Data shares'!$C:$FA,94)</f>
        <v>3695200</v>
      </c>
      <c r="L211" s="86">
        <f>VLOOKUP($A211,'Data shares'!$C:$FA,96)</f>
        <v>-112700</v>
      </c>
      <c r="M211" s="87">
        <f>VLOOKUP($A211,'Data shares'!$C:$FA,97)</f>
        <v>-2.9600000000000001E-2</v>
      </c>
      <c r="N211" s="86">
        <f>VLOOKUP($A211,'Data shares'!$C:$FA,78)</f>
        <v>3883900</v>
      </c>
      <c r="O211" s="87">
        <f>VLOOKUP($A211,'Data shares'!$C:$FA,81)</f>
        <v>-0.40389999999999998</v>
      </c>
    </row>
    <row r="212" spans="1:15" x14ac:dyDescent="0.25">
      <c r="A212" s="100" t="str">
        <f>'Data Vlaue (Cr)'!C207</f>
        <v>TVSMOTOR</v>
      </c>
      <c r="B212" s="82">
        <f>VLOOKUP(A212,'Data shares'!$C$2:$CV$220,98,0)</f>
        <v>12668600</v>
      </c>
      <c r="C212" s="82">
        <f>VLOOKUP(A212,'Data shares'!$C$2:$CX$220,100,0)</f>
        <v>869400</v>
      </c>
      <c r="D212" s="141">
        <f>VLOOKUP(A212,'Data shares'!$C$2:$CY$543,101,0)</f>
        <v>7.3700000000000002E-2</v>
      </c>
      <c r="E212" s="86">
        <f>VLOOKUP($A212,'Data shares'!$C:$FA,74)</f>
        <v>8686825</v>
      </c>
      <c r="F212" s="86">
        <f>VLOOKUP($A212,'Data shares'!$C:$FA,76)</f>
        <v>328650</v>
      </c>
      <c r="G212" s="87">
        <f>VLOOKUP(A212,'Data shares'!$C$2:$CA$220,77,0)</f>
        <v>3.9300000000000002E-2</v>
      </c>
      <c r="H212" s="86">
        <f>VLOOKUP($A212,'Data shares'!$C:$FA,90)</f>
        <v>2678725</v>
      </c>
      <c r="I212" s="86">
        <f>VLOOKUP($A212,'Data shares'!$C:$FA,92)</f>
        <v>475650</v>
      </c>
      <c r="J212" s="87">
        <f>VLOOKUP($A212,'Data shares'!$C:$FA,93)</f>
        <v>0.21590000000000001</v>
      </c>
      <c r="K212" s="86">
        <f>VLOOKUP($A212,'Data shares'!$C:$FA,94)</f>
        <v>1303050</v>
      </c>
      <c r="L212" s="86">
        <f>VLOOKUP($A212,'Data shares'!$C:$FA,96)</f>
        <v>65100</v>
      </c>
      <c r="M212" s="87">
        <f>VLOOKUP($A212,'Data shares'!$C:$FA,97)</f>
        <v>5.2600000000000001E-2</v>
      </c>
      <c r="N212" s="86">
        <f>VLOOKUP($A212,'Data shares'!$C:$FA,78)</f>
        <v>5804225</v>
      </c>
      <c r="O212" s="87">
        <f>VLOOKUP($A212,'Data shares'!$C:$FA,81)</f>
        <v>-0.21429999999999999</v>
      </c>
    </row>
    <row r="213" spans="1:15" x14ac:dyDescent="0.25">
      <c r="A213" s="100" t="str">
        <f>'Data Vlaue (Cr)'!C208</f>
        <v>ULTRACEMCO</v>
      </c>
      <c r="B213" s="82">
        <f>VLOOKUP(A213,'Data shares'!$C$2:$CV$220,98,0)</f>
        <v>4346700</v>
      </c>
      <c r="C213" s="82">
        <f>VLOOKUP(A213,'Data shares'!$C$2:$CX$220,100,0)</f>
        <v>394850</v>
      </c>
      <c r="D213" s="141">
        <f>VLOOKUP(A213,'Data shares'!$C$2:$CY$543,101,0)</f>
        <v>9.9900000000000003E-2</v>
      </c>
      <c r="E213" s="86">
        <f>VLOOKUP($A213,'Data shares'!$C:$FA,74)</f>
        <v>2732400</v>
      </c>
      <c r="F213" s="86">
        <f>VLOOKUP($A213,'Data shares'!$C:$FA,76)</f>
        <v>144400</v>
      </c>
      <c r="G213" s="87">
        <f>VLOOKUP(A213,'Data shares'!$C$2:$CA$220,77,0)</f>
        <v>5.5800000000000002E-2</v>
      </c>
      <c r="H213" s="86">
        <f>VLOOKUP($A213,'Data shares'!$C:$FA,90)</f>
        <v>1005900</v>
      </c>
      <c r="I213" s="86">
        <f>VLOOKUP($A213,'Data shares'!$C:$FA,92)</f>
        <v>218600</v>
      </c>
      <c r="J213" s="87">
        <f>VLOOKUP($A213,'Data shares'!$C:$FA,93)</f>
        <v>0.2777</v>
      </c>
      <c r="K213" s="86">
        <f>VLOOKUP($A213,'Data shares'!$C:$FA,94)</f>
        <v>608400</v>
      </c>
      <c r="L213" s="86">
        <f>VLOOKUP($A213,'Data shares'!$C:$FA,96)</f>
        <v>31850</v>
      </c>
      <c r="M213" s="87">
        <f>VLOOKUP($A213,'Data shares'!$C:$FA,97)</f>
        <v>5.5199999999999999E-2</v>
      </c>
      <c r="N213" s="86">
        <f>VLOOKUP($A213,'Data shares'!$C:$FA,78)</f>
        <v>1338200</v>
      </c>
      <c r="O213" s="87">
        <f>VLOOKUP($A213,'Data shares'!$C:$FA,81)</f>
        <v>-0.2923</v>
      </c>
    </row>
    <row r="214" spans="1:15" x14ac:dyDescent="0.25">
      <c r="A214" s="100" t="str">
        <f>'Data Vlaue (Cr)'!C209</f>
        <v>UNIONBANK</v>
      </c>
      <c r="B214" s="82">
        <f>VLOOKUP(A214,'Data shares'!$C$2:$CV$220,98,0)</f>
        <v>242560800</v>
      </c>
      <c r="C214" s="82">
        <f>VLOOKUP(A214,'Data shares'!$C$2:$CX$220,100,0)</f>
        <v>33430875</v>
      </c>
      <c r="D214" s="141">
        <f>VLOOKUP(A214,'Data shares'!$C$2:$CY$543,101,0)</f>
        <v>0.15989999999999999</v>
      </c>
      <c r="E214" s="86">
        <f>VLOOKUP($A214,'Data shares'!$C:$FA,74)</f>
        <v>132391575</v>
      </c>
      <c r="F214" s="86">
        <f>VLOOKUP($A214,'Data shares'!$C:$FA,76)</f>
        <v>1964700</v>
      </c>
      <c r="G214" s="87">
        <f>VLOOKUP(A214,'Data shares'!$C$2:$CA$220,77,0)</f>
        <v>1.5100000000000001E-2</v>
      </c>
      <c r="H214" s="86">
        <f>VLOOKUP($A214,'Data shares'!$C:$FA,90)</f>
        <v>69799950</v>
      </c>
      <c r="I214" s="86">
        <f>VLOOKUP($A214,'Data shares'!$C:$FA,92)</f>
        <v>24372900</v>
      </c>
      <c r="J214" s="87">
        <f>VLOOKUP($A214,'Data shares'!$C:$FA,93)</f>
        <v>0.53649999999999998</v>
      </c>
      <c r="K214" s="86">
        <f>VLOOKUP($A214,'Data shares'!$C:$FA,94)</f>
        <v>40369275</v>
      </c>
      <c r="L214" s="86">
        <f>VLOOKUP($A214,'Data shares'!$C:$FA,96)</f>
        <v>7093275</v>
      </c>
      <c r="M214" s="87">
        <f>VLOOKUP($A214,'Data shares'!$C:$FA,97)</f>
        <v>0.2132</v>
      </c>
      <c r="N214" s="86">
        <f>VLOOKUP($A214,'Data shares'!$C:$FA,78)</f>
        <v>64361625</v>
      </c>
      <c r="O214" s="87">
        <f>VLOOKUP($A214,'Data shares'!$C:$FA,81)</f>
        <v>-0.37669999999999998</v>
      </c>
    </row>
    <row r="215" spans="1:15" x14ac:dyDescent="0.25">
      <c r="A215" s="100" t="str">
        <f>'Data Vlaue (Cr)'!C210</f>
        <v>UNITDSPR</v>
      </c>
      <c r="B215" s="82">
        <f>VLOOKUP(A215,'Data shares'!$C$2:$CV$220,98,0)</f>
        <v>18763600</v>
      </c>
      <c r="C215" s="82">
        <f>VLOOKUP(A215,'Data shares'!$C$2:$CX$220,100,0)</f>
        <v>-294400</v>
      </c>
      <c r="D215" s="141">
        <f>VLOOKUP(A215,'Data shares'!$C$2:$CY$543,101,0)</f>
        <v>-1.54E-2</v>
      </c>
      <c r="E215" s="86">
        <f>VLOOKUP($A215,'Data shares'!$C:$FA,74)</f>
        <v>11215200</v>
      </c>
      <c r="F215" s="86">
        <f>VLOOKUP($A215,'Data shares'!$C:$FA,76)</f>
        <v>-292800</v>
      </c>
      <c r="G215" s="87">
        <f>VLOOKUP(A215,'Data shares'!$C$2:$CA$220,77,0)</f>
        <v>-2.5399999999999999E-2</v>
      </c>
      <c r="H215" s="86">
        <f>VLOOKUP($A215,'Data shares'!$C:$FA,90)</f>
        <v>3903600</v>
      </c>
      <c r="I215" s="86">
        <f>VLOOKUP($A215,'Data shares'!$C:$FA,92)</f>
        <v>-62400</v>
      </c>
      <c r="J215" s="87">
        <f>VLOOKUP($A215,'Data shares'!$C:$FA,93)</f>
        <v>-1.5699999999999999E-2</v>
      </c>
      <c r="K215" s="86">
        <f>VLOOKUP($A215,'Data shares'!$C:$FA,94)</f>
        <v>3644800</v>
      </c>
      <c r="L215" s="86">
        <f>VLOOKUP($A215,'Data shares'!$C:$FA,96)</f>
        <v>60800</v>
      </c>
      <c r="M215" s="87">
        <f>VLOOKUP($A215,'Data shares'!$C:$FA,97)</f>
        <v>1.7000000000000001E-2</v>
      </c>
      <c r="N215" s="86">
        <f>VLOOKUP($A215,'Data shares'!$C:$FA,78)</f>
        <v>6529200</v>
      </c>
      <c r="O215" s="87">
        <f>VLOOKUP($A215,'Data shares'!$C:$FA,81)</f>
        <v>-0.33090000000000003</v>
      </c>
    </row>
    <row r="216" spans="1:15" s="89" customFormat="1" ht="16.5" customHeight="1" x14ac:dyDescent="0.2">
      <c r="A216" s="100" t="str">
        <f>'Data Vlaue (Cr)'!C211</f>
        <v>UNOMINDA</v>
      </c>
      <c r="B216" s="82">
        <f>VLOOKUP(A216,'Data shares'!$C$2:$CV$220,98,0)</f>
        <v>6909100</v>
      </c>
      <c r="C216" s="82">
        <f>VLOOKUP(A216,'Data shares'!$C$2:$CX$220,100,0)</f>
        <v>-299200</v>
      </c>
      <c r="D216" s="141">
        <f>VLOOKUP(A216,'Data shares'!$C$2:$CY$543,101,0)</f>
        <v>-4.1500000000000002E-2</v>
      </c>
      <c r="E216" s="86">
        <f>VLOOKUP($A216,'Data shares'!$C:$FA,74)</f>
        <v>4374150</v>
      </c>
      <c r="F216" s="86">
        <f>VLOOKUP($A216,'Data shares'!$C:$FA,76)</f>
        <v>-92950</v>
      </c>
      <c r="G216" s="87">
        <f>VLOOKUP(A216,'Data shares'!$C$2:$CA$220,77,0)</f>
        <v>-2.0799999999999999E-2</v>
      </c>
      <c r="H216" s="86">
        <f>VLOOKUP($A216,'Data shares'!$C:$FA,90)</f>
        <v>1686850</v>
      </c>
      <c r="I216" s="86">
        <f>VLOOKUP($A216,'Data shares'!$C:$FA,92)</f>
        <v>-134750</v>
      </c>
      <c r="J216" s="87">
        <f>VLOOKUP($A216,'Data shares'!$C:$FA,93)</f>
        <v>-7.3999999999999996E-2</v>
      </c>
      <c r="K216" s="86">
        <f>VLOOKUP($A216,'Data shares'!$C:$FA,94)</f>
        <v>848100</v>
      </c>
      <c r="L216" s="86">
        <f>VLOOKUP($A216,'Data shares'!$C:$FA,96)</f>
        <v>-71500</v>
      </c>
      <c r="M216" s="87">
        <f>VLOOKUP($A216,'Data shares'!$C:$FA,97)</f>
        <v>-7.7799999999999994E-2</v>
      </c>
      <c r="N216" s="86">
        <f>VLOOKUP($A216,'Data shares'!$C:$FA,78)</f>
        <v>2399100</v>
      </c>
      <c r="O216" s="87">
        <f>VLOOKUP($A216,'Data shares'!$C:$FA,81)</f>
        <v>-0.4214</v>
      </c>
    </row>
    <row r="217" spans="1:15" s="89" customFormat="1" ht="16.5" customHeight="1" x14ac:dyDescent="0.2">
      <c r="A217" s="100" t="str">
        <f>'Data Vlaue (Cr)'!C212</f>
        <v>UPL</v>
      </c>
      <c r="B217" s="82">
        <f>VLOOKUP(A217,'Data shares'!$C$2:$CV$220,98,0)</f>
        <v>49681075</v>
      </c>
      <c r="C217" s="82">
        <f>VLOOKUP(A217,'Data shares'!$C$2:$CX$220,100,0)</f>
        <v>680210</v>
      </c>
      <c r="D217" s="141">
        <f>VLOOKUP(A217,'Data shares'!$C$2:$CY$543,101,0)</f>
        <v>1.3899999999999999E-2</v>
      </c>
      <c r="E217" s="86">
        <f>VLOOKUP($A217,'Data shares'!$C:$FA,74)</f>
        <v>32784225</v>
      </c>
      <c r="F217" s="86">
        <f>VLOOKUP($A217,'Data shares'!$C:$FA,76)</f>
        <v>1579930</v>
      </c>
      <c r="G217" s="87">
        <f>VLOOKUP(A217,'Data shares'!$C$2:$CA$220,77,0)</f>
        <v>5.0599999999999999E-2</v>
      </c>
      <c r="H217" s="86">
        <f>VLOOKUP($A217,'Data shares'!$C:$FA,90)</f>
        <v>9525650</v>
      </c>
      <c r="I217" s="86">
        <f>VLOOKUP($A217,'Data shares'!$C:$FA,92)</f>
        <v>-634140</v>
      </c>
      <c r="J217" s="87">
        <f>VLOOKUP($A217,'Data shares'!$C:$FA,93)</f>
        <v>-6.2399999999999997E-2</v>
      </c>
      <c r="K217" s="86">
        <f>VLOOKUP($A217,'Data shares'!$C:$FA,94)</f>
        <v>7371200</v>
      </c>
      <c r="L217" s="86">
        <f>VLOOKUP($A217,'Data shares'!$C:$FA,96)</f>
        <v>-265580</v>
      </c>
      <c r="M217" s="87">
        <f>VLOOKUP($A217,'Data shares'!$C:$FA,97)</f>
        <v>-3.4799999999999998E-2</v>
      </c>
      <c r="N217" s="86">
        <f>VLOOKUP($A217,'Data shares'!$C:$FA,78)</f>
        <v>22123085</v>
      </c>
      <c r="O217" s="87">
        <f>VLOOKUP($A217,'Data shares'!$C:$FA,81)</f>
        <v>-0.20749999999999999</v>
      </c>
    </row>
    <row r="218" spans="1:15" x14ac:dyDescent="0.25">
      <c r="A218" s="100" t="str">
        <f>'Data Vlaue (Cr)'!C213</f>
        <v>VBL</v>
      </c>
      <c r="B218" s="82">
        <f>VLOOKUP(A218,'Data shares'!$C$2:$CV$220,98,0)</f>
        <v>85240125</v>
      </c>
      <c r="C218" s="82">
        <f>VLOOKUP(A218,'Data shares'!$C$2:$CX$220,100,0)</f>
        <v>2795625</v>
      </c>
      <c r="D218" s="141">
        <f>VLOOKUP(A218,'Data shares'!$C$2:$CY$543,101,0)</f>
        <v>3.39E-2</v>
      </c>
      <c r="E218" s="86">
        <f>VLOOKUP($A218,'Data shares'!$C:$FA,74)</f>
        <v>50998500</v>
      </c>
      <c r="F218" s="86">
        <f>VLOOKUP($A218,'Data shares'!$C:$FA,76)</f>
        <v>1287000</v>
      </c>
      <c r="G218" s="87">
        <f>VLOOKUP(A218,'Data shares'!$C$2:$CA$220,77,0)</f>
        <v>2.5899999999999999E-2</v>
      </c>
      <c r="H218" s="86">
        <f>VLOOKUP($A218,'Data shares'!$C:$FA,90)</f>
        <v>21555000</v>
      </c>
      <c r="I218" s="86">
        <f>VLOOKUP($A218,'Data shares'!$C:$FA,92)</f>
        <v>1602000</v>
      </c>
      <c r="J218" s="87">
        <f>VLOOKUP($A218,'Data shares'!$C:$FA,93)</f>
        <v>8.0299999999999996E-2</v>
      </c>
      <c r="K218" s="86">
        <f>VLOOKUP($A218,'Data shares'!$C:$FA,94)</f>
        <v>12686625</v>
      </c>
      <c r="L218" s="86">
        <f>VLOOKUP($A218,'Data shares'!$C:$FA,96)</f>
        <v>-93375</v>
      </c>
      <c r="M218" s="87">
        <f>VLOOKUP($A218,'Data shares'!$C:$FA,97)</f>
        <v>-7.3000000000000001E-3</v>
      </c>
      <c r="N218" s="86">
        <f>VLOOKUP($A218,'Data shares'!$C:$FA,78)</f>
        <v>33625125</v>
      </c>
      <c r="O218" s="87">
        <f>VLOOKUP($A218,'Data shares'!$C:$FA,81)</f>
        <v>-0.26479999999999998</v>
      </c>
    </row>
    <row r="219" spans="1:15" x14ac:dyDescent="0.25">
      <c r="A219" s="100" t="str">
        <f>'Data Vlaue (Cr)'!C214</f>
        <v>VEDL</v>
      </c>
      <c r="B219" s="82">
        <f>VLOOKUP(A219,'Data shares'!$C$2:$CV$220,98,0)</f>
        <v>136143900</v>
      </c>
      <c r="C219" s="82">
        <f>VLOOKUP(A219,'Data shares'!$C$2:$CX$220,100,0)</f>
        <v>1799750</v>
      </c>
      <c r="D219" s="141">
        <f>VLOOKUP(A219,'Data shares'!$C$2:$CY$543,101,0)</f>
        <v>1.34E-2</v>
      </c>
      <c r="E219" s="86">
        <f>VLOOKUP($A219,'Data shares'!$C:$FA,74)</f>
        <v>43756350</v>
      </c>
      <c r="F219" s="86">
        <f>VLOOKUP($A219,'Data shares'!$C:$FA,76)</f>
        <v>-4003150</v>
      </c>
      <c r="G219" s="87">
        <f>VLOOKUP(A219,'Data shares'!$C$2:$CA$220,77,0)</f>
        <v>-8.3799999999999999E-2</v>
      </c>
      <c r="H219" s="86">
        <f>VLOOKUP($A219,'Data shares'!$C:$FA,90)</f>
        <v>56865200</v>
      </c>
      <c r="I219" s="86">
        <f>VLOOKUP($A219,'Data shares'!$C:$FA,92)</f>
        <v>7178300</v>
      </c>
      <c r="J219" s="87">
        <f>VLOOKUP($A219,'Data shares'!$C:$FA,93)</f>
        <v>0.14449999999999999</v>
      </c>
      <c r="K219" s="86">
        <f>VLOOKUP($A219,'Data shares'!$C:$FA,94)</f>
        <v>35522350</v>
      </c>
      <c r="L219" s="86">
        <f>VLOOKUP($A219,'Data shares'!$C:$FA,96)</f>
        <v>-1375400</v>
      </c>
      <c r="M219" s="87">
        <f>VLOOKUP($A219,'Data shares'!$C:$FA,97)</f>
        <v>-3.73E-2</v>
      </c>
      <c r="N219" s="86">
        <f>VLOOKUP($A219,'Data shares'!$C:$FA,78)</f>
        <v>31474350</v>
      </c>
      <c r="O219" s="87">
        <f>VLOOKUP($A219,'Data shares'!$C:$FA,81)</f>
        <v>-0.2132</v>
      </c>
    </row>
    <row r="220" spans="1:15" x14ac:dyDescent="0.25">
      <c r="A220" s="100" t="str">
        <f>'Data Vlaue (Cr)'!C215</f>
        <v>VMM</v>
      </c>
      <c r="B220" s="82">
        <f>VLOOKUP(A220,'Data shares'!$C$2:$CV$220,98,0)</f>
        <v>43281400</v>
      </c>
      <c r="C220" s="82">
        <f>VLOOKUP(A220,'Data shares'!$C$2:$CX$220,100,0)</f>
        <v>-43650</v>
      </c>
      <c r="D220" s="141">
        <f>VLOOKUP(A220,'Data shares'!$C$2:$CY$543,101,0)</f>
        <v>-1E-3</v>
      </c>
      <c r="E220" s="86">
        <f>VLOOKUP($A220,'Data shares'!$C:$FA,74)</f>
        <v>30162150</v>
      </c>
      <c r="F220" s="86">
        <f>VLOOKUP($A220,'Data shares'!$C:$FA,76)</f>
        <v>800250</v>
      </c>
      <c r="G220" s="87">
        <f>VLOOKUP(A220,'Data shares'!$C$2:$CA$220,77,0)</f>
        <v>2.7300000000000001E-2</v>
      </c>
      <c r="H220" s="86">
        <f>VLOOKUP($A220,'Data shares'!$C:$FA,90)</f>
        <v>8700900</v>
      </c>
      <c r="I220" s="86">
        <f>VLOOKUP($A220,'Data shares'!$C:$FA,92)</f>
        <v>-708100</v>
      </c>
      <c r="J220" s="87">
        <f>VLOOKUP($A220,'Data shares'!$C:$FA,93)</f>
        <v>-7.5300000000000006E-2</v>
      </c>
      <c r="K220" s="86">
        <f>VLOOKUP($A220,'Data shares'!$C:$FA,94)</f>
        <v>4418350</v>
      </c>
      <c r="L220" s="86">
        <f>VLOOKUP($A220,'Data shares'!$C:$FA,96)</f>
        <v>-135800</v>
      </c>
      <c r="M220" s="87">
        <f>VLOOKUP($A220,'Data shares'!$C:$FA,97)</f>
        <v>-2.98E-2</v>
      </c>
      <c r="N220" s="86">
        <f>VLOOKUP($A220,'Data shares'!$C:$FA,78)</f>
        <v>20704650</v>
      </c>
      <c r="O220" s="87">
        <f>VLOOKUP($A220,'Data shares'!$C:$FA,81)</f>
        <v>-0.25900000000000001</v>
      </c>
    </row>
    <row r="221" spans="1:15" x14ac:dyDescent="0.25">
      <c r="A221" s="100" t="str">
        <f>'Data Vlaue (Cr)'!C216</f>
        <v>VOLTAS</v>
      </c>
      <c r="B221" s="82">
        <f>VLOOKUP(A221,'Data shares'!$C$2:$CV$220,98,0)</f>
        <v>19543125</v>
      </c>
      <c r="C221" s="82">
        <f>VLOOKUP(A221,'Data shares'!$C$2:$CX$220,100,0)</f>
        <v>-1735875</v>
      </c>
      <c r="D221" s="141">
        <f>VLOOKUP(A221,'Data shares'!$C$2:$CY$543,101,0)</f>
        <v>-8.1600000000000006E-2</v>
      </c>
      <c r="E221" s="86">
        <f>VLOOKUP($A221,'Data shares'!$C:$FA,74)</f>
        <v>10926375</v>
      </c>
      <c r="F221" s="86">
        <f>VLOOKUP($A221,'Data shares'!$C:$FA,76)</f>
        <v>-1384875</v>
      </c>
      <c r="G221" s="87">
        <f>VLOOKUP(A221,'Data shares'!$C$2:$CA$220,77,0)</f>
        <v>-0.1125</v>
      </c>
      <c r="H221" s="86">
        <f>VLOOKUP($A221,'Data shares'!$C:$FA,90)</f>
        <v>4577250</v>
      </c>
      <c r="I221" s="86">
        <f>VLOOKUP($A221,'Data shares'!$C:$FA,92)</f>
        <v>-129750</v>
      </c>
      <c r="J221" s="87">
        <f>VLOOKUP($A221,'Data shares'!$C:$FA,93)</f>
        <v>-2.76E-2</v>
      </c>
      <c r="K221" s="86">
        <f>VLOOKUP($A221,'Data shares'!$C:$FA,94)</f>
        <v>4039500</v>
      </c>
      <c r="L221" s="86">
        <f>VLOOKUP($A221,'Data shares'!$C:$FA,96)</f>
        <v>-221250</v>
      </c>
      <c r="M221" s="87">
        <f>VLOOKUP($A221,'Data shares'!$C:$FA,97)</f>
        <v>-5.1900000000000002E-2</v>
      </c>
      <c r="N221" s="86">
        <f>VLOOKUP($A221,'Data shares'!$C:$FA,78)</f>
        <v>6799500</v>
      </c>
      <c r="O221" s="87">
        <f>VLOOKUP($A221,'Data shares'!$C:$FA,81)</f>
        <v>-0.2772</v>
      </c>
    </row>
    <row r="222" spans="1:15" x14ac:dyDescent="0.25">
      <c r="A222" s="100" t="str">
        <f>'Data Vlaue (Cr)'!C217</f>
        <v>WAAREEENER</v>
      </c>
      <c r="B222" s="82">
        <f>VLOOKUP(A222,'Data shares'!$C$2:$CV$220,98,0)</f>
        <v>8922025</v>
      </c>
      <c r="C222" s="82">
        <f>VLOOKUP(A222,'Data shares'!$C$2:$CX$220,100,0)</f>
        <v>167125</v>
      </c>
      <c r="D222" s="141">
        <f>VLOOKUP(A222,'Data shares'!$C$2:$CY$543,101,0)</f>
        <v>1.9099999999999999E-2</v>
      </c>
      <c r="E222" s="86">
        <f>VLOOKUP($A222,'Data shares'!$C:$FA,74)</f>
        <v>5296200</v>
      </c>
      <c r="F222" s="86">
        <f>VLOOKUP($A222,'Data shares'!$C:$FA,76)</f>
        <v>10850</v>
      </c>
      <c r="G222" s="87">
        <f>VLOOKUP(A222,'Data shares'!$C$2:$CA$220,77,0)</f>
        <v>2.0999999999999999E-3</v>
      </c>
      <c r="H222" s="86">
        <f>VLOOKUP($A222,'Data shares'!$C:$FA,90)</f>
        <v>2034375</v>
      </c>
      <c r="I222" s="86">
        <f>VLOOKUP($A222,'Data shares'!$C:$FA,92)</f>
        <v>-17850</v>
      </c>
      <c r="J222" s="87">
        <f>VLOOKUP($A222,'Data shares'!$C:$FA,93)</f>
        <v>-8.6999999999999994E-3</v>
      </c>
      <c r="K222" s="86">
        <f>VLOOKUP($A222,'Data shares'!$C:$FA,94)</f>
        <v>1591450</v>
      </c>
      <c r="L222" s="86">
        <f>VLOOKUP($A222,'Data shares'!$C:$FA,96)</f>
        <v>174125</v>
      </c>
      <c r="M222" s="87">
        <f>VLOOKUP($A222,'Data shares'!$C:$FA,97)</f>
        <v>0.1229</v>
      </c>
      <c r="N222" s="86">
        <f>VLOOKUP($A222,'Data shares'!$C:$FA,78)</f>
        <v>3601325</v>
      </c>
      <c r="O222" s="87">
        <f>VLOOKUP($A222,'Data shares'!$C:$FA,81)</f>
        <v>-0.21440000000000001</v>
      </c>
    </row>
    <row r="223" spans="1:15" x14ac:dyDescent="0.25">
      <c r="A223" s="100" t="str">
        <f>'Data Vlaue (Cr)'!C218</f>
        <v>WIPRO</v>
      </c>
      <c r="B223" s="82">
        <f>VLOOKUP(A223,'Data shares'!$C$2:$CV$220,98,0)</f>
        <v>552855000</v>
      </c>
      <c r="C223" s="82">
        <f>VLOOKUP(A223,'Data shares'!$C$2:$CX$220,100,0)</f>
        <v>-33897000</v>
      </c>
      <c r="D223" s="141">
        <f>VLOOKUP(A223,'Data shares'!$C$2:$CY$543,101,0)</f>
        <v>-5.7799999999999997E-2</v>
      </c>
      <c r="E223" s="86">
        <f>VLOOKUP($A223,'Data shares'!$C:$FA,74)</f>
        <v>297831000</v>
      </c>
      <c r="F223" s="86">
        <f>VLOOKUP($A223,'Data shares'!$C:$FA,76)</f>
        <v>-33588000</v>
      </c>
      <c r="G223" s="87">
        <f>VLOOKUP(A223,'Data shares'!$C$2:$CA$220,77,0)</f>
        <v>-0.1013</v>
      </c>
      <c r="H223" s="86">
        <f>VLOOKUP($A223,'Data shares'!$C:$FA,90)</f>
        <v>168456000</v>
      </c>
      <c r="I223" s="86">
        <f>VLOOKUP($A223,'Data shares'!$C:$FA,92)</f>
        <v>2136000</v>
      </c>
      <c r="J223" s="87">
        <f>VLOOKUP($A223,'Data shares'!$C:$FA,93)</f>
        <v>1.2800000000000001E-2</v>
      </c>
      <c r="K223" s="86">
        <f>VLOOKUP($A223,'Data shares'!$C:$FA,94)</f>
        <v>86568000</v>
      </c>
      <c r="L223" s="86">
        <f>VLOOKUP($A223,'Data shares'!$C:$FA,96)</f>
        <v>-2445000</v>
      </c>
      <c r="M223" s="87">
        <f>VLOOKUP($A223,'Data shares'!$C:$FA,97)</f>
        <v>-2.75E-2</v>
      </c>
      <c r="N223" s="86">
        <f>VLOOKUP($A223,'Data shares'!$C:$FA,78)</f>
        <v>160131000</v>
      </c>
      <c r="O223" s="87">
        <f>VLOOKUP($A223,'Data shares'!$C:$FA,81)</f>
        <v>-0.30080000000000001</v>
      </c>
    </row>
    <row r="224" spans="1:15" x14ac:dyDescent="0.25">
      <c r="A224" s="100" t="str">
        <f>'Data Vlaue (Cr)'!C219</f>
        <v>YESBANK</v>
      </c>
      <c r="B224" s="82">
        <f>VLOOKUP(A224,'Data shares'!$C$2:$CV$220,98,0)</f>
        <v>2299440700</v>
      </c>
      <c r="C224" s="82">
        <f>VLOOKUP(A224,'Data shares'!$C$2:$CX$220,100,0)</f>
        <v>-35298500</v>
      </c>
      <c r="D224" s="141">
        <f>VLOOKUP(A224,'Data shares'!$C$2:$CY$543,101,0)</f>
        <v>-1.5100000000000001E-2</v>
      </c>
      <c r="E224" s="86">
        <f>VLOOKUP($A224,'Data shares'!$C:$FA,74)</f>
        <v>1294972900</v>
      </c>
      <c r="F224" s="86">
        <f>VLOOKUP($A224,'Data shares'!$C:$FA,76)</f>
        <v>-622000</v>
      </c>
      <c r="G224" s="87">
        <f>VLOOKUP(A224,'Data shares'!$C$2:$CA$220,77,0)</f>
        <v>-5.0000000000000001E-4</v>
      </c>
      <c r="H224" s="86">
        <f>VLOOKUP($A224,'Data shares'!$C:$FA,90)</f>
        <v>657702800</v>
      </c>
      <c r="I224" s="86">
        <f>VLOOKUP($A224,'Data shares'!$C:$FA,92)</f>
        <v>-26839300</v>
      </c>
      <c r="J224" s="87">
        <f>VLOOKUP($A224,'Data shares'!$C:$FA,93)</f>
        <v>-3.9199999999999999E-2</v>
      </c>
      <c r="K224" s="86">
        <f>VLOOKUP($A224,'Data shares'!$C:$FA,94)</f>
        <v>346765000</v>
      </c>
      <c r="L224" s="86">
        <f>VLOOKUP($A224,'Data shares'!$C:$FA,96)</f>
        <v>-7837200</v>
      </c>
      <c r="M224" s="87">
        <f>VLOOKUP($A224,'Data shares'!$C:$FA,97)</f>
        <v>-2.2100000000000002E-2</v>
      </c>
      <c r="N224" s="86">
        <f>VLOOKUP($A224,'Data shares'!$C:$FA,78)</f>
        <v>702362400</v>
      </c>
      <c r="O224" s="87">
        <f>VLOOKUP($A224,'Data shares'!$C:$FA,81)</f>
        <v>-0.25869999999999999</v>
      </c>
    </row>
    <row r="225" spans="1:15" x14ac:dyDescent="0.25">
      <c r="A225" s="100" t="str">
        <f>'Data Vlaue (Cr)'!C220</f>
        <v>ZYDUSLIFE</v>
      </c>
      <c r="B225" s="82">
        <f>VLOOKUP(A225,'Data shares'!$C$2:$CV$220,98,0)</f>
        <v>16158600</v>
      </c>
      <c r="C225" s="82">
        <f>VLOOKUP(A225,'Data shares'!$C$2:$CX$220,100,0)</f>
        <v>1150200</v>
      </c>
      <c r="D225" s="141">
        <f>VLOOKUP(A225,'Data shares'!$C$2:$CY$543,101,0)</f>
        <v>7.6600000000000001E-2</v>
      </c>
      <c r="E225" s="86">
        <f>VLOOKUP($A225,'Data shares'!$C:$FA,74)</f>
        <v>9784800</v>
      </c>
      <c r="F225" s="86">
        <f>VLOOKUP($A225,'Data shares'!$C:$FA,76)</f>
        <v>396000</v>
      </c>
      <c r="G225" s="87">
        <f>VLOOKUP(A225,'Data shares'!$C$2:$CA$220,77,0)</f>
        <v>4.2200000000000001E-2</v>
      </c>
      <c r="H225" s="86">
        <f>VLOOKUP($A225,'Data shares'!$C:$FA,90)</f>
        <v>3559500</v>
      </c>
      <c r="I225" s="86">
        <f>VLOOKUP($A225,'Data shares'!$C:$FA,92)</f>
        <v>321300</v>
      </c>
      <c r="J225" s="87">
        <f>VLOOKUP($A225,'Data shares'!$C:$FA,93)</f>
        <v>9.9199999999999997E-2</v>
      </c>
      <c r="K225" s="86">
        <f>VLOOKUP($A225,'Data shares'!$C:$FA,94)</f>
        <v>2814300</v>
      </c>
      <c r="L225" s="86">
        <f>VLOOKUP($A225,'Data shares'!$C:$FA,96)</f>
        <v>432900</v>
      </c>
      <c r="M225" s="87">
        <f>VLOOKUP($A225,'Data shares'!$C:$FA,97)</f>
        <v>0.18179999999999999</v>
      </c>
      <c r="N225" s="86">
        <f>VLOOKUP($A225,'Data shares'!$C:$FA,78)</f>
        <v>5143500</v>
      </c>
      <c r="O225" s="87">
        <f>VLOOKUP($A225,'Data shares'!$C:$FA,81)</f>
        <v>-0.3634</v>
      </c>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82"/>
      <c r="C227" s="82"/>
      <c r="D227" s="141"/>
      <c r="E227" s="86"/>
      <c r="F227" s="86"/>
      <c r="G227" s="87"/>
      <c r="H227" s="86"/>
      <c r="I227" s="86"/>
      <c r="J227" s="87"/>
      <c r="K227" s="86"/>
      <c r="L227" s="86"/>
      <c r="M227" s="87"/>
      <c r="N227" s="86"/>
      <c r="O227" s="87"/>
    </row>
    <row r="228" spans="1:15" x14ac:dyDescent="0.25">
      <c r="A228" s="100"/>
      <c r="B228" s="82"/>
      <c r="C228" s="82"/>
      <c r="D228" s="141"/>
      <c r="E228" s="86"/>
      <c r="F228" s="86"/>
      <c r="G228" s="87"/>
      <c r="H228" s="86"/>
      <c r="I228" s="86"/>
      <c r="J228" s="87"/>
      <c r="K228" s="86"/>
      <c r="L228" s="86"/>
      <c r="M228" s="87"/>
      <c r="N228" s="86"/>
      <c r="O228" s="87"/>
    </row>
    <row r="229" spans="1:15" x14ac:dyDescent="0.25">
      <c r="A229" s="100"/>
      <c r="B229" s="82"/>
      <c r="C229" s="82"/>
      <c r="D229" s="141"/>
      <c r="E229" s="86"/>
      <c r="F229" s="86"/>
      <c r="G229" s="87"/>
      <c r="H229" s="86"/>
      <c r="I229" s="86"/>
      <c r="J229" s="87"/>
      <c r="K229" s="86"/>
      <c r="L229" s="86"/>
      <c r="M229" s="87"/>
      <c r="N229" s="86"/>
      <c r="O229" s="87"/>
    </row>
    <row r="230" spans="1:15" x14ac:dyDescent="0.25">
      <c r="A230" s="100"/>
      <c r="B230" s="82"/>
      <c r="C230" s="82"/>
      <c r="D230" s="141"/>
      <c r="E230" s="86"/>
      <c r="F230" s="86"/>
      <c r="G230" s="87"/>
      <c r="H230" s="86"/>
      <c r="I230" s="86"/>
      <c r="J230" s="87"/>
      <c r="K230" s="86"/>
      <c r="L230" s="86"/>
      <c r="M230" s="87"/>
      <c r="N230" s="86"/>
      <c r="O230" s="87"/>
    </row>
    <row r="231" spans="1:15" x14ac:dyDescent="0.25">
      <c r="A231" s="100"/>
      <c r="B231" s="82"/>
      <c r="C231" s="82"/>
      <c r="D231" s="141"/>
      <c r="E231" s="86"/>
      <c r="F231" s="86"/>
      <c r="G231" s="87"/>
      <c r="H231" s="86"/>
      <c r="I231" s="86"/>
      <c r="J231" s="87"/>
      <c r="K231" s="86"/>
      <c r="L231" s="86"/>
      <c r="M231" s="87"/>
      <c r="N231" s="86"/>
      <c r="O231" s="87"/>
    </row>
    <row r="232" spans="1:15" x14ac:dyDescent="0.25">
      <c r="A232" s="100"/>
      <c r="B232" s="17"/>
      <c r="C232" s="17"/>
      <c r="D232" s="17"/>
      <c r="E232" s="17"/>
      <c r="F232" s="17"/>
      <c r="G232" s="17"/>
      <c r="H232" s="17"/>
      <c r="I232" s="17"/>
      <c r="J232" s="17"/>
      <c r="K232" s="17"/>
      <c r="L232" s="17"/>
      <c r="M232" s="17"/>
      <c r="N232" s="17"/>
      <c r="O232" s="17"/>
    </row>
    <row r="233" spans="1:15" x14ac:dyDescent="0.25">
      <c r="A233" s="98"/>
      <c r="B233" s="17"/>
      <c r="C233" s="17"/>
      <c r="D233" s="17"/>
      <c r="E233" s="17"/>
      <c r="F233" s="17"/>
      <c r="G233" s="17"/>
      <c r="H233" s="17"/>
      <c r="I233" s="17"/>
      <c r="J233" s="17"/>
      <c r="K233" s="17"/>
      <c r="L233" s="17"/>
      <c r="M233" s="17"/>
      <c r="N233" s="17"/>
      <c r="O233" s="17"/>
    </row>
    <row r="234" spans="1:15" x14ac:dyDescent="0.25">
      <c r="A234" s="118" t="s">
        <v>391</v>
      </c>
      <c r="B234" s="119">
        <f>SUM(B7:B227)</f>
        <v>27919958301</v>
      </c>
      <c r="C234" s="119">
        <f>SUM(C7:C227)</f>
        <v>62789122</v>
      </c>
      <c r="D234" s="120">
        <f>C234*100/(B234-C234)</f>
        <v>0.22539663523073727</v>
      </c>
      <c r="E234" s="119">
        <f>SUM(E7:E227)</f>
        <v>17203711071</v>
      </c>
      <c r="F234" s="119">
        <f>SUM(F7:F227)</f>
        <v>-66478781</v>
      </c>
      <c r="G234" s="120">
        <f>F234*100/(E234-F234)</f>
        <v>-0.38493370119090686</v>
      </c>
      <c r="H234" s="119">
        <f>SUM(H7:H227)</f>
        <v>6471522022</v>
      </c>
      <c r="I234" s="119">
        <f>SUM(I7:I227)</f>
        <v>133609086</v>
      </c>
      <c r="J234" s="120">
        <f>I234*100/(H234-I234)</f>
        <v>2.1080927956754754</v>
      </c>
      <c r="K234" s="119">
        <f>SUM(K7:K227)</f>
        <v>4244725208</v>
      </c>
      <c r="L234" s="119">
        <f>SUM(L7:L227)</f>
        <v>-4341183</v>
      </c>
      <c r="M234" s="120">
        <f>L234*100/(K234-L234)</f>
        <v>-0.10216792585766872</v>
      </c>
      <c r="N234" s="119">
        <f>SUM(N7:N227)</f>
        <v>9881888457</v>
      </c>
      <c r="O234" s="120">
        <f>(N234-FII!V3)/N234*100</f>
        <v>-28.982854881054642</v>
      </c>
    </row>
    <row r="235" spans="1:15" x14ac:dyDescent="0.25">
      <c r="A235" s="118" t="s">
        <v>409</v>
      </c>
      <c r="B235" s="121">
        <f>B234/10000000</f>
        <v>2791.9958301000001</v>
      </c>
      <c r="C235" s="121">
        <f>C234/10000000</f>
        <v>6.2789121999999997</v>
      </c>
      <c r="D235" s="120">
        <f>D234</f>
        <v>0.22539663523073727</v>
      </c>
      <c r="E235" s="121">
        <f>E234/10000000</f>
        <v>1720.3711071</v>
      </c>
      <c r="F235" s="121">
        <f>F234/10000000</f>
        <v>-6.6478780999999998</v>
      </c>
      <c r="G235" s="120">
        <f>G234</f>
        <v>-0.38493370119090686</v>
      </c>
      <c r="H235" s="121">
        <f>H234/10000000</f>
        <v>647.15220220000003</v>
      </c>
      <c r="I235" s="121">
        <f>I234/10000000</f>
        <v>13.3609086</v>
      </c>
      <c r="J235" s="120">
        <f>J234</f>
        <v>2.1080927956754754</v>
      </c>
      <c r="K235" s="121">
        <f>K234/10000000</f>
        <v>424.47252079999998</v>
      </c>
      <c r="L235" s="121">
        <f>L234/10000000</f>
        <v>-0.43411830000000001</v>
      </c>
      <c r="M235" s="120">
        <f>M234</f>
        <v>-0.10216792585766872</v>
      </c>
      <c r="N235" s="121">
        <f>N234/10000000</f>
        <v>988.1888457</v>
      </c>
      <c r="O235" s="120">
        <f>O234</f>
        <v>-28.982854881054642</v>
      </c>
    </row>
    <row r="243" spans="1:4" x14ac:dyDescent="0.25">
      <c r="A243" s="274" t="s">
        <v>410</v>
      </c>
      <c r="B243" s="274"/>
      <c r="C243" s="274"/>
      <c r="D243" s="274"/>
    </row>
    <row r="244" spans="1:4" x14ac:dyDescent="0.25">
      <c r="A244" s="35" t="s">
        <v>401</v>
      </c>
      <c r="B244" s="35" t="s">
        <v>402</v>
      </c>
      <c r="C244" s="35" t="s">
        <v>369</v>
      </c>
      <c r="D244" s="35" t="s">
        <v>407</v>
      </c>
    </row>
    <row r="245" spans="1:4" x14ac:dyDescent="0.25">
      <c r="A245" s="36" t="s">
        <v>403</v>
      </c>
      <c r="B245" s="37">
        <f>E235</f>
        <v>1720.3711071</v>
      </c>
      <c r="C245" s="37">
        <f>F235</f>
        <v>-6.6478780999999998</v>
      </c>
      <c r="D245" s="39">
        <f>C245/B245</f>
        <v>-3.8642116648925904E-3</v>
      </c>
    </row>
    <row r="246" spans="1:4" x14ac:dyDescent="0.25">
      <c r="A246" s="36" t="s">
        <v>404</v>
      </c>
      <c r="B246" s="37">
        <f>H235</f>
        <v>647.15220220000003</v>
      </c>
      <c r="C246" s="37">
        <f>I235</f>
        <v>13.3609086</v>
      </c>
      <c r="D246" s="39">
        <f>C246/B246</f>
        <v>2.0645697495240634E-2</v>
      </c>
    </row>
    <row r="247" spans="1:4" x14ac:dyDescent="0.25">
      <c r="A247" s="36" t="s">
        <v>405</v>
      </c>
      <c r="B247" s="37">
        <f>K235</f>
        <v>424.47252079999998</v>
      </c>
      <c r="C247" s="37">
        <f>L235</f>
        <v>-0.43411830000000001</v>
      </c>
      <c r="D247" s="39">
        <f>C247/B247</f>
        <v>-1.0227241546327209E-3</v>
      </c>
    </row>
    <row r="248" spans="1:4" x14ac:dyDescent="0.25">
      <c r="A248" s="36" t="s">
        <v>406</v>
      </c>
      <c r="B248" s="40">
        <f>SUM(B245:B247)</f>
        <v>2791.9958301000001</v>
      </c>
      <c r="C248" s="40">
        <f>SUM(C245:C247)</f>
        <v>6.2789122000000006</v>
      </c>
      <c r="D248" s="41">
        <f>C248/B248</f>
        <v>2.2488974132082104E-3</v>
      </c>
    </row>
  </sheetData>
  <mergeCells count="9">
    <mergeCell ref="A243:D243"/>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workbookViewId="0">
      <pane ySplit="6" topLeftCell="A7" activePane="bottomLeft" state="frozen"/>
      <selection pane="bottomLeft" activeCell="A7" sqref="A7:A225"/>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80" t="s">
        <v>334</v>
      </c>
      <c r="B3" s="281"/>
      <c r="C3" s="281"/>
      <c r="D3" s="282"/>
      <c r="E3" s="283"/>
      <c r="F3" s="283"/>
      <c r="G3" s="283"/>
      <c r="H3" s="283"/>
      <c r="I3" s="283"/>
      <c r="J3" s="283"/>
      <c r="K3" s="283"/>
      <c r="L3" s="283"/>
      <c r="M3" s="283"/>
      <c r="N3" s="283"/>
      <c r="O3" s="284"/>
    </row>
    <row r="4" spans="1:15" x14ac:dyDescent="0.25">
      <c r="A4" s="285" t="s">
        <v>330</v>
      </c>
      <c r="B4" s="287" t="s">
        <v>309</v>
      </c>
      <c r="C4" s="288"/>
      <c r="D4" s="288"/>
      <c r="E4" s="288"/>
      <c r="F4" s="288"/>
      <c r="G4" s="288"/>
      <c r="H4" s="288"/>
      <c r="I4" s="288"/>
      <c r="J4" s="288"/>
      <c r="K4" s="288"/>
      <c r="L4" s="288"/>
      <c r="M4" s="288"/>
      <c r="N4" s="288"/>
      <c r="O4" s="289"/>
    </row>
    <row r="5" spans="1:15" x14ac:dyDescent="0.25">
      <c r="A5" s="286"/>
      <c r="B5" s="290" t="s">
        <v>314</v>
      </c>
      <c r="C5" s="290"/>
      <c r="D5" s="291"/>
      <c r="E5" s="290" t="s">
        <v>335</v>
      </c>
      <c r="F5" s="290"/>
      <c r="G5" s="291"/>
      <c r="H5" s="290" t="s">
        <v>336</v>
      </c>
      <c r="I5" s="290"/>
      <c r="J5" s="291"/>
      <c r="K5" s="290" t="s">
        <v>337</v>
      </c>
      <c r="L5" s="290"/>
      <c r="M5" s="291"/>
      <c r="N5" s="290" t="s">
        <v>338</v>
      </c>
      <c r="O5" s="291"/>
    </row>
    <row r="6" spans="1:15" x14ac:dyDescent="0.25">
      <c r="A6" s="3" t="s">
        <v>318</v>
      </c>
      <c r="B6" s="3">
        <f>'Sectorwise OI'!D6</f>
        <v>46135</v>
      </c>
      <c r="C6" s="76" t="s">
        <v>333</v>
      </c>
      <c r="D6" s="76" t="s">
        <v>328</v>
      </c>
      <c r="E6" s="3">
        <f>B6</f>
        <v>46135</v>
      </c>
      <c r="F6" s="76" t="s">
        <v>333</v>
      </c>
      <c r="G6" s="76" t="s">
        <v>328</v>
      </c>
      <c r="H6" s="3">
        <f>E6</f>
        <v>46135</v>
      </c>
      <c r="I6" s="76" t="s">
        <v>333</v>
      </c>
      <c r="J6" s="76" t="s">
        <v>328</v>
      </c>
      <c r="K6" s="3">
        <f>E6</f>
        <v>46135</v>
      </c>
      <c r="L6" s="76" t="s">
        <v>333</v>
      </c>
      <c r="M6" s="76" t="s">
        <v>328</v>
      </c>
      <c r="N6" s="76" t="s">
        <v>339</v>
      </c>
      <c r="O6" s="76" t="s">
        <v>328</v>
      </c>
    </row>
    <row r="7" spans="1:15" x14ac:dyDescent="0.25">
      <c r="A7" s="97" t="str">
        <f>'Data Vlaue (Cr)'!C2</f>
        <v>360ONE</v>
      </c>
      <c r="B7" s="142">
        <f>VLOOKUP(A7,'Data Vlaue (Cr)'!C2:CW220,99,0)</f>
        <v>1437</v>
      </c>
      <c r="C7" s="90">
        <f>VLOOKUP(A7,'Data Vlaue (Cr)'!C2:CY220,101,0)</f>
        <v>-112</v>
      </c>
      <c r="D7" s="139">
        <f>VLOOKUP(A7,'Data Vlaue (Cr)'!C2:CZ220,102,0)</f>
        <v>-7.22E-2</v>
      </c>
      <c r="E7" s="91">
        <f>VLOOKUP($A7,'Data Vlaue (Cr)'!$C:$FB,75)</f>
        <v>631</v>
      </c>
      <c r="F7" s="91">
        <f>VLOOKUP($A7,'Data Vlaue (Cr)'!$C:$FB,77)</f>
        <v>23</v>
      </c>
      <c r="G7" s="92">
        <f>VLOOKUP(A7,'Data Vlaue (Cr)'!C2:CB220,78,0)</f>
        <v>3.85E-2</v>
      </c>
      <c r="H7" s="91">
        <f>VLOOKUP($A7,'Data Vlaue (Cr)'!$C:$FB,91)</f>
        <v>568</v>
      </c>
      <c r="I7" s="91">
        <f>VLOOKUP($A7,'Data Vlaue (Cr)'!$C:$FB,93)</f>
        <v>-90</v>
      </c>
      <c r="J7" s="92">
        <f>VLOOKUP($A7,'Data Vlaue (Cr)'!$C:$FB,94)</f>
        <v>-0.13689999999999999</v>
      </c>
      <c r="K7" s="91">
        <f>VLOOKUP($A7,'Data Vlaue (Cr)'!$C:$FB,95)</f>
        <v>238</v>
      </c>
      <c r="L7" s="91">
        <f>VLOOKUP($A7,'Data Vlaue (Cr)'!$C:$FB,97)</f>
        <v>-45</v>
      </c>
      <c r="M7" s="92">
        <f>VLOOKUP($A7,'Data Vlaue (Cr)'!$C:$FB,98)</f>
        <v>-0.15939999999999999</v>
      </c>
      <c r="N7" s="91">
        <f>VLOOKUP($A7,'Data Vlaue (Cr)'!$C:$FB,79)</f>
        <v>414</v>
      </c>
      <c r="O7" s="92">
        <f>VLOOKUP($A7,'Data Vlaue (Cr)'!$C:$FB,82)</f>
        <v>-0.1444</v>
      </c>
    </row>
    <row r="8" spans="1:15" x14ac:dyDescent="0.25">
      <c r="A8" s="97" t="str">
        <f>'Data Vlaue (Cr)'!C3</f>
        <v>ABB</v>
      </c>
      <c r="B8" s="142">
        <f>VLOOKUP(A8,'Data Vlaue (Cr)'!C3:CW221,99,0)</f>
        <v>4741</v>
      </c>
      <c r="C8" s="90">
        <f>VLOOKUP(A8,'Data Vlaue (Cr)'!C3:CY221,101,0)</f>
        <v>-142</v>
      </c>
      <c r="D8" s="139">
        <f>VLOOKUP(A8,'Data Vlaue (Cr)'!C3:CZ221,102,0)</f>
        <v>-2.9000000000000001E-2</v>
      </c>
      <c r="E8" s="91">
        <f>VLOOKUP($A8,'Data Vlaue (Cr)'!$C:$FB,75)</f>
        <v>1982</v>
      </c>
      <c r="F8" s="91">
        <f>VLOOKUP($A8,'Data Vlaue (Cr)'!$C:$FB,77)</f>
        <v>-36</v>
      </c>
      <c r="G8" s="92">
        <f>VLOOKUP(A8,'Data Vlaue (Cr)'!C3:CB221,78,0)</f>
        <v>-1.7999999999999999E-2</v>
      </c>
      <c r="H8" s="91">
        <f>VLOOKUP($A8,'Data Vlaue (Cr)'!$C:$FB,91)</f>
        <v>1517</v>
      </c>
      <c r="I8" s="91">
        <f>VLOOKUP($A8,'Data Vlaue (Cr)'!$C:$FB,93)</f>
        <v>-25</v>
      </c>
      <c r="J8" s="92">
        <f>VLOOKUP($A8,'Data Vlaue (Cr)'!$C:$FB,94)</f>
        <v>-1.5900000000000001E-2</v>
      </c>
      <c r="K8" s="91">
        <f>VLOOKUP($A8,'Data Vlaue (Cr)'!$C:$FB,95)</f>
        <v>1242</v>
      </c>
      <c r="L8" s="91">
        <f>VLOOKUP($A8,'Data Vlaue (Cr)'!$C:$FB,97)</f>
        <v>-81</v>
      </c>
      <c r="M8" s="92">
        <f>VLOOKUP($A8,'Data Vlaue (Cr)'!$C:$FB,98)</f>
        <v>-6.1199999999999997E-2</v>
      </c>
      <c r="N8" s="91">
        <f>VLOOKUP($A8,'Data Vlaue (Cr)'!$C:$FB,79)</f>
        <v>1205</v>
      </c>
      <c r="O8" s="92">
        <f>VLOOKUP($A8,'Data Vlaue (Cr)'!$C:$FB,82)</f>
        <v>-0.29959999999999998</v>
      </c>
    </row>
    <row r="9" spans="1:15" x14ac:dyDescent="0.25">
      <c r="A9" s="97" t="str">
        <f>'Data Vlaue (Cr)'!C4</f>
        <v>ABCAPITAL</v>
      </c>
      <c r="B9" s="142">
        <f>VLOOKUP(A9,'Data Vlaue (Cr)'!C4:CW222,99,0)</f>
        <v>2278</v>
      </c>
      <c r="C9" s="90">
        <f>VLOOKUP(A9,'Data Vlaue (Cr)'!C4:CY222,101,0)</f>
        <v>-6</v>
      </c>
      <c r="D9" s="139">
        <f>VLOOKUP(A9,'Data Vlaue (Cr)'!C4:CZ222,102,0)</f>
        <v>-2.7000000000000001E-3</v>
      </c>
      <c r="E9" s="91">
        <f>VLOOKUP($A9,'Data Vlaue (Cr)'!$C:$FB,75)</f>
        <v>1457</v>
      </c>
      <c r="F9" s="91">
        <f>VLOOKUP($A9,'Data Vlaue (Cr)'!$C:$FB,77)</f>
        <v>10</v>
      </c>
      <c r="G9" s="92">
        <f>VLOOKUP(A9,'Data Vlaue (Cr)'!C4:CB222,78,0)</f>
        <v>7.0000000000000001E-3</v>
      </c>
      <c r="H9" s="91">
        <f>VLOOKUP($A9,'Data Vlaue (Cr)'!$C:$FB,91)</f>
        <v>455</v>
      </c>
      <c r="I9" s="91">
        <f>VLOOKUP($A9,'Data Vlaue (Cr)'!$C:$FB,93)</f>
        <v>-5</v>
      </c>
      <c r="J9" s="92">
        <f>VLOOKUP($A9,'Data Vlaue (Cr)'!$C:$FB,94)</f>
        <v>-1.06E-2</v>
      </c>
      <c r="K9" s="91">
        <f>VLOOKUP($A9,'Data Vlaue (Cr)'!$C:$FB,95)</f>
        <v>367</v>
      </c>
      <c r="L9" s="91">
        <f>VLOOKUP($A9,'Data Vlaue (Cr)'!$C:$FB,97)</f>
        <v>-11</v>
      </c>
      <c r="M9" s="92">
        <f>VLOOKUP($A9,'Data Vlaue (Cr)'!$C:$FB,98)</f>
        <v>-3.04E-2</v>
      </c>
      <c r="N9" s="91">
        <f>VLOOKUP($A9,'Data Vlaue (Cr)'!$C:$FB,79)</f>
        <v>1006</v>
      </c>
      <c r="O9" s="92">
        <f>VLOOKUP($A9,'Data Vlaue (Cr)'!$C:$FB,82)</f>
        <v>-0.26190000000000002</v>
      </c>
    </row>
    <row r="10" spans="1:15" x14ac:dyDescent="0.25">
      <c r="A10" s="97" t="str">
        <f>'Data Vlaue (Cr)'!C5</f>
        <v>ADANIENSOL</v>
      </c>
      <c r="B10" s="142">
        <f>VLOOKUP(A10,'Data Vlaue (Cr)'!C5:CW223,99,0)</f>
        <v>4688</v>
      </c>
      <c r="C10" s="90">
        <f>VLOOKUP(A10,'Data Vlaue (Cr)'!C5:CY223,101,0)</f>
        <v>363</v>
      </c>
      <c r="D10" s="139">
        <f>VLOOKUP(A10,'Data Vlaue (Cr)'!C5:CZ223,102,0)</f>
        <v>8.3799999999999999E-2</v>
      </c>
      <c r="E10" s="91">
        <f>VLOOKUP($A10,'Data Vlaue (Cr)'!$C:$FB,75)</f>
        <v>2977</v>
      </c>
      <c r="F10" s="91">
        <f>VLOOKUP($A10,'Data Vlaue (Cr)'!$C:$FB,77)</f>
        <v>-14</v>
      </c>
      <c r="G10" s="92">
        <f>VLOOKUP(A10,'Data Vlaue (Cr)'!C5:CB223,78,0)</f>
        <v>-4.5999999999999999E-3</v>
      </c>
      <c r="H10" s="91">
        <f>VLOOKUP($A10,'Data Vlaue (Cr)'!$C:$FB,91)</f>
        <v>1040</v>
      </c>
      <c r="I10" s="91">
        <f>VLOOKUP($A10,'Data Vlaue (Cr)'!$C:$FB,93)</f>
        <v>258</v>
      </c>
      <c r="J10" s="92">
        <f>VLOOKUP($A10,'Data Vlaue (Cr)'!$C:$FB,94)</f>
        <v>0.33019999999999999</v>
      </c>
      <c r="K10" s="91">
        <f>VLOOKUP($A10,'Data Vlaue (Cr)'!$C:$FB,95)</f>
        <v>672</v>
      </c>
      <c r="L10" s="91">
        <f>VLOOKUP($A10,'Data Vlaue (Cr)'!$C:$FB,97)</f>
        <v>118</v>
      </c>
      <c r="M10" s="92">
        <f>VLOOKUP($A10,'Data Vlaue (Cr)'!$C:$FB,98)</f>
        <v>0.21390000000000001</v>
      </c>
      <c r="N10" s="91">
        <f>VLOOKUP($A10,'Data Vlaue (Cr)'!$C:$FB,79)</f>
        <v>1627</v>
      </c>
      <c r="O10" s="92">
        <f>VLOOKUP($A10,'Data Vlaue (Cr)'!$C:$FB,82)</f>
        <v>-0.24479999999999999</v>
      </c>
    </row>
    <row r="11" spans="1:15" x14ac:dyDescent="0.25">
      <c r="A11" s="97" t="str">
        <f>'Data Vlaue (Cr)'!C6</f>
        <v>ADANIENT</v>
      </c>
      <c r="B11" s="142">
        <f>VLOOKUP(A11,'Data Vlaue (Cr)'!C6:CW224,99,0)</f>
        <v>8055</v>
      </c>
      <c r="C11" s="90">
        <f>VLOOKUP(A11,'Data Vlaue (Cr)'!C6:CY224,101,0)</f>
        <v>330</v>
      </c>
      <c r="D11" s="139">
        <f>VLOOKUP(A11,'Data Vlaue (Cr)'!C6:CZ224,102,0)</f>
        <v>4.2700000000000002E-2</v>
      </c>
      <c r="E11" s="91">
        <f>VLOOKUP($A11,'Data Vlaue (Cr)'!$C:$FB,75)</f>
        <v>4451</v>
      </c>
      <c r="F11" s="91">
        <f>VLOOKUP($A11,'Data Vlaue (Cr)'!$C:$FB,77)</f>
        <v>122</v>
      </c>
      <c r="G11" s="92">
        <f>VLOOKUP(A11,'Data Vlaue (Cr)'!C6:CB224,78,0)</f>
        <v>2.81E-2</v>
      </c>
      <c r="H11" s="91">
        <f>VLOOKUP($A11,'Data Vlaue (Cr)'!$C:$FB,91)</f>
        <v>1921</v>
      </c>
      <c r="I11" s="91">
        <f>VLOOKUP($A11,'Data Vlaue (Cr)'!$C:$FB,93)</f>
        <v>184</v>
      </c>
      <c r="J11" s="92">
        <f>VLOOKUP($A11,'Data Vlaue (Cr)'!$C:$FB,94)</f>
        <v>0.1061</v>
      </c>
      <c r="K11" s="91">
        <f>VLOOKUP($A11,'Data Vlaue (Cr)'!$C:$FB,95)</f>
        <v>1682</v>
      </c>
      <c r="L11" s="91">
        <f>VLOOKUP($A11,'Data Vlaue (Cr)'!$C:$FB,97)</f>
        <v>24</v>
      </c>
      <c r="M11" s="92">
        <f>VLOOKUP($A11,'Data Vlaue (Cr)'!$C:$FB,98)</f>
        <v>1.43E-2</v>
      </c>
      <c r="N11" s="91">
        <f>VLOOKUP($A11,'Data Vlaue (Cr)'!$C:$FB,79)</f>
        <v>2874</v>
      </c>
      <c r="O11" s="92">
        <f>VLOOKUP($A11,'Data Vlaue (Cr)'!$C:$FB,82)</f>
        <v>-0.1704</v>
      </c>
    </row>
    <row r="12" spans="1:15" x14ac:dyDescent="0.25">
      <c r="A12" s="97" t="str">
        <f>'Data Vlaue (Cr)'!C7</f>
        <v>ADANIGREEN</v>
      </c>
      <c r="B12" s="142">
        <f>VLOOKUP(A12,'Data Vlaue (Cr)'!C7:CW225,99,0)</f>
        <v>5172</v>
      </c>
      <c r="C12" s="90">
        <f>VLOOKUP(A12,'Data Vlaue (Cr)'!C7:CY225,101,0)</f>
        <v>400</v>
      </c>
      <c r="D12" s="139">
        <f>VLOOKUP(A12,'Data Vlaue (Cr)'!C7:CZ225,102,0)</f>
        <v>8.3699999999999997E-2</v>
      </c>
      <c r="E12" s="91">
        <f>VLOOKUP($A12,'Data Vlaue (Cr)'!$C:$FB,75)</f>
        <v>2685</v>
      </c>
      <c r="F12" s="91">
        <f>VLOOKUP($A12,'Data Vlaue (Cr)'!$C:$FB,77)</f>
        <v>62</v>
      </c>
      <c r="G12" s="92">
        <f>VLOOKUP(A12,'Data Vlaue (Cr)'!C7:CB225,78,0)</f>
        <v>2.3599999999999999E-2</v>
      </c>
      <c r="H12" s="91">
        <f>VLOOKUP($A12,'Data Vlaue (Cr)'!$C:$FB,91)</f>
        <v>1488</v>
      </c>
      <c r="I12" s="91">
        <f>VLOOKUP($A12,'Data Vlaue (Cr)'!$C:$FB,93)</f>
        <v>250</v>
      </c>
      <c r="J12" s="92">
        <f>VLOOKUP($A12,'Data Vlaue (Cr)'!$C:$FB,94)</f>
        <v>0.2016</v>
      </c>
      <c r="K12" s="91">
        <f>VLOOKUP($A12,'Data Vlaue (Cr)'!$C:$FB,95)</f>
        <v>999</v>
      </c>
      <c r="L12" s="91">
        <f>VLOOKUP($A12,'Data Vlaue (Cr)'!$C:$FB,97)</f>
        <v>88</v>
      </c>
      <c r="M12" s="92">
        <f>VLOOKUP($A12,'Data Vlaue (Cr)'!$C:$FB,98)</f>
        <v>9.64E-2</v>
      </c>
      <c r="N12" s="91">
        <f>VLOOKUP($A12,'Data Vlaue (Cr)'!$C:$FB,79)</f>
        <v>1407</v>
      </c>
      <c r="O12" s="92">
        <f>VLOOKUP($A12,'Data Vlaue (Cr)'!$C:$FB,82)</f>
        <v>-0.25700000000000001</v>
      </c>
    </row>
    <row r="13" spans="1:15" x14ac:dyDescent="0.25">
      <c r="A13" s="97" t="str">
        <f>'Data Vlaue (Cr)'!C8</f>
        <v>ADANIPORTS</v>
      </c>
      <c r="B13" s="142">
        <f>VLOOKUP(A13,'Data Vlaue (Cr)'!C8:CW226,99,0)</f>
        <v>6286</v>
      </c>
      <c r="C13" s="90">
        <f>VLOOKUP(A13,'Data Vlaue (Cr)'!C8:CY226,101,0)</f>
        <v>-40</v>
      </c>
      <c r="D13" s="139">
        <f>VLOOKUP(A13,'Data Vlaue (Cr)'!C8:CZ226,102,0)</f>
        <v>-6.3E-3</v>
      </c>
      <c r="E13" s="91">
        <f>VLOOKUP($A13,'Data Vlaue (Cr)'!$C:$FB,75)</f>
        <v>3231</v>
      </c>
      <c r="F13" s="91">
        <f>VLOOKUP($A13,'Data Vlaue (Cr)'!$C:$FB,77)</f>
        <v>30</v>
      </c>
      <c r="G13" s="92">
        <f>VLOOKUP(A13,'Data Vlaue (Cr)'!C8:CB226,78,0)</f>
        <v>9.4000000000000004E-3</v>
      </c>
      <c r="H13" s="91">
        <f>VLOOKUP($A13,'Data Vlaue (Cr)'!$C:$FB,91)</f>
        <v>1651</v>
      </c>
      <c r="I13" s="91">
        <f>VLOOKUP($A13,'Data Vlaue (Cr)'!$C:$FB,93)</f>
        <v>-17</v>
      </c>
      <c r="J13" s="92">
        <f>VLOOKUP($A13,'Data Vlaue (Cr)'!$C:$FB,94)</f>
        <v>-1.03E-2</v>
      </c>
      <c r="K13" s="91">
        <f>VLOOKUP($A13,'Data Vlaue (Cr)'!$C:$FB,95)</f>
        <v>1404</v>
      </c>
      <c r="L13" s="91">
        <f>VLOOKUP($A13,'Data Vlaue (Cr)'!$C:$FB,97)</f>
        <v>-53</v>
      </c>
      <c r="M13" s="92">
        <f>VLOOKUP($A13,'Data Vlaue (Cr)'!$C:$FB,98)</f>
        <v>-3.6200000000000003E-2</v>
      </c>
      <c r="N13" s="91">
        <f>VLOOKUP($A13,'Data Vlaue (Cr)'!$C:$FB,79)</f>
        <v>1947</v>
      </c>
      <c r="O13" s="92">
        <f>VLOOKUP($A13,'Data Vlaue (Cr)'!$C:$FB,82)</f>
        <v>-0.23350000000000001</v>
      </c>
    </row>
    <row r="14" spans="1:15" x14ac:dyDescent="0.25">
      <c r="A14" s="97" t="str">
        <f>'Data Vlaue (Cr)'!C9</f>
        <v>ADANIPOWER</v>
      </c>
      <c r="B14" s="142">
        <f>VLOOKUP(A14,'Data Vlaue (Cr)'!C9:CW227,99,0)</f>
        <v>3314</v>
      </c>
      <c r="C14" s="90">
        <f>VLOOKUP(A14,'Data Vlaue (Cr)'!C9:CY227,101,0)</f>
        <v>39</v>
      </c>
      <c r="D14" s="139">
        <f>VLOOKUP(A14,'Data Vlaue (Cr)'!C9:CZ227,102,0)</f>
        <v>1.1900000000000001E-2</v>
      </c>
      <c r="E14" s="91">
        <f>VLOOKUP($A14,'Data Vlaue (Cr)'!$C:$FB,75)</f>
        <v>1780</v>
      </c>
      <c r="F14" s="91">
        <f>VLOOKUP($A14,'Data Vlaue (Cr)'!$C:$FB,77)</f>
        <v>-11</v>
      </c>
      <c r="G14" s="92">
        <f>VLOOKUP(A14,'Data Vlaue (Cr)'!C9:CB227,78,0)</f>
        <v>-6.4000000000000003E-3</v>
      </c>
      <c r="H14" s="91">
        <f>VLOOKUP($A14,'Data Vlaue (Cr)'!$C:$FB,91)</f>
        <v>858</v>
      </c>
      <c r="I14" s="91">
        <f>VLOOKUP($A14,'Data Vlaue (Cr)'!$C:$FB,93)</f>
        <v>62</v>
      </c>
      <c r="J14" s="92">
        <f>VLOOKUP($A14,'Data Vlaue (Cr)'!$C:$FB,94)</f>
        <v>7.8299999999999995E-2</v>
      </c>
      <c r="K14" s="91">
        <f>VLOOKUP($A14,'Data Vlaue (Cr)'!$C:$FB,95)</f>
        <v>676</v>
      </c>
      <c r="L14" s="91">
        <f>VLOOKUP($A14,'Data Vlaue (Cr)'!$C:$FB,97)</f>
        <v>-12</v>
      </c>
      <c r="M14" s="92">
        <f>VLOOKUP($A14,'Data Vlaue (Cr)'!$C:$FB,98)</f>
        <v>-1.7299999999999999E-2</v>
      </c>
      <c r="N14" s="91">
        <f>VLOOKUP($A14,'Data Vlaue (Cr)'!$C:$FB,79)</f>
        <v>1210</v>
      </c>
      <c r="O14" s="92">
        <f>VLOOKUP($A14,'Data Vlaue (Cr)'!$C:$FB,82)</f>
        <v>-0.16850000000000001</v>
      </c>
    </row>
    <row r="15" spans="1:15" x14ac:dyDescent="0.25">
      <c r="A15" s="97" t="str">
        <f>'Data Vlaue (Cr)'!C10</f>
        <v>ALKEM</v>
      </c>
      <c r="B15" s="142">
        <f>VLOOKUP(A15,'Data Vlaue (Cr)'!C10:CW228,99,0)</f>
        <v>985</v>
      </c>
      <c r="C15" s="90">
        <f>VLOOKUP(A15,'Data Vlaue (Cr)'!C10:CY228,101,0)</f>
        <v>21</v>
      </c>
      <c r="D15" s="139">
        <f>VLOOKUP(A15,'Data Vlaue (Cr)'!C10:CZ228,102,0)</f>
        <v>2.2100000000000002E-2</v>
      </c>
      <c r="E15" s="91">
        <f>VLOOKUP($A15,'Data Vlaue (Cr)'!$C:$FB,75)</f>
        <v>682</v>
      </c>
      <c r="F15" s="91">
        <f>VLOOKUP($A15,'Data Vlaue (Cr)'!$C:$FB,77)</f>
        <v>35</v>
      </c>
      <c r="G15" s="92">
        <f>VLOOKUP(A15,'Data Vlaue (Cr)'!C10:CB228,78,0)</f>
        <v>5.4699999999999999E-2</v>
      </c>
      <c r="H15" s="91">
        <f>VLOOKUP($A15,'Data Vlaue (Cr)'!$C:$FB,91)</f>
        <v>179</v>
      </c>
      <c r="I15" s="91">
        <f>VLOOKUP($A15,'Data Vlaue (Cr)'!$C:$FB,93)</f>
        <v>-2</v>
      </c>
      <c r="J15" s="92">
        <f>VLOOKUP($A15,'Data Vlaue (Cr)'!$C:$FB,94)</f>
        <v>-9.9000000000000008E-3</v>
      </c>
      <c r="K15" s="91">
        <f>VLOOKUP($A15,'Data Vlaue (Cr)'!$C:$FB,95)</f>
        <v>124</v>
      </c>
      <c r="L15" s="91">
        <f>VLOOKUP($A15,'Data Vlaue (Cr)'!$C:$FB,97)</f>
        <v>-12</v>
      </c>
      <c r="M15" s="92">
        <f>VLOOKUP($A15,'Data Vlaue (Cr)'!$C:$FB,98)</f>
        <v>-8.9899999999999994E-2</v>
      </c>
      <c r="N15" s="91">
        <f>VLOOKUP($A15,'Data Vlaue (Cr)'!$C:$FB,79)</f>
        <v>449</v>
      </c>
      <c r="O15" s="92">
        <f>VLOOKUP($A15,'Data Vlaue (Cr)'!$C:$FB,82)</f>
        <v>-0.27450000000000002</v>
      </c>
    </row>
    <row r="16" spans="1:15" x14ac:dyDescent="0.25">
      <c r="A16" s="97" t="str">
        <f>'Data Vlaue (Cr)'!C11</f>
        <v>AMBER</v>
      </c>
      <c r="B16" s="142">
        <f>VLOOKUP(A16,'Data Vlaue (Cr)'!C11:CW229,99,0)</f>
        <v>2246</v>
      </c>
      <c r="C16" s="90">
        <f>VLOOKUP(A16,'Data Vlaue (Cr)'!C11:CY229,101,0)</f>
        <v>-72</v>
      </c>
      <c r="D16" s="139">
        <f>VLOOKUP(A16,'Data Vlaue (Cr)'!C11:CZ229,102,0)</f>
        <v>-3.1199999999999999E-2</v>
      </c>
      <c r="E16" s="91">
        <f>VLOOKUP($A16,'Data Vlaue (Cr)'!$C:$FB,75)</f>
        <v>1019</v>
      </c>
      <c r="F16" s="91">
        <f>VLOOKUP($A16,'Data Vlaue (Cr)'!$C:$FB,77)</f>
        <v>-54</v>
      </c>
      <c r="G16" s="92">
        <f>VLOOKUP(A16,'Data Vlaue (Cr)'!C11:CB229,78,0)</f>
        <v>-5.0700000000000002E-2</v>
      </c>
      <c r="H16" s="91">
        <f>VLOOKUP($A16,'Data Vlaue (Cr)'!$C:$FB,91)</f>
        <v>691</v>
      </c>
      <c r="I16" s="91">
        <f>VLOOKUP($A16,'Data Vlaue (Cr)'!$C:$FB,93)</f>
        <v>-23</v>
      </c>
      <c r="J16" s="92">
        <f>VLOOKUP($A16,'Data Vlaue (Cr)'!$C:$FB,94)</f>
        <v>-3.2500000000000001E-2</v>
      </c>
      <c r="K16" s="91">
        <f>VLOOKUP($A16,'Data Vlaue (Cr)'!$C:$FB,95)</f>
        <v>537</v>
      </c>
      <c r="L16" s="91">
        <f>VLOOKUP($A16,'Data Vlaue (Cr)'!$C:$FB,97)</f>
        <v>5</v>
      </c>
      <c r="M16" s="92">
        <f>VLOOKUP($A16,'Data Vlaue (Cr)'!$C:$FB,98)</f>
        <v>1.0200000000000001E-2</v>
      </c>
      <c r="N16" s="91">
        <f>VLOOKUP($A16,'Data Vlaue (Cr)'!$C:$FB,79)</f>
        <v>664</v>
      </c>
      <c r="O16" s="92">
        <f>VLOOKUP($A16,'Data Vlaue (Cr)'!$C:$FB,82)</f>
        <v>-0.26369999999999999</v>
      </c>
    </row>
    <row r="17" spans="1:15" x14ac:dyDescent="0.25">
      <c r="A17" s="97" t="str">
        <f>'Data Vlaue (Cr)'!C12</f>
        <v>AMBUJACEM</v>
      </c>
      <c r="B17" s="142">
        <f>VLOOKUP(A17,'Data Vlaue (Cr)'!C12:CW230,99,0)</f>
        <v>3601</v>
      </c>
      <c r="C17" s="90">
        <f>VLOOKUP(A17,'Data Vlaue (Cr)'!C12:CY230,101,0)</f>
        <v>37</v>
      </c>
      <c r="D17" s="139">
        <f>VLOOKUP(A17,'Data Vlaue (Cr)'!C12:CZ230,102,0)</f>
        <v>1.03E-2</v>
      </c>
      <c r="E17" s="91">
        <f>VLOOKUP($A17,'Data Vlaue (Cr)'!$C:$FB,75)</f>
        <v>2723</v>
      </c>
      <c r="F17" s="91">
        <f>VLOOKUP($A17,'Data Vlaue (Cr)'!$C:$FB,77)</f>
        <v>10</v>
      </c>
      <c r="G17" s="92">
        <f>VLOOKUP(A17,'Data Vlaue (Cr)'!C12:CB230,78,0)</f>
        <v>3.5000000000000001E-3</v>
      </c>
      <c r="H17" s="91">
        <f>VLOOKUP($A17,'Data Vlaue (Cr)'!$C:$FB,91)</f>
        <v>477</v>
      </c>
      <c r="I17" s="91">
        <f>VLOOKUP($A17,'Data Vlaue (Cr)'!$C:$FB,93)</f>
        <v>36</v>
      </c>
      <c r="J17" s="92">
        <f>VLOOKUP($A17,'Data Vlaue (Cr)'!$C:$FB,94)</f>
        <v>8.1199999999999994E-2</v>
      </c>
      <c r="K17" s="91">
        <f>VLOOKUP($A17,'Data Vlaue (Cr)'!$C:$FB,95)</f>
        <v>400</v>
      </c>
      <c r="L17" s="91">
        <f>VLOOKUP($A17,'Data Vlaue (Cr)'!$C:$FB,97)</f>
        <v>-9</v>
      </c>
      <c r="M17" s="92">
        <f>VLOOKUP($A17,'Data Vlaue (Cr)'!$C:$FB,98)</f>
        <v>-2.1299999999999999E-2</v>
      </c>
      <c r="N17" s="91">
        <f>VLOOKUP($A17,'Data Vlaue (Cr)'!$C:$FB,79)</f>
        <v>1301</v>
      </c>
      <c r="O17" s="92">
        <f>VLOOKUP($A17,'Data Vlaue (Cr)'!$C:$FB,82)</f>
        <v>-0.26519999999999999</v>
      </c>
    </row>
    <row r="18" spans="1:15" x14ac:dyDescent="0.25">
      <c r="A18" s="97" t="str">
        <f>'Data Vlaue (Cr)'!C13</f>
        <v>ANGELONE</v>
      </c>
      <c r="B18" s="142">
        <f>VLOOKUP(A18,'Data Vlaue (Cr)'!C13:CW231,99,0)</f>
        <v>2829</v>
      </c>
      <c r="C18" s="90">
        <f>VLOOKUP(A18,'Data Vlaue (Cr)'!C13:CY231,101,0)</f>
        <v>-220</v>
      </c>
      <c r="D18" s="139">
        <f>VLOOKUP(A18,'Data Vlaue (Cr)'!C13:CZ231,102,0)</f>
        <v>-7.1999999999999995E-2</v>
      </c>
      <c r="E18" s="91">
        <f>VLOOKUP($A18,'Data Vlaue (Cr)'!$C:$FB,75)</f>
        <v>880</v>
      </c>
      <c r="F18" s="91">
        <f>VLOOKUP($A18,'Data Vlaue (Cr)'!$C:$FB,77)</f>
        <v>-49</v>
      </c>
      <c r="G18" s="92">
        <f>VLOOKUP(A18,'Data Vlaue (Cr)'!C13:CB231,78,0)</f>
        <v>-5.2200000000000003E-2</v>
      </c>
      <c r="H18" s="91">
        <f>VLOOKUP($A18,'Data Vlaue (Cr)'!$C:$FB,91)</f>
        <v>964</v>
      </c>
      <c r="I18" s="91">
        <f>VLOOKUP($A18,'Data Vlaue (Cr)'!$C:$FB,93)</f>
        <v>-33</v>
      </c>
      <c r="J18" s="92">
        <f>VLOOKUP($A18,'Data Vlaue (Cr)'!$C:$FB,94)</f>
        <v>-3.27E-2</v>
      </c>
      <c r="K18" s="91">
        <f>VLOOKUP($A18,'Data Vlaue (Cr)'!$C:$FB,95)</f>
        <v>985</v>
      </c>
      <c r="L18" s="91">
        <f>VLOOKUP($A18,'Data Vlaue (Cr)'!$C:$FB,97)</f>
        <v>-138</v>
      </c>
      <c r="M18" s="92">
        <f>VLOOKUP($A18,'Data Vlaue (Cr)'!$C:$FB,98)</f>
        <v>-0.1232</v>
      </c>
      <c r="N18" s="91">
        <f>VLOOKUP($A18,'Data Vlaue (Cr)'!$C:$FB,79)</f>
        <v>521</v>
      </c>
      <c r="O18" s="92">
        <f>VLOOKUP($A18,'Data Vlaue (Cr)'!$C:$FB,82)</f>
        <v>-0.28889999999999999</v>
      </c>
    </row>
    <row r="19" spans="1:15" x14ac:dyDescent="0.25">
      <c r="A19" s="97" t="str">
        <f>'Data Vlaue (Cr)'!C14</f>
        <v>APLAPOLLO</v>
      </c>
      <c r="B19" s="142">
        <f>VLOOKUP(A19,'Data Vlaue (Cr)'!C14:CW232,99,0)</f>
        <v>1471</v>
      </c>
      <c r="C19" s="90">
        <f>VLOOKUP(A19,'Data Vlaue (Cr)'!C14:CY232,101,0)</f>
        <v>64</v>
      </c>
      <c r="D19" s="139">
        <f>VLOOKUP(A19,'Data Vlaue (Cr)'!C14:CZ232,102,0)</f>
        <v>4.53E-2</v>
      </c>
      <c r="E19" s="91">
        <f>VLOOKUP($A19,'Data Vlaue (Cr)'!$C:$FB,75)</f>
        <v>975</v>
      </c>
      <c r="F19" s="91">
        <f>VLOOKUP($A19,'Data Vlaue (Cr)'!$C:$FB,77)</f>
        <v>5</v>
      </c>
      <c r="G19" s="92">
        <f>VLOOKUP(A19,'Data Vlaue (Cr)'!C14:CB232,78,0)</f>
        <v>5.3E-3</v>
      </c>
      <c r="H19" s="91">
        <f>VLOOKUP($A19,'Data Vlaue (Cr)'!$C:$FB,91)</f>
        <v>283</v>
      </c>
      <c r="I19" s="91">
        <f>VLOOKUP($A19,'Data Vlaue (Cr)'!$C:$FB,93)</f>
        <v>21</v>
      </c>
      <c r="J19" s="92">
        <f>VLOOKUP($A19,'Data Vlaue (Cr)'!$C:$FB,94)</f>
        <v>7.9000000000000001E-2</v>
      </c>
      <c r="K19" s="91">
        <f>VLOOKUP($A19,'Data Vlaue (Cr)'!$C:$FB,95)</f>
        <v>213</v>
      </c>
      <c r="L19" s="91">
        <f>VLOOKUP($A19,'Data Vlaue (Cr)'!$C:$FB,97)</f>
        <v>38</v>
      </c>
      <c r="M19" s="92">
        <f>VLOOKUP($A19,'Data Vlaue (Cr)'!$C:$FB,98)</f>
        <v>0.21659999999999999</v>
      </c>
      <c r="N19" s="91">
        <f>VLOOKUP($A19,'Data Vlaue (Cr)'!$C:$FB,79)</f>
        <v>469</v>
      </c>
      <c r="O19" s="92">
        <f>VLOOKUP($A19,'Data Vlaue (Cr)'!$C:$FB,82)</f>
        <v>-0.42199999999999999</v>
      </c>
    </row>
    <row r="20" spans="1:15" x14ac:dyDescent="0.25">
      <c r="A20" s="97" t="str">
        <f>'Data Vlaue (Cr)'!C15</f>
        <v>APOLLOHOSP</v>
      </c>
      <c r="B20" s="142">
        <f>VLOOKUP(A20,'Data Vlaue (Cr)'!C15:CW233,99,0)</f>
        <v>3035</v>
      </c>
      <c r="C20" s="90">
        <f>VLOOKUP(A20,'Data Vlaue (Cr)'!C15:CY233,101,0)</f>
        <v>-26</v>
      </c>
      <c r="D20" s="139">
        <f>VLOOKUP(A20,'Data Vlaue (Cr)'!C15:CZ233,102,0)</f>
        <v>-8.5000000000000006E-3</v>
      </c>
      <c r="E20" s="91">
        <f>VLOOKUP($A20,'Data Vlaue (Cr)'!$C:$FB,75)</f>
        <v>1644</v>
      </c>
      <c r="F20" s="91">
        <f>VLOOKUP($A20,'Data Vlaue (Cr)'!$C:$FB,77)</f>
        <v>-29</v>
      </c>
      <c r="G20" s="92">
        <f>VLOOKUP(A20,'Data Vlaue (Cr)'!C15:CB233,78,0)</f>
        <v>-1.7100000000000001E-2</v>
      </c>
      <c r="H20" s="91">
        <f>VLOOKUP($A20,'Data Vlaue (Cr)'!$C:$FB,91)</f>
        <v>652</v>
      </c>
      <c r="I20" s="91">
        <f>VLOOKUP($A20,'Data Vlaue (Cr)'!$C:$FB,93)</f>
        <v>-63</v>
      </c>
      <c r="J20" s="92">
        <f>VLOOKUP($A20,'Data Vlaue (Cr)'!$C:$FB,94)</f>
        <v>-8.7800000000000003E-2</v>
      </c>
      <c r="K20" s="91">
        <f>VLOOKUP($A20,'Data Vlaue (Cr)'!$C:$FB,95)</f>
        <v>739</v>
      </c>
      <c r="L20" s="91">
        <f>VLOOKUP($A20,'Data Vlaue (Cr)'!$C:$FB,97)</f>
        <v>65</v>
      </c>
      <c r="M20" s="92">
        <f>VLOOKUP($A20,'Data Vlaue (Cr)'!$C:$FB,98)</f>
        <v>9.69E-2</v>
      </c>
      <c r="N20" s="91">
        <f>VLOOKUP($A20,'Data Vlaue (Cr)'!$C:$FB,79)</f>
        <v>1053</v>
      </c>
      <c r="O20" s="92">
        <f>VLOOKUP($A20,'Data Vlaue (Cr)'!$C:$FB,82)</f>
        <v>-0.25430000000000003</v>
      </c>
    </row>
    <row r="21" spans="1:15" x14ac:dyDescent="0.25">
      <c r="A21" s="97" t="str">
        <f>'Data Vlaue (Cr)'!C16</f>
        <v>ASHOKLEY</v>
      </c>
      <c r="B21" s="142">
        <f>VLOOKUP(A21,'Data Vlaue (Cr)'!C16:CW234,99,0)</f>
        <v>5617</v>
      </c>
      <c r="C21" s="90">
        <f>VLOOKUP(A21,'Data Vlaue (Cr)'!C16:CY234,101,0)</f>
        <v>269</v>
      </c>
      <c r="D21" s="139">
        <f>VLOOKUP(A21,'Data Vlaue (Cr)'!C16:CZ234,102,0)</f>
        <v>5.0299999999999997E-2</v>
      </c>
      <c r="E21" s="91">
        <f>VLOOKUP($A21,'Data Vlaue (Cr)'!$C:$FB,75)</f>
        <v>2499</v>
      </c>
      <c r="F21" s="91">
        <f>VLOOKUP($A21,'Data Vlaue (Cr)'!$C:$FB,77)</f>
        <v>27</v>
      </c>
      <c r="G21" s="92">
        <f>VLOOKUP(A21,'Data Vlaue (Cr)'!C16:CB234,78,0)</f>
        <v>1.09E-2</v>
      </c>
      <c r="H21" s="91">
        <f>VLOOKUP($A21,'Data Vlaue (Cr)'!$C:$FB,91)</f>
        <v>1912</v>
      </c>
      <c r="I21" s="91">
        <f>VLOOKUP($A21,'Data Vlaue (Cr)'!$C:$FB,93)</f>
        <v>212</v>
      </c>
      <c r="J21" s="92">
        <f>VLOOKUP($A21,'Data Vlaue (Cr)'!$C:$FB,94)</f>
        <v>0.1249</v>
      </c>
      <c r="K21" s="91">
        <f>VLOOKUP($A21,'Data Vlaue (Cr)'!$C:$FB,95)</f>
        <v>1206</v>
      </c>
      <c r="L21" s="91">
        <f>VLOOKUP($A21,'Data Vlaue (Cr)'!$C:$FB,97)</f>
        <v>30</v>
      </c>
      <c r="M21" s="92">
        <f>VLOOKUP($A21,'Data Vlaue (Cr)'!$C:$FB,98)</f>
        <v>2.52E-2</v>
      </c>
      <c r="N21" s="91">
        <f>VLOOKUP($A21,'Data Vlaue (Cr)'!$C:$FB,79)</f>
        <v>1527</v>
      </c>
      <c r="O21" s="92">
        <f>VLOOKUP($A21,'Data Vlaue (Cr)'!$C:$FB,82)</f>
        <v>-0.24610000000000001</v>
      </c>
    </row>
    <row r="22" spans="1:15" x14ac:dyDescent="0.25">
      <c r="A22" s="97" t="str">
        <f>'Data Vlaue (Cr)'!C17</f>
        <v>ASIANPAINT</v>
      </c>
      <c r="B22" s="142">
        <f>VLOOKUP(A22,'Data Vlaue (Cr)'!C17:CW235,99,0)</f>
        <v>6349</v>
      </c>
      <c r="C22" s="90">
        <f>VLOOKUP(A22,'Data Vlaue (Cr)'!C17:CY235,101,0)</f>
        <v>-154</v>
      </c>
      <c r="D22" s="139">
        <f>VLOOKUP(A22,'Data Vlaue (Cr)'!C17:CZ235,102,0)</f>
        <v>-2.3699999999999999E-2</v>
      </c>
      <c r="E22" s="91">
        <f>VLOOKUP($A22,'Data Vlaue (Cr)'!$C:$FB,75)</f>
        <v>3610</v>
      </c>
      <c r="F22" s="91">
        <f>VLOOKUP($A22,'Data Vlaue (Cr)'!$C:$FB,77)</f>
        <v>-25</v>
      </c>
      <c r="G22" s="92">
        <f>VLOOKUP(A22,'Data Vlaue (Cr)'!C17:CB235,78,0)</f>
        <v>-7.0000000000000001E-3</v>
      </c>
      <c r="H22" s="91">
        <f>VLOOKUP($A22,'Data Vlaue (Cr)'!$C:$FB,91)</f>
        <v>1282</v>
      </c>
      <c r="I22" s="91">
        <f>VLOOKUP($A22,'Data Vlaue (Cr)'!$C:$FB,93)</f>
        <v>6</v>
      </c>
      <c r="J22" s="92">
        <f>VLOOKUP($A22,'Data Vlaue (Cr)'!$C:$FB,94)</f>
        <v>4.7000000000000002E-3</v>
      </c>
      <c r="K22" s="91">
        <f>VLOOKUP($A22,'Data Vlaue (Cr)'!$C:$FB,95)</f>
        <v>1457</v>
      </c>
      <c r="L22" s="91">
        <f>VLOOKUP($A22,'Data Vlaue (Cr)'!$C:$FB,97)</f>
        <v>-135</v>
      </c>
      <c r="M22" s="92">
        <f>VLOOKUP($A22,'Data Vlaue (Cr)'!$C:$FB,98)</f>
        <v>-8.48E-2</v>
      </c>
      <c r="N22" s="91">
        <f>VLOOKUP($A22,'Data Vlaue (Cr)'!$C:$FB,79)</f>
        <v>2173</v>
      </c>
      <c r="O22" s="92">
        <f>VLOOKUP($A22,'Data Vlaue (Cr)'!$C:$FB,82)</f>
        <v>-0.25850000000000001</v>
      </c>
    </row>
    <row r="23" spans="1:15" x14ac:dyDescent="0.25">
      <c r="A23" s="97" t="str">
        <f>'Data Vlaue (Cr)'!C18</f>
        <v>ASTRAL</v>
      </c>
      <c r="B23" s="142">
        <f>VLOOKUP(A23,'Data Vlaue (Cr)'!C18:CW236,99,0)</f>
        <v>2870</v>
      </c>
      <c r="C23" s="90">
        <f>VLOOKUP(A23,'Data Vlaue (Cr)'!C18:CY236,101,0)</f>
        <v>-379</v>
      </c>
      <c r="D23" s="139">
        <f>VLOOKUP(A23,'Data Vlaue (Cr)'!C18:CZ236,102,0)</f>
        <v>-0.1167</v>
      </c>
      <c r="E23" s="91">
        <f>VLOOKUP($A23,'Data Vlaue (Cr)'!$C:$FB,75)</f>
        <v>2055</v>
      </c>
      <c r="F23" s="91">
        <f>VLOOKUP($A23,'Data Vlaue (Cr)'!$C:$FB,77)</f>
        <v>-296</v>
      </c>
      <c r="G23" s="92">
        <f>VLOOKUP(A23,'Data Vlaue (Cr)'!C18:CB236,78,0)</f>
        <v>-0.1258</v>
      </c>
      <c r="H23" s="91">
        <f>VLOOKUP($A23,'Data Vlaue (Cr)'!$C:$FB,91)</f>
        <v>482</v>
      </c>
      <c r="I23" s="91">
        <f>VLOOKUP($A23,'Data Vlaue (Cr)'!$C:$FB,93)</f>
        <v>-73</v>
      </c>
      <c r="J23" s="92">
        <f>VLOOKUP($A23,'Data Vlaue (Cr)'!$C:$FB,94)</f>
        <v>-0.13100000000000001</v>
      </c>
      <c r="K23" s="91">
        <f>VLOOKUP($A23,'Data Vlaue (Cr)'!$C:$FB,95)</f>
        <v>334</v>
      </c>
      <c r="L23" s="91">
        <f>VLOOKUP($A23,'Data Vlaue (Cr)'!$C:$FB,97)</f>
        <v>-11</v>
      </c>
      <c r="M23" s="92">
        <f>VLOOKUP($A23,'Data Vlaue (Cr)'!$C:$FB,98)</f>
        <v>-3.2099999999999997E-2</v>
      </c>
      <c r="N23" s="91">
        <f>VLOOKUP($A23,'Data Vlaue (Cr)'!$C:$FB,79)</f>
        <v>1068</v>
      </c>
      <c r="O23" s="92">
        <f>VLOOKUP($A23,'Data Vlaue (Cr)'!$C:$FB,82)</f>
        <v>-0.35460000000000003</v>
      </c>
    </row>
    <row r="24" spans="1:15" x14ac:dyDescent="0.25">
      <c r="A24" s="97" t="str">
        <f>'Data Vlaue (Cr)'!C19</f>
        <v>AUBANK</v>
      </c>
      <c r="B24" s="142">
        <f>VLOOKUP(A24,'Data Vlaue (Cr)'!C19:CW237,99,0)</f>
        <v>4712</v>
      </c>
      <c r="C24" s="90">
        <f>VLOOKUP(A24,'Data Vlaue (Cr)'!C19:CY237,101,0)</f>
        <v>261</v>
      </c>
      <c r="D24" s="139">
        <f>VLOOKUP(A24,'Data Vlaue (Cr)'!C19:CZ237,102,0)</f>
        <v>5.8599999999999999E-2</v>
      </c>
      <c r="E24" s="91">
        <f>VLOOKUP($A24,'Data Vlaue (Cr)'!$C:$FB,75)</f>
        <v>2779</v>
      </c>
      <c r="F24" s="91">
        <f>VLOOKUP($A24,'Data Vlaue (Cr)'!$C:$FB,77)</f>
        <v>80</v>
      </c>
      <c r="G24" s="92">
        <f>VLOOKUP(A24,'Data Vlaue (Cr)'!C19:CB237,78,0)</f>
        <v>2.9499999999999998E-2</v>
      </c>
      <c r="H24" s="91">
        <f>VLOOKUP($A24,'Data Vlaue (Cr)'!$C:$FB,91)</f>
        <v>1058</v>
      </c>
      <c r="I24" s="91">
        <f>VLOOKUP($A24,'Data Vlaue (Cr)'!$C:$FB,93)</f>
        <v>130</v>
      </c>
      <c r="J24" s="92">
        <f>VLOOKUP($A24,'Data Vlaue (Cr)'!$C:$FB,94)</f>
        <v>0.1399</v>
      </c>
      <c r="K24" s="91">
        <f>VLOOKUP($A24,'Data Vlaue (Cr)'!$C:$FB,95)</f>
        <v>875</v>
      </c>
      <c r="L24" s="91">
        <f>VLOOKUP($A24,'Data Vlaue (Cr)'!$C:$FB,97)</f>
        <v>52</v>
      </c>
      <c r="M24" s="92">
        <f>VLOOKUP($A24,'Data Vlaue (Cr)'!$C:$FB,98)</f>
        <v>6.2700000000000006E-2</v>
      </c>
      <c r="N24" s="91">
        <f>VLOOKUP($A24,'Data Vlaue (Cr)'!$C:$FB,79)</f>
        <v>1773</v>
      </c>
      <c r="O24" s="92">
        <f>VLOOKUP($A24,'Data Vlaue (Cr)'!$C:$FB,82)</f>
        <v>-0.25669999999999998</v>
      </c>
    </row>
    <row r="25" spans="1:15" x14ac:dyDescent="0.25">
      <c r="A25" s="97" t="str">
        <f>'Data Vlaue (Cr)'!C20</f>
        <v>AUROPHARMA</v>
      </c>
      <c r="B25" s="142">
        <f>VLOOKUP(A25,'Data Vlaue (Cr)'!C20:CW238,99,0)</f>
        <v>4360</v>
      </c>
      <c r="C25" s="90">
        <f>VLOOKUP(A25,'Data Vlaue (Cr)'!C20:CY238,101,0)</f>
        <v>131</v>
      </c>
      <c r="D25" s="139">
        <f>VLOOKUP(A25,'Data Vlaue (Cr)'!C20:CZ238,102,0)</f>
        <v>3.09E-2</v>
      </c>
      <c r="E25" s="91">
        <f>VLOOKUP($A25,'Data Vlaue (Cr)'!$C:$FB,75)</f>
        <v>3232</v>
      </c>
      <c r="F25" s="91">
        <f>VLOOKUP($A25,'Data Vlaue (Cr)'!$C:$FB,77)</f>
        <v>71</v>
      </c>
      <c r="G25" s="92">
        <f>VLOOKUP(A25,'Data Vlaue (Cr)'!C20:CB238,78,0)</f>
        <v>2.2599999999999999E-2</v>
      </c>
      <c r="H25" s="91">
        <f>VLOOKUP($A25,'Data Vlaue (Cr)'!$C:$FB,91)</f>
        <v>643</v>
      </c>
      <c r="I25" s="91">
        <f>VLOOKUP($A25,'Data Vlaue (Cr)'!$C:$FB,93)</f>
        <v>2</v>
      </c>
      <c r="J25" s="92">
        <f>VLOOKUP($A25,'Data Vlaue (Cr)'!$C:$FB,94)</f>
        <v>3.8E-3</v>
      </c>
      <c r="K25" s="91">
        <f>VLOOKUP($A25,'Data Vlaue (Cr)'!$C:$FB,95)</f>
        <v>485</v>
      </c>
      <c r="L25" s="91">
        <f>VLOOKUP($A25,'Data Vlaue (Cr)'!$C:$FB,97)</f>
        <v>57</v>
      </c>
      <c r="M25" s="92">
        <f>VLOOKUP($A25,'Data Vlaue (Cr)'!$C:$FB,98)</f>
        <v>0.13250000000000001</v>
      </c>
      <c r="N25" s="91">
        <f>VLOOKUP($A25,'Data Vlaue (Cr)'!$C:$FB,79)</f>
        <v>981</v>
      </c>
      <c r="O25" s="92">
        <f>VLOOKUP($A25,'Data Vlaue (Cr)'!$C:$FB,82)</f>
        <v>-0.29349999999999998</v>
      </c>
    </row>
    <row r="26" spans="1:15" x14ac:dyDescent="0.25">
      <c r="A26" s="97" t="str">
        <f>'Data Vlaue (Cr)'!C21</f>
        <v>AXISBANK</v>
      </c>
      <c r="B26" s="142">
        <f>VLOOKUP(A26,'Data Vlaue (Cr)'!C21:CW239,99,0)</f>
        <v>13579</v>
      </c>
      <c r="C26" s="90">
        <f>VLOOKUP(A26,'Data Vlaue (Cr)'!C21:CY239,101,0)</f>
        <v>464</v>
      </c>
      <c r="D26" s="139">
        <f>VLOOKUP(A26,'Data Vlaue (Cr)'!C21:CZ239,102,0)</f>
        <v>3.5299999999999998E-2</v>
      </c>
      <c r="E26" s="91">
        <f>VLOOKUP($A26,'Data Vlaue (Cr)'!$C:$FB,75)</f>
        <v>9059</v>
      </c>
      <c r="F26" s="91">
        <f>VLOOKUP($A26,'Data Vlaue (Cr)'!$C:$FB,77)</f>
        <v>262</v>
      </c>
      <c r="G26" s="92">
        <f>VLOOKUP(A26,'Data Vlaue (Cr)'!C21:CB239,78,0)</f>
        <v>2.98E-2</v>
      </c>
      <c r="H26" s="91">
        <f>VLOOKUP($A26,'Data Vlaue (Cr)'!$C:$FB,91)</f>
        <v>2564</v>
      </c>
      <c r="I26" s="91">
        <f>VLOOKUP($A26,'Data Vlaue (Cr)'!$C:$FB,93)</f>
        <v>207</v>
      </c>
      <c r="J26" s="92">
        <f>VLOOKUP($A26,'Data Vlaue (Cr)'!$C:$FB,94)</f>
        <v>8.77E-2</v>
      </c>
      <c r="K26" s="91">
        <f>VLOOKUP($A26,'Data Vlaue (Cr)'!$C:$FB,95)</f>
        <v>1956</v>
      </c>
      <c r="L26" s="91">
        <f>VLOOKUP($A26,'Data Vlaue (Cr)'!$C:$FB,97)</f>
        <v>-5</v>
      </c>
      <c r="M26" s="92">
        <f>VLOOKUP($A26,'Data Vlaue (Cr)'!$C:$FB,98)</f>
        <v>-2.8E-3</v>
      </c>
      <c r="N26" s="91">
        <f>VLOOKUP($A26,'Data Vlaue (Cr)'!$C:$FB,79)</f>
        <v>3792</v>
      </c>
      <c r="O26" s="92">
        <f>VLOOKUP($A26,'Data Vlaue (Cr)'!$C:$FB,82)</f>
        <v>-0.3216</v>
      </c>
    </row>
    <row r="27" spans="1:15" x14ac:dyDescent="0.25">
      <c r="A27" s="97" t="str">
        <f>'Data Vlaue (Cr)'!C22</f>
        <v>BAJAJ-AUTO</v>
      </c>
      <c r="B27" s="142">
        <f>VLOOKUP(A27,'Data Vlaue (Cr)'!C22:CW240,99,0)</f>
        <v>5124</v>
      </c>
      <c r="C27" s="90">
        <f>VLOOKUP(A27,'Data Vlaue (Cr)'!C22:CY240,101,0)</f>
        <v>-165</v>
      </c>
      <c r="D27" s="139">
        <f>VLOOKUP(A27,'Data Vlaue (Cr)'!C22:CZ240,102,0)</f>
        <v>-3.1099999999999999E-2</v>
      </c>
      <c r="E27" s="91">
        <f>VLOOKUP($A27,'Data Vlaue (Cr)'!$C:$FB,75)</f>
        <v>2713</v>
      </c>
      <c r="F27" s="91">
        <f>VLOOKUP($A27,'Data Vlaue (Cr)'!$C:$FB,77)</f>
        <v>-229</v>
      </c>
      <c r="G27" s="92">
        <f>VLOOKUP(A27,'Data Vlaue (Cr)'!C22:CB240,78,0)</f>
        <v>-7.7700000000000005E-2</v>
      </c>
      <c r="H27" s="91">
        <f>VLOOKUP($A27,'Data Vlaue (Cr)'!$C:$FB,91)</f>
        <v>1251</v>
      </c>
      <c r="I27" s="91">
        <f>VLOOKUP($A27,'Data Vlaue (Cr)'!$C:$FB,93)</f>
        <v>-10</v>
      </c>
      <c r="J27" s="92">
        <f>VLOOKUP($A27,'Data Vlaue (Cr)'!$C:$FB,94)</f>
        <v>-8.2000000000000007E-3</v>
      </c>
      <c r="K27" s="91">
        <f>VLOOKUP($A27,'Data Vlaue (Cr)'!$C:$FB,95)</f>
        <v>1160</v>
      </c>
      <c r="L27" s="91">
        <f>VLOOKUP($A27,'Data Vlaue (Cr)'!$C:$FB,97)</f>
        <v>74</v>
      </c>
      <c r="M27" s="92">
        <f>VLOOKUP($A27,'Data Vlaue (Cr)'!$C:$FB,98)</f>
        <v>6.8400000000000002E-2</v>
      </c>
      <c r="N27" s="91">
        <f>VLOOKUP($A27,'Data Vlaue (Cr)'!$C:$FB,79)</f>
        <v>1673</v>
      </c>
      <c r="O27" s="92">
        <f>VLOOKUP($A27,'Data Vlaue (Cr)'!$C:$FB,82)</f>
        <v>-0.33040000000000003</v>
      </c>
    </row>
    <row r="28" spans="1:15" x14ac:dyDescent="0.25">
      <c r="A28" s="97" t="str">
        <f>'Data Vlaue (Cr)'!C23</f>
        <v>BAJAJFINSV</v>
      </c>
      <c r="B28" s="142">
        <f>VLOOKUP(A28,'Data Vlaue (Cr)'!C23:CW241,99,0)</f>
        <v>3348</v>
      </c>
      <c r="C28" s="90">
        <f>VLOOKUP(A28,'Data Vlaue (Cr)'!C23:CY241,101,0)</f>
        <v>90</v>
      </c>
      <c r="D28" s="139">
        <f>VLOOKUP(A28,'Data Vlaue (Cr)'!C23:CZ241,102,0)</f>
        <v>2.7699999999999999E-2</v>
      </c>
      <c r="E28" s="91">
        <f>VLOOKUP($A28,'Data Vlaue (Cr)'!$C:$FB,75)</f>
        <v>1947</v>
      </c>
      <c r="F28" s="91">
        <f>VLOOKUP($A28,'Data Vlaue (Cr)'!$C:$FB,77)</f>
        <v>-3</v>
      </c>
      <c r="G28" s="92">
        <f>VLOOKUP(A28,'Data Vlaue (Cr)'!C23:CB241,78,0)</f>
        <v>-1.4E-3</v>
      </c>
      <c r="H28" s="91">
        <f>VLOOKUP($A28,'Data Vlaue (Cr)'!$C:$FB,91)</f>
        <v>744</v>
      </c>
      <c r="I28" s="91">
        <f>VLOOKUP($A28,'Data Vlaue (Cr)'!$C:$FB,93)</f>
        <v>83</v>
      </c>
      <c r="J28" s="92">
        <f>VLOOKUP($A28,'Data Vlaue (Cr)'!$C:$FB,94)</f>
        <v>0.12620000000000001</v>
      </c>
      <c r="K28" s="91">
        <f>VLOOKUP($A28,'Data Vlaue (Cr)'!$C:$FB,95)</f>
        <v>657</v>
      </c>
      <c r="L28" s="91">
        <f>VLOOKUP($A28,'Data Vlaue (Cr)'!$C:$FB,97)</f>
        <v>9</v>
      </c>
      <c r="M28" s="92">
        <f>VLOOKUP($A28,'Data Vlaue (Cr)'!$C:$FB,98)</f>
        <v>1.46E-2</v>
      </c>
      <c r="N28" s="91">
        <f>VLOOKUP($A28,'Data Vlaue (Cr)'!$C:$FB,79)</f>
        <v>1106</v>
      </c>
      <c r="O28" s="92">
        <f>VLOOKUP($A28,'Data Vlaue (Cr)'!$C:$FB,82)</f>
        <v>-0.247</v>
      </c>
    </row>
    <row r="29" spans="1:15" x14ac:dyDescent="0.25">
      <c r="A29" s="97" t="str">
        <f>'Data Vlaue (Cr)'!C24</f>
        <v>BAJAJHLDNG</v>
      </c>
      <c r="B29" s="142">
        <f>VLOOKUP(A29,'Data Vlaue (Cr)'!C24:CW242,99,0)</f>
        <v>417</v>
      </c>
      <c r="C29" s="90">
        <f>VLOOKUP(A29,'Data Vlaue (Cr)'!C24:CY242,101,0)</f>
        <v>-15</v>
      </c>
      <c r="D29" s="139">
        <f>VLOOKUP(A29,'Data Vlaue (Cr)'!C24:CZ242,102,0)</f>
        <v>-3.3599999999999998E-2</v>
      </c>
      <c r="E29" s="91">
        <f>VLOOKUP($A29,'Data Vlaue (Cr)'!$C:$FB,75)</f>
        <v>290</v>
      </c>
      <c r="F29" s="91">
        <f>VLOOKUP($A29,'Data Vlaue (Cr)'!$C:$FB,77)</f>
        <v>-7</v>
      </c>
      <c r="G29" s="92">
        <f>VLOOKUP(A29,'Data Vlaue (Cr)'!C24:CB242,78,0)</f>
        <v>-2.5100000000000001E-2</v>
      </c>
      <c r="H29" s="91">
        <f>VLOOKUP($A29,'Data Vlaue (Cr)'!$C:$FB,91)</f>
        <v>75</v>
      </c>
      <c r="I29" s="91">
        <f>VLOOKUP($A29,'Data Vlaue (Cr)'!$C:$FB,93)</f>
        <v>-2</v>
      </c>
      <c r="J29" s="92">
        <f>VLOOKUP($A29,'Data Vlaue (Cr)'!$C:$FB,94)</f>
        <v>-1.9599999999999999E-2</v>
      </c>
      <c r="K29" s="91">
        <f>VLOOKUP($A29,'Data Vlaue (Cr)'!$C:$FB,95)</f>
        <v>52</v>
      </c>
      <c r="L29" s="91">
        <f>VLOOKUP($A29,'Data Vlaue (Cr)'!$C:$FB,97)</f>
        <v>-6</v>
      </c>
      <c r="M29" s="92">
        <f>VLOOKUP($A29,'Data Vlaue (Cr)'!$C:$FB,98)</f>
        <v>-9.6699999999999994E-2</v>
      </c>
      <c r="N29" s="91">
        <f>VLOOKUP($A29,'Data Vlaue (Cr)'!$C:$FB,79)</f>
        <v>185</v>
      </c>
      <c r="O29" s="92">
        <f>VLOOKUP($A29,'Data Vlaue (Cr)'!$C:$FB,82)</f>
        <v>-0.27379999999999999</v>
      </c>
    </row>
    <row r="30" spans="1:15" x14ac:dyDescent="0.25">
      <c r="A30" s="97" t="str">
        <f>'Data Vlaue (Cr)'!C25</f>
        <v>BAJFINANCE</v>
      </c>
      <c r="B30" s="142">
        <f>VLOOKUP(A30,'Data Vlaue (Cr)'!C25:CW243,99,0)</f>
        <v>10302</v>
      </c>
      <c r="C30" s="90">
        <f>VLOOKUP(A30,'Data Vlaue (Cr)'!C25:CY243,101,0)</f>
        <v>101</v>
      </c>
      <c r="D30" s="139">
        <f>VLOOKUP(A30,'Data Vlaue (Cr)'!C25:CZ243,102,0)</f>
        <v>9.9000000000000008E-3</v>
      </c>
      <c r="E30" s="91">
        <f>VLOOKUP($A30,'Data Vlaue (Cr)'!$C:$FB,75)</f>
        <v>6634</v>
      </c>
      <c r="F30" s="91">
        <f>VLOOKUP($A30,'Data Vlaue (Cr)'!$C:$FB,77)</f>
        <v>163</v>
      </c>
      <c r="G30" s="92">
        <f>VLOOKUP(A30,'Data Vlaue (Cr)'!C25:CB243,78,0)</f>
        <v>2.52E-2</v>
      </c>
      <c r="H30" s="91">
        <f>VLOOKUP($A30,'Data Vlaue (Cr)'!$C:$FB,91)</f>
        <v>2042</v>
      </c>
      <c r="I30" s="91">
        <f>VLOOKUP($A30,'Data Vlaue (Cr)'!$C:$FB,93)</f>
        <v>-63</v>
      </c>
      <c r="J30" s="92">
        <f>VLOOKUP($A30,'Data Vlaue (Cr)'!$C:$FB,94)</f>
        <v>-0.03</v>
      </c>
      <c r="K30" s="91">
        <f>VLOOKUP($A30,'Data Vlaue (Cr)'!$C:$FB,95)</f>
        <v>1626</v>
      </c>
      <c r="L30" s="91">
        <f>VLOOKUP($A30,'Data Vlaue (Cr)'!$C:$FB,97)</f>
        <v>1</v>
      </c>
      <c r="M30" s="92">
        <f>VLOOKUP($A30,'Data Vlaue (Cr)'!$C:$FB,98)</f>
        <v>8.0000000000000004E-4</v>
      </c>
      <c r="N30" s="91">
        <f>VLOOKUP($A30,'Data Vlaue (Cr)'!$C:$FB,79)</f>
        <v>3786</v>
      </c>
      <c r="O30" s="92">
        <f>VLOOKUP($A30,'Data Vlaue (Cr)'!$C:$FB,82)</f>
        <v>-0.29389999999999999</v>
      </c>
    </row>
    <row r="31" spans="1:15" x14ac:dyDescent="0.25">
      <c r="A31" s="97" t="str">
        <f>'Data Vlaue (Cr)'!C26</f>
        <v>BANDHANBNK</v>
      </c>
      <c r="B31" s="142">
        <f>VLOOKUP(A31,'Data Vlaue (Cr)'!C26:CW244,99,0)</f>
        <v>2401</v>
      </c>
      <c r="C31" s="90">
        <f>VLOOKUP(A31,'Data Vlaue (Cr)'!C26:CY244,101,0)</f>
        <v>7</v>
      </c>
      <c r="D31" s="139">
        <f>VLOOKUP(A31,'Data Vlaue (Cr)'!C26:CZ244,102,0)</f>
        <v>2.8E-3</v>
      </c>
      <c r="E31" s="91">
        <f>VLOOKUP($A31,'Data Vlaue (Cr)'!$C:$FB,75)</f>
        <v>1528</v>
      </c>
      <c r="F31" s="91">
        <f>VLOOKUP($A31,'Data Vlaue (Cr)'!$C:$FB,77)</f>
        <v>-5</v>
      </c>
      <c r="G31" s="92">
        <f>VLOOKUP(A31,'Data Vlaue (Cr)'!C26:CB244,78,0)</f>
        <v>-3.2000000000000002E-3</v>
      </c>
      <c r="H31" s="91">
        <f>VLOOKUP($A31,'Data Vlaue (Cr)'!$C:$FB,91)</f>
        <v>514</v>
      </c>
      <c r="I31" s="91">
        <f>VLOOKUP($A31,'Data Vlaue (Cr)'!$C:$FB,93)</f>
        <v>6</v>
      </c>
      <c r="J31" s="92">
        <f>VLOOKUP($A31,'Data Vlaue (Cr)'!$C:$FB,94)</f>
        <v>1.23E-2</v>
      </c>
      <c r="K31" s="91">
        <f>VLOOKUP($A31,'Data Vlaue (Cr)'!$C:$FB,95)</f>
        <v>358</v>
      </c>
      <c r="L31" s="91">
        <f>VLOOKUP($A31,'Data Vlaue (Cr)'!$C:$FB,97)</f>
        <v>5</v>
      </c>
      <c r="M31" s="92">
        <f>VLOOKUP($A31,'Data Vlaue (Cr)'!$C:$FB,98)</f>
        <v>1.4999999999999999E-2</v>
      </c>
      <c r="N31" s="91">
        <f>VLOOKUP($A31,'Data Vlaue (Cr)'!$C:$FB,79)</f>
        <v>899</v>
      </c>
      <c r="O31" s="92">
        <f>VLOOKUP($A31,'Data Vlaue (Cr)'!$C:$FB,82)</f>
        <v>-0.1898</v>
      </c>
    </row>
    <row r="32" spans="1:15" x14ac:dyDescent="0.25">
      <c r="A32" s="97" t="str">
        <f>'Data Vlaue (Cr)'!C27</f>
        <v>BANKBARODA</v>
      </c>
      <c r="B32" s="142">
        <f>VLOOKUP(A32,'Data Vlaue (Cr)'!C27:CW245,99,0)</f>
        <v>5655</v>
      </c>
      <c r="C32" s="90">
        <f>VLOOKUP(A32,'Data Vlaue (Cr)'!C27:CY245,101,0)</f>
        <v>336</v>
      </c>
      <c r="D32" s="139">
        <f>VLOOKUP(A32,'Data Vlaue (Cr)'!C27:CZ245,102,0)</f>
        <v>6.3200000000000006E-2</v>
      </c>
      <c r="E32" s="91">
        <f>VLOOKUP($A32,'Data Vlaue (Cr)'!$C:$FB,75)</f>
        <v>2867</v>
      </c>
      <c r="F32" s="91">
        <f>VLOOKUP($A32,'Data Vlaue (Cr)'!$C:$FB,77)</f>
        <v>102</v>
      </c>
      <c r="G32" s="92">
        <f>VLOOKUP(A32,'Data Vlaue (Cr)'!C27:CB245,78,0)</f>
        <v>3.6999999999999998E-2</v>
      </c>
      <c r="H32" s="91">
        <f>VLOOKUP($A32,'Data Vlaue (Cr)'!$C:$FB,91)</f>
        <v>1536</v>
      </c>
      <c r="I32" s="91">
        <f>VLOOKUP($A32,'Data Vlaue (Cr)'!$C:$FB,93)</f>
        <v>188</v>
      </c>
      <c r="J32" s="92">
        <f>VLOOKUP($A32,'Data Vlaue (Cr)'!$C:$FB,94)</f>
        <v>0.13930000000000001</v>
      </c>
      <c r="K32" s="91">
        <f>VLOOKUP($A32,'Data Vlaue (Cr)'!$C:$FB,95)</f>
        <v>1252</v>
      </c>
      <c r="L32" s="91">
        <f>VLOOKUP($A32,'Data Vlaue (Cr)'!$C:$FB,97)</f>
        <v>46</v>
      </c>
      <c r="M32" s="92">
        <f>VLOOKUP($A32,'Data Vlaue (Cr)'!$C:$FB,98)</f>
        <v>3.7999999999999999E-2</v>
      </c>
      <c r="N32" s="91">
        <f>VLOOKUP($A32,'Data Vlaue (Cr)'!$C:$FB,79)</f>
        <v>1626</v>
      </c>
      <c r="O32" s="92">
        <f>VLOOKUP($A32,'Data Vlaue (Cr)'!$C:$FB,82)</f>
        <v>-0.1908</v>
      </c>
    </row>
    <row r="33" spans="1:15" x14ac:dyDescent="0.25">
      <c r="A33" s="97" t="str">
        <f>'Data Vlaue (Cr)'!C28</f>
        <v>BANKINDIA</v>
      </c>
      <c r="B33" s="142">
        <f>VLOOKUP(A33,'Data Vlaue (Cr)'!C28:CW246,99,0)</f>
        <v>1594</v>
      </c>
      <c r="C33" s="90">
        <f>VLOOKUP(A33,'Data Vlaue (Cr)'!C28:CY246,101,0)</f>
        <v>-59</v>
      </c>
      <c r="D33" s="139">
        <f>VLOOKUP(A33,'Data Vlaue (Cr)'!C28:CZ246,102,0)</f>
        <v>-3.5700000000000003E-2</v>
      </c>
      <c r="E33" s="91">
        <f>VLOOKUP($A33,'Data Vlaue (Cr)'!$C:$FB,75)</f>
        <v>794</v>
      </c>
      <c r="F33" s="91">
        <f>VLOOKUP($A33,'Data Vlaue (Cr)'!$C:$FB,77)</f>
        <v>-55</v>
      </c>
      <c r="G33" s="92">
        <f>VLOOKUP(A33,'Data Vlaue (Cr)'!C28:CB246,78,0)</f>
        <v>-6.4299999999999996E-2</v>
      </c>
      <c r="H33" s="91">
        <f>VLOOKUP($A33,'Data Vlaue (Cr)'!$C:$FB,91)</f>
        <v>420</v>
      </c>
      <c r="I33" s="91">
        <f>VLOOKUP($A33,'Data Vlaue (Cr)'!$C:$FB,93)</f>
        <v>-4</v>
      </c>
      <c r="J33" s="92">
        <f>VLOOKUP($A33,'Data Vlaue (Cr)'!$C:$FB,94)</f>
        <v>-1.0500000000000001E-2</v>
      </c>
      <c r="K33" s="91">
        <f>VLOOKUP($A33,'Data Vlaue (Cr)'!$C:$FB,95)</f>
        <v>380</v>
      </c>
      <c r="L33" s="91">
        <f>VLOOKUP($A33,'Data Vlaue (Cr)'!$C:$FB,97)</f>
        <v>0</v>
      </c>
      <c r="M33" s="92">
        <f>VLOOKUP($A33,'Data Vlaue (Cr)'!$C:$FB,98)</f>
        <v>0</v>
      </c>
      <c r="N33" s="91">
        <f>VLOOKUP($A33,'Data Vlaue (Cr)'!$C:$FB,79)</f>
        <v>419</v>
      </c>
      <c r="O33" s="92">
        <f>VLOOKUP($A33,'Data Vlaue (Cr)'!$C:$FB,82)</f>
        <v>-0.38069999999999998</v>
      </c>
    </row>
    <row r="34" spans="1:15" x14ac:dyDescent="0.25">
      <c r="A34" s="97" t="str">
        <f>'Data Vlaue (Cr)'!C29</f>
        <v>BANKNIFTY</v>
      </c>
      <c r="B34" s="142">
        <f>VLOOKUP(A34,'Data Vlaue (Cr)'!C29:CW247,99,0)</f>
        <v>254366</v>
      </c>
      <c r="C34" s="90">
        <f>VLOOKUP(A34,'Data Vlaue (Cr)'!C29:CY247,101,0)</f>
        <v>6434</v>
      </c>
      <c r="D34" s="139">
        <f>VLOOKUP(A34,'Data Vlaue (Cr)'!C29:CZ247,102,0)</f>
        <v>2.5999999999999999E-2</v>
      </c>
      <c r="E34" s="91">
        <f>VLOOKUP($A34,'Data Vlaue (Cr)'!$C:$FB,75)</f>
        <v>13785</v>
      </c>
      <c r="F34" s="91">
        <f>VLOOKUP($A34,'Data Vlaue (Cr)'!$C:$FB,77)</f>
        <v>405</v>
      </c>
      <c r="G34" s="92">
        <f>VLOOKUP(A34,'Data Vlaue (Cr)'!C29:CB247,78,0)</f>
        <v>3.0300000000000001E-2</v>
      </c>
      <c r="H34" s="91">
        <f>VLOOKUP($A34,'Data Vlaue (Cr)'!$C:$FB,91)</f>
        <v>125798</v>
      </c>
      <c r="I34" s="91">
        <f>VLOOKUP($A34,'Data Vlaue (Cr)'!$C:$FB,93)</f>
        <v>8210</v>
      </c>
      <c r="J34" s="92">
        <f>VLOOKUP($A34,'Data Vlaue (Cr)'!$C:$FB,94)</f>
        <v>6.9800000000000001E-2</v>
      </c>
      <c r="K34" s="91">
        <f>VLOOKUP($A34,'Data Vlaue (Cr)'!$C:$FB,95)</f>
        <v>114783</v>
      </c>
      <c r="L34" s="91">
        <f>VLOOKUP($A34,'Data Vlaue (Cr)'!$C:$FB,97)</f>
        <v>-2181</v>
      </c>
      <c r="M34" s="92">
        <f>VLOOKUP($A34,'Data Vlaue (Cr)'!$C:$FB,98)</f>
        <v>-1.8599999999999998E-2</v>
      </c>
      <c r="N34" s="91">
        <f>VLOOKUP($A34,'Data Vlaue (Cr)'!$C:$FB,79)</f>
        <v>8724</v>
      </c>
      <c r="O34" s="92">
        <f>VLOOKUP($A34,'Data Vlaue (Cr)'!$C:$FB,82)</f>
        <v>-8.3699999999999997E-2</v>
      </c>
    </row>
    <row r="35" spans="1:15" x14ac:dyDescent="0.25">
      <c r="A35" s="97" t="str">
        <f>'Data Vlaue (Cr)'!C30</f>
        <v>BDL</v>
      </c>
      <c r="B35" s="142">
        <f>VLOOKUP(A35,'Data Vlaue (Cr)'!C30:CW248,99,0)</f>
        <v>1569</v>
      </c>
      <c r="C35" s="90">
        <f>VLOOKUP(A35,'Data Vlaue (Cr)'!C30:CY248,101,0)</f>
        <v>61</v>
      </c>
      <c r="D35" s="139">
        <f>VLOOKUP(A35,'Data Vlaue (Cr)'!C30:CZ248,102,0)</f>
        <v>4.07E-2</v>
      </c>
      <c r="E35" s="91">
        <f>VLOOKUP($A35,'Data Vlaue (Cr)'!$C:$FB,75)</f>
        <v>600</v>
      </c>
      <c r="F35" s="91">
        <f>VLOOKUP($A35,'Data Vlaue (Cr)'!$C:$FB,77)</f>
        <v>-8</v>
      </c>
      <c r="G35" s="92">
        <f>VLOOKUP(A35,'Data Vlaue (Cr)'!C30:CB248,78,0)</f>
        <v>-1.29E-2</v>
      </c>
      <c r="H35" s="91">
        <f>VLOOKUP($A35,'Data Vlaue (Cr)'!$C:$FB,91)</f>
        <v>526</v>
      </c>
      <c r="I35" s="91">
        <f>VLOOKUP($A35,'Data Vlaue (Cr)'!$C:$FB,93)</f>
        <v>29</v>
      </c>
      <c r="J35" s="92">
        <f>VLOOKUP($A35,'Data Vlaue (Cr)'!$C:$FB,94)</f>
        <v>5.8099999999999999E-2</v>
      </c>
      <c r="K35" s="91">
        <f>VLOOKUP($A35,'Data Vlaue (Cr)'!$C:$FB,95)</f>
        <v>443</v>
      </c>
      <c r="L35" s="91">
        <f>VLOOKUP($A35,'Data Vlaue (Cr)'!$C:$FB,97)</f>
        <v>40</v>
      </c>
      <c r="M35" s="92">
        <f>VLOOKUP($A35,'Data Vlaue (Cr)'!$C:$FB,98)</f>
        <v>9.9900000000000003E-2</v>
      </c>
      <c r="N35" s="91">
        <f>VLOOKUP($A35,'Data Vlaue (Cr)'!$C:$FB,79)</f>
        <v>319</v>
      </c>
      <c r="O35" s="92">
        <f>VLOOKUP($A35,'Data Vlaue (Cr)'!$C:$FB,82)</f>
        <v>-0.26240000000000002</v>
      </c>
    </row>
    <row r="36" spans="1:15" x14ac:dyDescent="0.25">
      <c r="A36" s="97" t="str">
        <f>'Data Vlaue (Cr)'!C31</f>
        <v>BEL</v>
      </c>
      <c r="B36" s="142">
        <f>VLOOKUP(A36,'Data Vlaue (Cr)'!C31:CW249,99,0)</f>
        <v>8469</v>
      </c>
      <c r="C36" s="90">
        <f>VLOOKUP(A36,'Data Vlaue (Cr)'!C31:CY249,101,0)</f>
        <v>18</v>
      </c>
      <c r="D36" s="139">
        <f>VLOOKUP(A36,'Data Vlaue (Cr)'!C31:CZ249,102,0)</f>
        <v>2.0999999999999999E-3</v>
      </c>
      <c r="E36" s="91">
        <f>VLOOKUP($A36,'Data Vlaue (Cr)'!$C:$FB,75)</f>
        <v>4831</v>
      </c>
      <c r="F36" s="91">
        <f>VLOOKUP($A36,'Data Vlaue (Cr)'!$C:$FB,77)</f>
        <v>4</v>
      </c>
      <c r="G36" s="92">
        <f>VLOOKUP(A36,'Data Vlaue (Cr)'!C31:CB249,78,0)</f>
        <v>8.0000000000000004E-4</v>
      </c>
      <c r="H36" s="91">
        <f>VLOOKUP($A36,'Data Vlaue (Cr)'!$C:$FB,91)</f>
        <v>2166</v>
      </c>
      <c r="I36" s="91">
        <f>VLOOKUP($A36,'Data Vlaue (Cr)'!$C:$FB,93)</f>
        <v>31</v>
      </c>
      <c r="J36" s="92">
        <f>VLOOKUP($A36,'Data Vlaue (Cr)'!$C:$FB,94)</f>
        <v>1.4500000000000001E-2</v>
      </c>
      <c r="K36" s="91">
        <f>VLOOKUP($A36,'Data Vlaue (Cr)'!$C:$FB,95)</f>
        <v>1472</v>
      </c>
      <c r="L36" s="91">
        <f>VLOOKUP($A36,'Data Vlaue (Cr)'!$C:$FB,97)</f>
        <v>-17</v>
      </c>
      <c r="M36" s="92">
        <f>VLOOKUP($A36,'Data Vlaue (Cr)'!$C:$FB,98)</f>
        <v>-1.12E-2</v>
      </c>
      <c r="N36" s="91">
        <f>VLOOKUP($A36,'Data Vlaue (Cr)'!$C:$FB,79)</f>
        <v>2798</v>
      </c>
      <c r="O36" s="92">
        <f>VLOOKUP($A36,'Data Vlaue (Cr)'!$C:$FB,82)</f>
        <v>-0.2104</v>
      </c>
    </row>
    <row r="37" spans="1:15" x14ac:dyDescent="0.25">
      <c r="A37" s="97" t="str">
        <f>'Data Vlaue (Cr)'!C32</f>
        <v>BHARATFORG</v>
      </c>
      <c r="B37" s="142">
        <f>VLOOKUP(A37,'Data Vlaue (Cr)'!C32:CW250,99,0)</f>
        <v>2993</v>
      </c>
      <c r="C37" s="90">
        <f>VLOOKUP(A37,'Data Vlaue (Cr)'!C32:CY250,101,0)</f>
        <v>218</v>
      </c>
      <c r="D37" s="139">
        <f>VLOOKUP(A37,'Data Vlaue (Cr)'!C32:CZ250,102,0)</f>
        <v>7.85E-2</v>
      </c>
      <c r="E37" s="91">
        <f>VLOOKUP($A37,'Data Vlaue (Cr)'!$C:$FB,75)</f>
        <v>1789</v>
      </c>
      <c r="F37" s="91">
        <f>VLOOKUP($A37,'Data Vlaue (Cr)'!$C:$FB,77)</f>
        <v>155</v>
      </c>
      <c r="G37" s="92">
        <f>VLOOKUP(A37,'Data Vlaue (Cr)'!C32:CB250,78,0)</f>
        <v>9.4600000000000004E-2</v>
      </c>
      <c r="H37" s="91">
        <f>VLOOKUP($A37,'Data Vlaue (Cr)'!$C:$FB,91)</f>
        <v>717</v>
      </c>
      <c r="I37" s="91">
        <f>VLOOKUP($A37,'Data Vlaue (Cr)'!$C:$FB,93)</f>
        <v>34</v>
      </c>
      <c r="J37" s="92">
        <f>VLOOKUP($A37,'Data Vlaue (Cr)'!$C:$FB,94)</f>
        <v>5.0299999999999997E-2</v>
      </c>
      <c r="K37" s="91">
        <f>VLOOKUP($A37,'Data Vlaue (Cr)'!$C:$FB,95)</f>
        <v>487</v>
      </c>
      <c r="L37" s="91">
        <f>VLOOKUP($A37,'Data Vlaue (Cr)'!$C:$FB,97)</f>
        <v>29</v>
      </c>
      <c r="M37" s="92">
        <f>VLOOKUP($A37,'Data Vlaue (Cr)'!$C:$FB,98)</f>
        <v>6.2700000000000006E-2</v>
      </c>
      <c r="N37" s="91">
        <f>VLOOKUP($A37,'Data Vlaue (Cr)'!$C:$FB,79)</f>
        <v>1199</v>
      </c>
      <c r="O37" s="92">
        <f>VLOOKUP($A37,'Data Vlaue (Cr)'!$C:$FB,82)</f>
        <v>-0.1643</v>
      </c>
    </row>
    <row r="38" spans="1:15" x14ac:dyDescent="0.25">
      <c r="A38" s="97" t="str">
        <f>'Data Vlaue (Cr)'!C33</f>
        <v>BHARTIARTL</v>
      </c>
      <c r="B38" s="142">
        <f>VLOOKUP(A38,'Data Vlaue (Cr)'!C33:CW251,99,0)</f>
        <v>15493</v>
      </c>
      <c r="C38" s="90">
        <f>VLOOKUP(A38,'Data Vlaue (Cr)'!C33:CY251,101,0)</f>
        <v>-130</v>
      </c>
      <c r="D38" s="139">
        <f>VLOOKUP(A38,'Data Vlaue (Cr)'!C33:CZ251,102,0)</f>
        <v>-8.3000000000000001E-3</v>
      </c>
      <c r="E38" s="91">
        <f>VLOOKUP($A38,'Data Vlaue (Cr)'!$C:$FB,75)</f>
        <v>11311</v>
      </c>
      <c r="F38" s="91">
        <f>VLOOKUP($A38,'Data Vlaue (Cr)'!$C:$FB,77)</f>
        <v>-22</v>
      </c>
      <c r="G38" s="92">
        <f>VLOOKUP(A38,'Data Vlaue (Cr)'!C33:CB251,78,0)</f>
        <v>-1.9E-3</v>
      </c>
      <c r="H38" s="91">
        <f>VLOOKUP($A38,'Data Vlaue (Cr)'!$C:$FB,91)</f>
        <v>2549</v>
      </c>
      <c r="I38" s="91">
        <f>VLOOKUP($A38,'Data Vlaue (Cr)'!$C:$FB,93)</f>
        <v>-66</v>
      </c>
      <c r="J38" s="92">
        <f>VLOOKUP($A38,'Data Vlaue (Cr)'!$C:$FB,94)</f>
        <v>-2.53E-2</v>
      </c>
      <c r="K38" s="91">
        <f>VLOOKUP($A38,'Data Vlaue (Cr)'!$C:$FB,95)</f>
        <v>1633</v>
      </c>
      <c r="L38" s="91">
        <f>VLOOKUP($A38,'Data Vlaue (Cr)'!$C:$FB,97)</f>
        <v>-42</v>
      </c>
      <c r="M38" s="92">
        <f>VLOOKUP($A38,'Data Vlaue (Cr)'!$C:$FB,98)</f>
        <v>-2.52E-2</v>
      </c>
      <c r="N38" s="91">
        <f>VLOOKUP($A38,'Data Vlaue (Cr)'!$C:$FB,79)</f>
        <v>5546</v>
      </c>
      <c r="O38" s="92">
        <f>VLOOKUP($A38,'Data Vlaue (Cr)'!$C:$FB,82)</f>
        <v>-0.2351</v>
      </c>
    </row>
    <row r="39" spans="1:15" x14ac:dyDescent="0.25">
      <c r="A39" s="97" t="str">
        <f>'Data Vlaue (Cr)'!C34</f>
        <v>BHEL</v>
      </c>
      <c r="B39" s="142">
        <f>VLOOKUP(A39,'Data Vlaue (Cr)'!C34:CW252,99,0)</f>
        <v>7110</v>
      </c>
      <c r="C39" s="90">
        <f>VLOOKUP(A39,'Data Vlaue (Cr)'!C34:CY252,101,0)</f>
        <v>-39</v>
      </c>
      <c r="D39" s="139">
        <f>VLOOKUP(A39,'Data Vlaue (Cr)'!C34:CZ252,102,0)</f>
        <v>-5.4999999999999997E-3</v>
      </c>
      <c r="E39" s="91">
        <f>VLOOKUP($A39,'Data Vlaue (Cr)'!$C:$FB,75)</f>
        <v>3901</v>
      </c>
      <c r="F39" s="91">
        <f>VLOOKUP($A39,'Data Vlaue (Cr)'!$C:$FB,77)</f>
        <v>80</v>
      </c>
      <c r="G39" s="92">
        <f>VLOOKUP(A39,'Data Vlaue (Cr)'!C34:CB252,78,0)</f>
        <v>2.1000000000000001E-2</v>
      </c>
      <c r="H39" s="91">
        <f>VLOOKUP($A39,'Data Vlaue (Cr)'!$C:$FB,91)</f>
        <v>1683</v>
      </c>
      <c r="I39" s="91">
        <f>VLOOKUP($A39,'Data Vlaue (Cr)'!$C:$FB,93)</f>
        <v>-133</v>
      </c>
      <c r="J39" s="92">
        <f>VLOOKUP($A39,'Data Vlaue (Cr)'!$C:$FB,94)</f>
        <v>-7.3499999999999996E-2</v>
      </c>
      <c r="K39" s="91">
        <f>VLOOKUP($A39,'Data Vlaue (Cr)'!$C:$FB,95)</f>
        <v>1527</v>
      </c>
      <c r="L39" s="91">
        <f>VLOOKUP($A39,'Data Vlaue (Cr)'!$C:$FB,97)</f>
        <v>14</v>
      </c>
      <c r="M39" s="92">
        <f>VLOOKUP($A39,'Data Vlaue (Cr)'!$C:$FB,98)</f>
        <v>9.1999999999999998E-3</v>
      </c>
      <c r="N39" s="91">
        <f>VLOOKUP($A39,'Data Vlaue (Cr)'!$C:$FB,79)</f>
        <v>2419</v>
      </c>
      <c r="O39" s="92">
        <f>VLOOKUP($A39,'Data Vlaue (Cr)'!$C:$FB,82)</f>
        <v>-0.25700000000000001</v>
      </c>
    </row>
    <row r="40" spans="1:15" x14ac:dyDescent="0.25">
      <c r="A40" s="97" t="str">
        <f>'Data Vlaue (Cr)'!C35</f>
        <v>BIOCON</v>
      </c>
      <c r="B40" s="142">
        <f>VLOOKUP(A40,'Data Vlaue (Cr)'!C35:CW253,99,0)</f>
        <v>2697</v>
      </c>
      <c r="C40" s="90">
        <f>VLOOKUP(A40,'Data Vlaue (Cr)'!C35:CY253,101,0)</f>
        <v>64</v>
      </c>
      <c r="D40" s="139">
        <f>VLOOKUP(A40,'Data Vlaue (Cr)'!C35:CZ253,102,0)</f>
        <v>2.41E-2</v>
      </c>
      <c r="E40" s="91">
        <f>VLOOKUP($A40,'Data Vlaue (Cr)'!$C:$FB,75)</f>
        <v>1304</v>
      </c>
      <c r="F40" s="91">
        <f>VLOOKUP($A40,'Data Vlaue (Cr)'!$C:$FB,77)</f>
        <v>27</v>
      </c>
      <c r="G40" s="92">
        <f>VLOOKUP(A40,'Data Vlaue (Cr)'!C35:CB253,78,0)</f>
        <v>2.1100000000000001E-2</v>
      </c>
      <c r="H40" s="91">
        <f>VLOOKUP($A40,'Data Vlaue (Cr)'!$C:$FB,91)</f>
        <v>859</v>
      </c>
      <c r="I40" s="91">
        <f>VLOOKUP($A40,'Data Vlaue (Cr)'!$C:$FB,93)</f>
        <v>48</v>
      </c>
      <c r="J40" s="92">
        <f>VLOOKUP($A40,'Data Vlaue (Cr)'!$C:$FB,94)</f>
        <v>5.8799999999999998E-2</v>
      </c>
      <c r="K40" s="91">
        <f>VLOOKUP($A40,'Data Vlaue (Cr)'!$C:$FB,95)</f>
        <v>533</v>
      </c>
      <c r="L40" s="91">
        <f>VLOOKUP($A40,'Data Vlaue (Cr)'!$C:$FB,97)</f>
        <v>-11</v>
      </c>
      <c r="M40" s="92">
        <f>VLOOKUP($A40,'Data Vlaue (Cr)'!$C:$FB,98)</f>
        <v>-2.0400000000000001E-2</v>
      </c>
      <c r="N40" s="91">
        <f>VLOOKUP($A40,'Data Vlaue (Cr)'!$C:$FB,79)</f>
        <v>872</v>
      </c>
      <c r="O40" s="92">
        <f>VLOOKUP($A40,'Data Vlaue (Cr)'!$C:$FB,82)</f>
        <v>-0.154</v>
      </c>
    </row>
    <row r="41" spans="1:15" x14ac:dyDescent="0.25">
      <c r="A41" s="97" t="str">
        <f>'Data Vlaue (Cr)'!C36</f>
        <v>BLUESTARCO</v>
      </c>
      <c r="B41" s="142">
        <f>VLOOKUP(A41,'Data Vlaue (Cr)'!C36:CW254,99,0)</f>
        <v>1181</v>
      </c>
      <c r="C41" s="90">
        <f>VLOOKUP(A41,'Data Vlaue (Cr)'!C36:CY254,101,0)</f>
        <v>-108</v>
      </c>
      <c r="D41" s="139">
        <f>VLOOKUP(A41,'Data Vlaue (Cr)'!C36:CZ254,102,0)</f>
        <v>-8.4000000000000005E-2</v>
      </c>
      <c r="E41" s="91">
        <f>VLOOKUP($A41,'Data Vlaue (Cr)'!$C:$FB,75)</f>
        <v>645</v>
      </c>
      <c r="F41" s="91">
        <f>VLOOKUP($A41,'Data Vlaue (Cr)'!$C:$FB,77)</f>
        <v>-91</v>
      </c>
      <c r="G41" s="92">
        <f>VLOOKUP(A41,'Data Vlaue (Cr)'!C36:CB254,78,0)</f>
        <v>-0.1236</v>
      </c>
      <c r="H41" s="91">
        <f>VLOOKUP($A41,'Data Vlaue (Cr)'!$C:$FB,91)</f>
        <v>304</v>
      </c>
      <c r="I41" s="91">
        <f>VLOOKUP($A41,'Data Vlaue (Cr)'!$C:$FB,93)</f>
        <v>-19</v>
      </c>
      <c r="J41" s="92">
        <f>VLOOKUP($A41,'Data Vlaue (Cr)'!$C:$FB,94)</f>
        <v>-5.9900000000000002E-2</v>
      </c>
      <c r="K41" s="91">
        <f>VLOOKUP($A41,'Data Vlaue (Cr)'!$C:$FB,95)</f>
        <v>231</v>
      </c>
      <c r="L41" s="91">
        <f>VLOOKUP($A41,'Data Vlaue (Cr)'!$C:$FB,97)</f>
        <v>2</v>
      </c>
      <c r="M41" s="92">
        <f>VLOOKUP($A41,'Data Vlaue (Cr)'!$C:$FB,98)</f>
        <v>9.1000000000000004E-3</v>
      </c>
      <c r="N41" s="91">
        <f>VLOOKUP($A41,'Data Vlaue (Cr)'!$C:$FB,79)</f>
        <v>314</v>
      </c>
      <c r="O41" s="92">
        <f>VLOOKUP($A41,'Data Vlaue (Cr)'!$C:$FB,82)</f>
        <v>-0.37780000000000002</v>
      </c>
    </row>
    <row r="42" spans="1:15" x14ac:dyDescent="0.25">
      <c r="A42" s="97" t="str">
        <f>'Data Vlaue (Cr)'!C37</f>
        <v>BOSCHLTD</v>
      </c>
      <c r="B42" s="142">
        <f>VLOOKUP(A42,'Data Vlaue (Cr)'!C37:CW255,99,0)</f>
        <v>2641</v>
      </c>
      <c r="C42" s="90">
        <f>VLOOKUP(A42,'Data Vlaue (Cr)'!C37:CY255,101,0)</f>
        <v>-139</v>
      </c>
      <c r="D42" s="139">
        <f>VLOOKUP(A42,'Data Vlaue (Cr)'!C37:CZ255,102,0)</f>
        <v>-5.0099999999999999E-2</v>
      </c>
      <c r="E42" s="91">
        <f>VLOOKUP($A42,'Data Vlaue (Cr)'!$C:$FB,75)</f>
        <v>1015</v>
      </c>
      <c r="F42" s="91">
        <f>VLOOKUP($A42,'Data Vlaue (Cr)'!$C:$FB,77)</f>
        <v>-11</v>
      </c>
      <c r="G42" s="92">
        <f>VLOOKUP(A42,'Data Vlaue (Cr)'!C37:CB255,78,0)</f>
        <v>-1.0699999999999999E-2</v>
      </c>
      <c r="H42" s="91">
        <f>VLOOKUP($A42,'Data Vlaue (Cr)'!$C:$FB,91)</f>
        <v>815</v>
      </c>
      <c r="I42" s="91">
        <f>VLOOKUP($A42,'Data Vlaue (Cr)'!$C:$FB,93)</f>
        <v>-93</v>
      </c>
      <c r="J42" s="92">
        <f>VLOOKUP($A42,'Data Vlaue (Cr)'!$C:$FB,94)</f>
        <v>-0.1026</v>
      </c>
      <c r="K42" s="91">
        <f>VLOOKUP($A42,'Data Vlaue (Cr)'!$C:$FB,95)</f>
        <v>811</v>
      </c>
      <c r="L42" s="91">
        <f>VLOOKUP($A42,'Data Vlaue (Cr)'!$C:$FB,97)</f>
        <v>-35</v>
      </c>
      <c r="M42" s="92">
        <f>VLOOKUP($A42,'Data Vlaue (Cr)'!$C:$FB,98)</f>
        <v>-4.1399999999999999E-2</v>
      </c>
      <c r="N42" s="91">
        <f>VLOOKUP($A42,'Data Vlaue (Cr)'!$C:$FB,79)</f>
        <v>732</v>
      </c>
      <c r="O42" s="92">
        <f>VLOOKUP($A42,'Data Vlaue (Cr)'!$C:$FB,82)</f>
        <v>-0.23180000000000001</v>
      </c>
    </row>
    <row r="43" spans="1:15" x14ac:dyDescent="0.25">
      <c r="A43" s="97" t="str">
        <f>'Data Vlaue (Cr)'!C38</f>
        <v>BPCL</v>
      </c>
      <c r="B43" s="142">
        <f>VLOOKUP(A43,'Data Vlaue (Cr)'!C38:CW256,99,0)</f>
        <v>3353</v>
      </c>
      <c r="C43" s="90">
        <f>VLOOKUP(A43,'Data Vlaue (Cr)'!C38:CY256,101,0)</f>
        <v>2</v>
      </c>
      <c r="D43" s="139">
        <f>VLOOKUP(A43,'Data Vlaue (Cr)'!C38:CZ256,102,0)</f>
        <v>5.0000000000000001E-4</v>
      </c>
      <c r="E43" s="91">
        <f>VLOOKUP($A43,'Data Vlaue (Cr)'!$C:$FB,75)</f>
        <v>1739</v>
      </c>
      <c r="F43" s="91">
        <f>VLOOKUP($A43,'Data Vlaue (Cr)'!$C:$FB,77)</f>
        <v>19</v>
      </c>
      <c r="G43" s="92">
        <f>VLOOKUP(A43,'Data Vlaue (Cr)'!C38:CB256,78,0)</f>
        <v>1.11E-2</v>
      </c>
      <c r="H43" s="91">
        <f>VLOOKUP($A43,'Data Vlaue (Cr)'!$C:$FB,91)</f>
        <v>929</v>
      </c>
      <c r="I43" s="91">
        <f>VLOOKUP($A43,'Data Vlaue (Cr)'!$C:$FB,93)</f>
        <v>11</v>
      </c>
      <c r="J43" s="92">
        <f>VLOOKUP($A43,'Data Vlaue (Cr)'!$C:$FB,94)</f>
        <v>1.2500000000000001E-2</v>
      </c>
      <c r="K43" s="91">
        <f>VLOOKUP($A43,'Data Vlaue (Cr)'!$C:$FB,95)</f>
        <v>684</v>
      </c>
      <c r="L43" s="91">
        <f>VLOOKUP($A43,'Data Vlaue (Cr)'!$C:$FB,97)</f>
        <v>-29</v>
      </c>
      <c r="M43" s="92">
        <f>VLOOKUP($A43,'Data Vlaue (Cr)'!$C:$FB,98)</f>
        <v>-4.0800000000000003E-2</v>
      </c>
      <c r="N43" s="91">
        <f>VLOOKUP($A43,'Data Vlaue (Cr)'!$C:$FB,79)</f>
        <v>1158</v>
      </c>
      <c r="O43" s="92">
        <f>VLOOKUP($A43,'Data Vlaue (Cr)'!$C:$FB,82)</f>
        <v>-0.19550000000000001</v>
      </c>
    </row>
    <row r="44" spans="1:15" x14ac:dyDescent="0.25">
      <c r="A44" s="97" t="str">
        <f>'Data Vlaue (Cr)'!C39</f>
        <v>BRITANNIA</v>
      </c>
      <c r="B44" s="142">
        <f>VLOOKUP(A44,'Data Vlaue (Cr)'!C39:CW257,99,0)</f>
        <v>2675</v>
      </c>
      <c r="C44" s="90">
        <f>VLOOKUP(A44,'Data Vlaue (Cr)'!C39:CY257,101,0)</f>
        <v>-24</v>
      </c>
      <c r="D44" s="139">
        <f>VLOOKUP(A44,'Data Vlaue (Cr)'!C39:CZ257,102,0)</f>
        <v>-8.8999999999999999E-3</v>
      </c>
      <c r="E44" s="91">
        <f>VLOOKUP($A44,'Data Vlaue (Cr)'!$C:$FB,75)</f>
        <v>1732</v>
      </c>
      <c r="F44" s="91">
        <f>VLOOKUP($A44,'Data Vlaue (Cr)'!$C:$FB,77)</f>
        <v>13</v>
      </c>
      <c r="G44" s="92">
        <f>VLOOKUP(A44,'Data Vlaue (Cr)'!C39:CB257,78,0)</f>
        <v>7.7000000000000002E-3</v>
      </c>
      <c r="H44" s="91">
        <f>VLOOKUP($A44,'Data Vlaue (Cr)'!$C:$FB,91)</f>
        <v>543</v>
      </c>
      <c r="I44" s="91">
        <f>VLOOKUP($A44,'Data Vlaue (Cr)'!$C:$FB,93)</f>
        <v>-33</v>
      </c>
      <c r="J44" s="92">
        <f>VLOOKUP($A44,'Data Vlaue (Cr)'!$C:$FB,94)</f>
        <v>-5.67E-2</v>
      </c>
      <c r="K44" s="91">
        <f>VLOOKUP($A44,'Data Vlaue (Cr)'!$C:$FB,95)</f>
        <v>401</v>
      </c>
      <c r="L44" s="91">
        <f>VLOOKUP($A44,'Data Vlaue (Cr)'!$C:$FB,97)</f>
        <v>-5</v>
      </c>
      <c r="M44" s="92">
        <f>VLOOKUP($A44,'Data Vlaue (Cr)'!$C:$FB,98)</f>
        <v>-1.12E-2</v>
      </c>
      <c r="N44" s="91">
        <f>VLOOKUP($A44,'Data Vlaue (Cr)'!$C:$FB,79)</f>
        <v>945</v>
      </c>
      <c r="O44" s="92">
        <f>VLOOKUP($A44,'Data Vlaue (Cr)'!$C:$FB,82)</f>
        <v>-0.33829999999999999</v>
      </c>
    </row>
    <row r="45" spans="1:15" x14ac:dyDescent="0.25">
      <c r="A45" s="97" t="str">
        <f>'Data Vlaue (Cr)'!C40</f>
        <v>BSE</v>
      </c>
      <c r="B45" s="142">
        <f>VLOOKUP(A45,'Data Vlaue (Cr)'!C40:CW258,99,0)</f>
        <v>8867</v>
      </c>
      <c r="C45" s="90">
        <f>VLOOKUP(A45,'Data Vlaue (Cr)'!C40:CY258,101,0)</f>
        <v>-268</v>
      </c>
      <c r="D45" s="139">
        <f>VLOOKUP(A45,'Data Vlaue (Cr)'!C40:CZ258,102,0)</f>
        <v>-2.93E-2</v>
      </c>
      <c r="E45" s="91">
        <f>VLOOKUP($A45,'Data Vlaue (Cr)'!$C:$FB,75)</f>
        <v>2980</v>
      </c>
      <c r="F45" s="91">
        <f>VLOOKUP($A45,'Data Vlaue (Cr)'!$C:$FB,77)</f>
        <v>83</v>
      </c>
      <c r="G45" s="92">
        <f>VLOOKUP(A45,'Data Vlaue (Cr)'!C40:CB258,78,0)</f>
        <v>2.8799999999999999E-2</v>
      </c>
      <c r="H45" s="91">
        <f>VLOOKUP($A45,'Data Vlaue (Cr)'!$C:$FB,91)</f>
        <v>2804</v>
      </c>
      <c r="I45" s="91">
        <f>VLOOKUP($A45,'Data Vlaue (Cr)'!$C:$FB,93)</f>
        <v>-112</v>
      </c>
      <c r="J45" s="92">
        <f>VLOOKUP($A45,'Data Vlaue (Cr)'!$C:$FB,94)</f>
        <v>-3.8300000000000001E-2</v>
      </c>
      <c r="K45" s="91">
        <f>VLOOKUP($A45,'Data Vlaue (Cr)'!$C:$FB,95)</f>
        <v>3083</v>
      </c>
      <c r="L45" s="91">
        <f>VLOOKUP($A45,'Data Vlaue (Cr)'!$C:$FB,97)</f>
        <v>-239</v>
      </c>
      <c r="M45" s="92">
        <f>VLOOKUP($A45,'Data Vlaue (Cr)'!$C:$FB,98)</f>
        <v>-7.1999999999999995E-2</v>
      </c>
      <c r="N45" s="91">
        <f>VLOOKUP($A45,'Data Vlaue (Cr)'!$C:$FB,79)</f>
        <v>1871</v>
      </c>
      <c r="O45" s="92">
        <f>VLOOKUP($A45,'Data Vlaue (Cr)'!$C:$FB,82)</f>
        <v>-0.17910000000000001</v>
      </c>
    </row>
    <row r="46" spans="1:15" x14ac:dyDescent="0.25">
      <c r="A46" s="97" t="str">
        <f>'Data Vlaue (Cr)'!C41</f>
        <v>CAMS</v>
      </c>
      <c r="B46" s="142">
        <f>VLOOKUP(A46,'Data Vlaue (Cr)'!C41:CW259,99,0)</f>
        <v>1112</v>
      </c>
      <c r="C46" s="90">
        <f>VLOOKUP(A46,'Data Vlaue (Cr)'!C41:CY259,101,0)</f>
        <v>54</v>
      </c>
      <c r="D46" s="139">
        <f>VLOOKUP(A46,'Data Vlaue (Cr)'!C41:CZ259,102,0)</f>
        <v>5.11E-2</v>
      </c>
      <c r="E46" s="91">
        <f>VLOOKUP($A46,'Data Vlaue (Cr)'!$C:$FB,75)</f>
        <v>604</v>
      </c>
      <c r="F46" s="91">
        <f>VLOOKUP($A46,'Data Vlaue (Cr)'!$C:$FB,77)</f>
        <v>-2</v>
      </c>
      <c r="G46" s="92">
        <f>VLOOKUP(A46,'Data Vlaue (Cr)'!C41:CB259,78,0)</f>
        <v>-2.8E-3</v>
      </c>
      <c r="H46" s="91">
        <f>VLOOKUP($A46,'Data Vlaue (Cr)'!$C:$FB,91)</f>
        <v>284</v>
      </c>
      <c r="I46" s="91">
        <f>VLOOKUP($A46,'Data Vlaue (Cr)'!$C:$FB,93)</f>
        <v>32</v>
      </c>
      <c r="J46" s="92">
        <f>VLOOKUP($A46,'Data Vlaue (Cr)'!$C:$FB,94)</f>
        <v>0.12470000000000001</v>
      </c>
      <c r="K46" s="91">
        <f>VLOOKUP($A46,'Data Vlaue (Cr)'!$C:$FB,95)</f>
        <v>223</v>
      </c>
      <c r="L46" s="91">
        <f>VLOOKUP($A46,'Data Vlaue (Cr)'!$C:$FB,97)</f>
        <v>24</v>
      </c>
      <c r="M46" s="92">
        <f>VLOOKUP($A46,'Data Vlaue (Cr)'!$C:$FB,98)</f>
        <v>0.12180000000000001</v>
      </c>
      <c r="N46" s="91">
        <f>VLOOKUP($A46,'Data Vlaue (Cr)'!$C:$FB,79)</f>
        <v>317</v>
      </c>
      <c r="O46" s="92">
        <f>VLOOKUP($A46,'Data Vlaue (Cr)'!$C:$FB,82)</f>
        <v>-0.33129999999999998</v>
      </c>
    </row>
    <row r="47" spans="1:15" x14ac:dyDescent="0.25">
      <c r="A47" s="97" t="str">
        <f>'Data Vlaue (Cr)'!C42</f>
        <v>CANBK</v>
      </c>
      <c r="B47" s="142">
        <f>VLOOKUP(A47,'Data Vlaue (Cr)'!C42:CW260,99,0)</f>
        <v>5312</v>
      </c>
      <c r="C47" s="90">
        <f>VLOOKUP(A47,'Data Vlaue (Cr)'!C42:CY260,101,0)</f>
        <v>124</v>
      </c>
      <c r="D47" s="139">
        <f>VLOOKUP(A47,'Data Vlaue (Cr)'!C42:CZ260,102,0)</f>
        <v>2.3900000000000001E-2</v>
      </c>
      <c r="E47" s="91">
        <f>VLOOKUP($A47,'Data Vlaue (Cr)'!$C:$FB,75)</f>
        <v>2940</v>
      </c>
      <c r="F47" s="91">
        <f>VLOOKUP($A47,'Data Vlaue (Cr)'!$C:$FB,77)</f>
        <v>86</v>
      </c>
      <c r="G47" s="92">
        <f>VLOOKUP(A47,'Data Vlaue (Cr)'!C42:CB260,78,0)</f>
        <v>3.0200000000000001E-2</v>
      </c>
      <c r="H47" s="91">
        <f>VLOOKUP($A47,'Data Vlaue (Cr)'!$C:$FB,91)</f>
        <v>1261</v>
      </c>
      <c r="I47" s="91">
        <f>VLOOKUP($A47,'Data Vlaue (Cr)'!$C:$FB,93)</f>
        <v>60</v>
      </c>
      <c r="J47" s="92">
        <f>VLOOKUP($A47,'Data Vlaue (Cr)'!$C:$FB,94)</f>
        <v>4.9700000000000001E-2</v>
      </c>
      <c r="K47" s="91">
        <f>VLOOKUP($A47,'Data Vlaue (Cr)'!$C:$FB,95)</f>
        <v>1110</v>
      </c>
      <c r="L47" s="91">
        <f>VLOOKUP($A47,'Data Vlaue (Cr)'!$C:$FB,97)</f>
        <v>-22</v>
      </c>
      <c r="M47" s="92">
        <f>VLOOKUP($A47,'Data Vlaue (Cr)'!$C:$FB,98)</f>
        <v>-1.9400000000000001E-2</v>
      </c>
      <c r="N47" s="91">
        <f>VLOOKUP($A47,'Data Vlaue (Cr)'!$C:$FB,79)</f>
        <v>1450</v>
      </c>
      <c r="O47" s="92">
        <f>VLOOKUP($A47,'Data Vlaue (Cr)'!$C:$FB,82)</f>
        <v>-0.3024</v>
      </c>
    </row>
    <row r="48" spans="1:15" x14ac:dyDescent="0.25">
      <c r="A48" s="97" t="str">
        <f>'Data Vlaue (Cr)'!C43</f>
        <v>CDSL</v>
      </c>
      <c r="B48" s="142">
        <f>VLOOKUP(A48,'Data Vlaue (Cr)'!C43:CW261,99,0)</f>
        <v>3158</v>
      </c>
      <c r="C48" s="90">
        <f>VLOOKUP(A48,'Data Vlaue (Cr)'!C43:CY261,101,0)</f>
        <v>-229</v>
      </c>
      <c r="D48" s="139">
        <f>VLOOKUP(A48,'Data Vlaue (Cr)'!C43:CZ261,102,0)</f>
        <v>-6.7500000000000004E-2</v>
      </c>
      <c r="E48" s="91">
        <f>VLOOKUP($A48,'Data Vlaue (Cr)'!$C:$FB,75)</f>
        <v>1663</v>
      </c>
      <c r="F48" s="91">
        <f>VLOOKUP($A48,'Data Vlaue (Cr)'!$C:$FB,77)</f>
        <v>-218</v>
      </c>
      <c r="G48" s="92">
        <f>VLOOKUP(A48,'Data Vlaue (Cr)'!C43:CB261,78,0)</f>
        <v>-0.1157</v>
      </c>
      <c r="H48" s="91">
        <f>VLOOKUP($A48,'Data Vlaue (Cr)'!$C:$FB,91)</f>
        <v>824</v>
      </c>
      <c r="I48" s="91">
        <f>VLOOKUP($A48,'Data Vlaue (Cr)'!$C:$FB,93)</f>
        <v>-10</v>
      </c>
      <c r="J48" s="92">
        <f>VLOOKUP($A48,'Data Vlaue (Cr)'!$C:$FB,94)</f>
        <v>-1.2E-2</v>
      </c>
      <c r="K48" s="91">
        <f>VLOOKUP($A48,'Data Vlaue (Cr)'!$C:$FB,95)</f>
        <v>670</v>
      </c>
      <c r="L48" s="91">
        <f>VLOOKUP($A48,'Data Vlaue (Cr)'!$C:$FB,97)</f>
        <v>-1</v>
      </c>
      <c r="M48" s="92">
        <f>VLOOKUP($A48,'Data Vlaue (Cr)'!$C:$FB,98)</f>
        <v>-1.5E-3</v>
      </c>
      <c r="N48" s="91">
        <f>VLOOKUP($A48,'Data Vlaue (Cr)'!$C:$FB,79)</f>
        <v>743</v>
      </c>
      <c r="O48" s="92">
        <f>VLOOKUP($A48,'Data Vlaue (Cr)'!$C:$FB,82)</f>
        <v>-0.35589999999999999</v>
      </c>
    </row>
    <row r="49" spans="1:15" x14ac:dyDescent="0.25">
      <c r="A49" s="97" t="str">
        <f>'Data Vlaue (Cr)'!C44</f>
        <v>CGPOWER</v>
      </c>
      <c r="B49" s="142">
        <f>VLOOKUP(A49,'Data Vlaue (Cr)'!C44:CW262,99,0)</f>
        <v>2659</v>
      </c>
      <c r="C49" s="90">
        <f>VLOOKUP(A49,'Data Vlaue (Cr)'!C44:CY262,101,0)</f>
        <v>44</v>
      </c>
      <c r="D49" s="139">
        <f>VLOOKUP(A49,'Data Vlaue (Cr)'!C44:CZ262,102,0)</f>
        <v>1.6799999999999999E-2</v>
      </c>
      <c r="E49" s="91">
        <f>VLOOKUP($A49,'Data Vlaue (Cr)'!$C:$FB,75)</f>
        <v>1752</v>
      </c>
      <c r="F49" s="91">
        <f>VLOOKUP($A49,'Data Vlaue (Cr)'!$C:$FB,77)</f>
        <v>-16</v>
      </c>
      <c r="G49" s="92">
        <f>VLOOKUP(A49,'Data Vlaue (Cr)'!C44:CB262,78,0)</f>
        <v>-8.8000000000000005E-3</v>
      </c>
      <c r="H49" s="91">
        <f>VLOOKUP($A49,'Data Vlaue (Cr)'!$C:$FB,91)</f>
        <v>523</v>
      </c>
      <c r="I49" s="91">
        <f>VLOOKUP($A49,'Data Vlaue (Cr)'!$C:$FB,93)</f>
        <v>47</v>
      </c>
      <c r="J49" s="92">
        <f>VLOOKUP($A49,'Data Vlaue (Cr)'!$C:$FB,94)</f>
        <v>9.9099999999999994E-2</v>
      </c>
      <c r="K49" s="91">
        <f>VLOOKUP($A49,'Data Vlaue (Cr)'!$C:$FB,95)</f>
        <v>385</v>
      </c>
      <c r="L49" s="91">
        <f>VLOOKUP($A49,'Data Vlaue (Cr)'!$C:$FB,97)</f>
        <v>12</v>
      </c>
      <c r="M49" s="92">
        <f>VLOOKUP($A49,'Data Vlaue (Cr)'!$C:$FB,98)</f>
        <v>3.3099999999999997E-2</v>
      </c>
      <c r="N49" s="91">
        <f>VLOOKUP($A49,'Data Vlaue (Cr)'!$C:$FB,79)</f>
        <v>1008</v>
      </c>
      <c r="O49" s="92">
        <f>VLOOKUP($A49,'Data Vlaue (Cr)'!$C:$FB,82)</f>
        <v>-0.3039</v>
      </c>
    </row>
    <row r="50" spans="1:15" x14ac:dyDescent="0.25">
      <c r="A50" s="97" t="str">
        <f>'Data Vlaue (Cr)'!C45</f>
        <v>CHOLAFIN</v>
      </c>
      <c r="B50" s="142">
        <f>VLOOKUP(A50,'Data Vlaue (Cr)'!C45:CW263,99,0)</f>
        <v>4441</v>
      </c>
      <c r="C50" s="90">
        <f>VLOOKUP(A50,'Data Vlaue (Cr)'!C45:CY263,101,0)</f>
        <v>-60</v>
      </c>
      <c r="D50" s="139">
        <f>VLOOKUP(A50,'Data Vlaue (Cr)'!C45:CZ263,102,0)</f>
        <v>-1.34E-2</v>
      </c>
      <c r="E50" s="91">
        <f>VLOOKUP($A50,'Data Vlaue (Cr)'!$C:$FB,75)</f>
        <v>3004</v>
      </c>
      <c r="F50" s="91">
        <f>VLOOKUP($A50,'Data Vlaue (Cr)'!$C:$FB,77)</f>
        <v>14</v>
      </c>
      <c r="G50" s="92">
        <f>VLOOKUP(A50,'Data Vlaue (Cr)'!C45:CB263,78,0)</f>
        <v>4.7000000000000002E-3</v>
      </c>
      <c r="H50" s="91">
        <f>VLOOKUP($A50,'Data Vlaue (Cr)'!$C:$FB,91)</f>
        <v>840</v>
      </c>
      <c r="I50" s="91">
        <f>VLOOKUP($A50,'Data Vlaue (Cr)'!$C:$FB,93)</f>
        <v>-44</v>
      </c>
      <c r="J50" s="92">
        <f>VLOOKUP($A50,'Data Vlaue (Cr)'!$C:$FB,94)</f>
        <v>-4.9700000000000001E-2</v>
      </c>
      <c r="K50" s="91">
        <f>VLOOKUP($A50,'Data Vlaue (Cr)'!$C:$FB,95)</f>
        <v>596</v>
      </c>
      <c r="L50" s="91">
        <f>VLOOKUP($A50,'Data Vlaue (Cr)'!$C:$FB,97)</f>
        <v>-31</v>
      </c>
      <c r="M50" s="92">
        <f>VLOOKUP($A50,'Data Vlaue (Cr)'!$C:$FB,98)</f>
        <v>-4.87E-2</v>
      </c>
      <c r="N50" s="91">
        <f>VLOOKUP($A50,'Data Vlaue (Cr)'!$C:$FB,79)</f>
        <v>1956</v>
      </c>
      <c r="O50" s="92">
        <f>VLOOKUP($A50,'Data Vlaue (Cr)'!$C:$FB,82)</f>
        <v>-0.26140000000000002</v>
      </c>
    </row>
    <row r="51" spans="1:15" x14ac:dyDescent="0.25">
      <c r="A51" s="97" t="str">
        <f>'Data Vlaue (Cr)'!C46</f>
        <v>CIPLA</v>
      </c>
      <c r="B51" s="142">
        <f>VLOOKUP(A51,'Data Vlaue (Cr)'!C46:CW264,99,0)</f>
        <v>3380</v>
      </c>
      <c r="C51" s="90">
        <f>VLOOKUP(A51,'Data Vlaue (Cr)'!C46:CY264,101,0)</f>
        <v>159</v>
      </c>
      <c r="D51" s="139">
        <f>VLOOKUP(A51,'Data Vlaue (Cr)'!C46:CZ264,102,0)</f>
        <v>4.9399999999999999E-2</v>
      </c>
      <c r="E51" s="91">
        <f>VLOOKUP($A51,'Data Vlaue (Cr)'!$C:$FB,75)</f>
        <v>2062</v>
      </c>
      <c r="F51" s="91">
        <f>VLOOKUP($A51,'Data Vlaue (Cr)'!$C:$FB,77)</f>
        <v>-52</v>
      </c>
      <c r="G51" s="92">
        <f>VLOOKUP(A51,'Data Vlaue (Cr)'!C46:CB264,78,0)</f>
        <v>-2.4400000000000002E-2</v>
      </c>
      <c r="H51" s="91">
        <f>VLOOKUP($A51,'Data Vlaue (Cr)'!$C:$FB,91)</f>
        <v>667</v>
      </c>
      <c r="I51" s="91">
        <f>VLOOKUP($A51,'Data Vlaue (Cr)'!$C:$FB,93)</f>
        <v>77</v>
      </c>
      <c r="J51" s="92">
        <f>VLOOKUP($A51,'Data Vlaue (Cr)'!$C:$FB,94)</f>
        <v>0.13020000000000001</v>
      </c>
      <c r="K51" s="91">
        <f>VLOOKUP($A51,'Data Vlaue (Cr)'!$C:$FB,95)</f>
        <v>651</v>
      </c>
      <c r="L51" s="91">
        <f>VLOOKUP($A51,'Data Vlaue (Cr)'!$C:$FB,97)</f>
        <v>134</v>
      </c>
      <c r="M51" s="92">
        <f>VLOOKUP($A51,'Data Vlaue (Cr)'!$C:$FB,98)</f>
        <v>0.25850000000000001</v>
      </c>
      <c r="N51" s="91">
        <f>VLOOKUP($A51,'Data Vlaue (Cr)'!$C:$FB,79)</f>
        <v>1033</v>
      </c>
      <c r="O51" s="92">
        <f>VLOOKUP($A51,'Data Vlaue (Cr)'!$C:$FB,82)</f>
        <v>-0.35920000000000002</v>
      </c>
    </row>
    <row r="52" spans="1:15" x14ac:dyDescent="0.25">
      <c r="A52" s="97" t="str">
        <f>'Data Vlaue (Cr)'!C47</f>
        <v>COALINDIA</v>
      </c>
      <c r="B52" s="142">
        <f>VLOOKUP(A52,'Data Vlaue (Cr)'!C47:CW265,99,0)</f>
        <v>5896</v>
      </c>
      <c r="C52" s="90">
        <f>VLOOKUP(A52,'Data Vlaue (Cr)'!C47:CY265,101,0)</f>
        <v>-549</v>
      </c>
      <c r="D52" s="139">
        <f>VLOOKUP(A52,'Data Vlaue (Cr)'!C47:CZ265,102,0)</f>
        <v>-8.5199999999999998E-2</v>
      </c>
      <c r="E52" s="91">
        <f>VLOOKUP($A52,'Data Vlaue (Cr)'!$C:$FB,75)</f>
        <v>2931</v>
      </c>
      <c r="F52" s="91">
        <f>VLOOKUP($A52,'Data Vlaue (Cr)'!$C:$FB,77)</f>
        <v>-364</v>
      </c>
      <c r="G52" s="92">
        <f>VLOOKUP(A52,'Data Vlaue (Cr)'!C47:CB265,78,0)</f>
        <v>-0.1106</v>
      </c>
      <c r="H52" s="91">
        <f>VLOOKUP($A52,'Data Vlaue (Cr)'!$C:$FB,91)</f>
        <v>1764</v>
      </c>
      <c r="I52" s="91">
        <f>VLOOKUP($A52,'Data Vlaue (Cr)'!$C:$FB,93)</f>
        <v>-178</v>
      </c>
      <c r="J52" s="92">
        <f>VLOOKUP($A52,'Data Vlaue (Cr)'!$C:$FB,94)</f>
        <v>-9.1499999999999998E-2</v>
      </c>
      <c r="K52" s="91">
        <f>VLOOKUP($A52,'Data Vlaue (Cr)'!$C:$FB,95)</f>
        <v>1201</v>
      </c>
      <c r="L52" s="91">
        <f>VLOOKUP($A52,'Data Vlaue (Cr)'!$C:$FB,97)</f>
        <v>-7</v>
      </c>
      <c r="M52" s="92">
        <f>VLOOKUP($A52,'Data Vlaue (Cr)'!$C:$FB,98)</f>
        <v>-5.8999999999999999E-3</v>
      </c>
      <c r="N52" s="91">
        <f>VLOOKUP($A52,'Data Vlaue (Cr)'!$C:$FB,79)</f>
        <v>1840</v>
      </c>
      <c r="O52" s="92">
        <f>VLOOKUP($A52,'Data Vlaue (Cr)'!$C:$FB,82)</f>
        <v>-0.33500000000000002</v>
      </c>
    </row>
    <row r="53" spans="1:15" x14ac:dyDescent="0.25">
      <c r="A53" s="97" t="str">
        <f>'Data Vlaue (Cr)'!C48</f>
        <v>COCHINSHIP</v>
      </c>
      <c r="B53" s="142">
        <f>VLOOKUP(A53,'Data Vlaue (Cr)'!C48:CW266,99,0)</f>
        <v>619</v>
      </c>
      <c r="C53" s="90">
        <f>VLOOKUP(A53,'Data Vlaue (Cr)'!C48:CY266,101,0)</f>
        <v>-16</v>
      </c>
      <c r="D53" s="139">
        <f>VLOOKUP(A53,'Data Vlaue (Cr)'!C48:CZ266,102,0)</f>
        <v>-2.53E-2</v>
      </c>
      <c r="E53" s="91">
        <f>VLOOKUP($A53,'Data Vlaue (Cr)'!$C:$FB,75)</f>
        <v>322</v>
      </c>
      <c r="F53" s="91">
        <f>VLOOKUP($A53,'Data Vlaue (Cr)'!$C:$FB,77)</f>
        <v>-1</v>
      </c>
      <c r="G53" s="92">
        <f>VLOOKUP(A53,'Data Vlaue (Cr)'!C48:CB266,78,0)</f>
        <v>-3.0000000000000001E-3</v>
      </c>
      <c r="H53" s="91">
        <f>VLOOKUP($A53,'Data Vlaue (Cr)'!$C:$FB,91)</f>
        <v>177</v>
      </c>
      <c r="I53" s="91">
        <f>VLOOKUP($A53,'Data Vlaue (Cr)'!$C:$FB,93)</f>
        <v>-15</v>
      </c>
      <c r="J53" s="92">
        <f>VLOOKUP($A53,'Data Vlaue (Cr)'!$C:$FB,94)</f>
        <v>-7.5800000000000006E-2</v>
      </c>
      <c r="K53" s="91">
        <f>VLOOKUP($A53,'Data Vlaue (Cr)'!$C:$FB,95)</f>
        <v>119</v>
      </c>
      <c r="L53" s="91">
        <f>VLOOKUP($A53,'Data Vlaue (Cr)'!$C:$FB,97)</f>
        <v>-1</v>
      </c>
      <c r="M53" s="92">
        <f>VLOOKUP($A53,'Data Vlaue (Cr)'!$C:$FB,98)</f>
        <v>-4.7999999999999996E-3</v>
      </c>
      <c r="N53" s="91">
        <f>VLOOKUP($A53,'Data Vlaue (Cr)'!$C:$FB,79)</f>
        <v>179</v>
      </c>
      <c r="O53" s="92">
        <f>VLOOKUP($A53,'Data Vlaue (Cr)'!$C:$FB,82)</f>
        <v>-0.2147</v>
      </c>
    </row>
    <row r="54" spans="1:15" x14ac:dyDescent="0.25">
      <c r="A54" s="97" t="str">
        <f>'Data Vlaue (Cr)'!C49</f>
        <v>COFORGE</v>
      </c>
      <c r="B54" s="142">
        <f>VLOOKUP(A54,'Data Vlaue (Cr)'!C49:CW267,99,0)</f>
        <v>4282</v>
      </c>
      <c r="C54" s="90">
        <f>VLOOKUP(A54,'Data Vlaue (Cr)'!C49:CY267,101,0)</f>
        <v>35</v>
      </c>
      <c r="D54" s="139">
        <f>VLOOKUP(A54,'Data Vlaue (Cr)'!C49:CZ267,102,0)</f>
        <v>8.2000000000000007E-3</v>
      </c>
      <c r="E54" s="91">
        <f>VLOOKUP($A54,'Data Vlaue (Cr)'!$C:$FB,75)</f>
        <v>2463</v>
      </c>
      <c r="F54" s="91">
        <f>VLOOKUP($A54,'Data Vlaue (Cr)'!$C:$FB,77)</f>
        <v>14</v>
      </c>
      <c r="G54" s="92">
        <f>VLOOKUP(A54,'Data Vlaue (Cr)'!C49:CB267,78,0)</f>
        <v>5.5999999999999999E-3</v>
      </c>
      <c r="H54" s="91">
        <f>VLOOKUP($A54,'Data Vlaue (Cr)'!$C:$FB,91)</f>
        <v>1182</v>
      </c>
      <c r="I54" s="91">
        <f>VLOOKUP($A54,'Data Vlaue (Cr)'!$C:$FB,93)</f>
        <v>43</v>
      </c>
      <c r="J54" s="92">
        <f>VLOOKUP($A54,'Data Vlaue (Cr)'!$C:$FB,94)</f>
        <v>3.7400000000000003E-2</v>
      </c>
      <c r="K54" s="91">
        <f>VLOOKUP($A54,'Data Vlaue (Cr)'!$C:$FB,95)</f>
        <v>637</v>
      </c>
      <c r="L54" s="91">
        <f>VLOOKUP($A54,'Data Vlaue (Cr)'!$C:$FB,97)</f>
        <v>-21</v>
      </c>
      <c r="M54" s="92">
        <f>VLOOKUP($A54,'Data Vlaue (Cr)'!$C:$FB,98)</f>
        <v>-3.27E-2</v>
      </c>
      <c r="N54" s="91">
        <f>VLOOKUP($A54,'Data Vlaue (Cr)'!$C:$FB,79)</f>
        <v>1457</v>
      </c>
      <c r="O54" s="92">
        <f>VLOOKUP($A54,'Data Vlaue (Cr)'!$C:$FB,82)</f>
        <v>-0.28010000000000002</v>
      </c>
    </row>
    <row r="55" spans="1:15" x14ac:dyDescent="0.25">
      <c r="A55" s="97" t="str">
        <f>'Data Vlaue (Cr)'!C50</f>
        <v>COLPAL</v>
      </c>
      <c r="B55" s="142">
        <f>VLOOKUP(A55,'Data Vlaue (Cr)'!C50:CW268,99,0)</f>
        <v>2096</v>
      </c>
      <c r="C55" s="90">
        <f>VLOOKUP(A55,'Data Vlaue (Cr)'!C50:CY268,101,0)</f>
        <v>-58</v>
      </c>
      <c r="D55" s="139">
        <f>VLOOKUP(A55,'Data Vlaue (Cr)'!C50:CZ268,102,0)</f>
        <v>-2.7E-2</v>
      </c>
      <c r="E55" s="91">
        <f>VLOOKUP($A55,'Data Vlaue (Cr)'!$C:$FB,75)</f>
        <v>1152</v>
      </c>
      <c r="F55" s="91">
        <f>VLOOKUP($A55,'Data Vlaue (Cr)'!$C:$FB,77)</f>
        <v>-84</v>
      </c>
      <c r="G55" s="92">
        <f>VLOOKUP(A55,'Data Vlaue (Cr)'!C50:CB268,78,0)</f>
        <v>-6.8099999999999994E-2</v>
      </c>
      <c r="H55" s="91">
        <f>VLOOKUP($A55,'Data Vlaue (Cr)'!$C:$FB,91)</f>
        <v>547</v>
      </c>
      <c r="I55" s="91">
        <f>VLOOKUP($A55,'Data Vlaue (Cr)'!$C:$FB,93)</f>
        <v>1</v>
      </c>
      <c r="J55" s="92">
        <f>VLOOKUP($A55,'Data Vlaue (Cr)'!$C:$FB,94)</f>
        <v>1.5E-3</v>
      </c>
      <c r="K55" s="91">
        <f>VLOOKUP($A55,'Data Vlaue (Cr)'!$C:$FB,95)</f>
        <v>398</v>
      </c>
      <c r="L55" s="91">
        <f>VLOOKUP($A55,'Data Vlaue (Cr)'!$C:$FB,97)</f>
        <v>25</v>
      </c>
      <c r="M55" s="92">
        <f>VLOOKUP($A55,'Data Vlaue (Cr)'!$C:$FB,98)</f>
        <v>6.7500000000000004E-2</v>
      </c>
      <c r="N55" s="91">
        <f>VLOOKUP($A55,'Data Vlaue (Cr)'!$C:$FB,79)</f>
        <v>762</v>
      </c>
      <c r="O55" s="92">
        <f>VLOOKUP($A55,'Data Vlaue (Cr)'!$C:$FB,82)</f>
        <v>-0.29609999999999997</v>
      </c>
    </row>
    <row r="56" spans="1:15" x14ac:dyDescent="0.25">
      <c r="A56" s="97" t="str">
        <f>'Data Vlaue (Cr)'!C51</f>
        <v>CONCOR</v>
      </c>
      <c r="B56" s="142">
        <f>VLOOKUP(A56,'Data Vlaue (Cr)'!C51:CW269,99,0)</f>
        <v>1977</v>
      </c>
      <c r="C56" s="90">
        <f>VLOOKUP(A56,'Data Vlaue (Cr)'!C51:CY269,101,0)</f>
        <v>-17</v>
      </c>
      <c r="D56" s="139">
        <f>VLOOKUP(A56,'Data Vlaue (Cr)'!C51:CZ269,102,0)</f>
        <v>-8.3999999999999995E-3</v>
      </c>
      <c r="E56" s="91">
        <f>VLOOKUP($A56,'Data Vlaue (Cr)'!$C:$FB,75)</f>
        <v>1297</v>
      </c>
      <c r="F56" s="91">
        <f>VLOOKUP($A56,'Data Vlaue (Cr)'!$C:$FB,77)</f>
        <v>1</v>
      </c>
      <c r="G56" s="92">
        <f>VLOOKUP(A56,'Data Vlaue (Cr)'!C51:CB269,78,0)</f>
        <v>6.9999999999999999E-4</v>
      </c>
      <c r="H56" s="91">
        <f>VLOOKUP($A56,'Data Vlaue (Cr)'!$C:$FB,91)</f>
        <v>408</v>
      </c>
      <c r="I56" s="91">
        <f>VLOOKUP($A56,'Data Vlaue (Cr)'!$C:$FB,93)</f>
        <v>-18</v>
      </c>
      <c r="J56" s="92">
        <f>VLOOKUP($A56,'Data Vlaue (Cr)'!$C:$FB,94)</f>
        <v>-4.1700000000000001E-2</v>
      </c>
      <c r="K56" s="91">
        <f>VLOOKUP($A56,'Data Vlaue (Cr)'!$C:$FB,95)</f>
        <v>272</v>
      </c>
      <c r="L56" s="91">
        <f>VLOOKUP($A56,'Data Vlaue (Cr)'!$C:$FB,97)</f>
        <v>0</v>
      </c>
      <c r="M56" s="92">
        <f>VLOOKUP($A56,'Data Vlaue (Cr)'!$C:$FB,98)</f>
        <v>2.0000000000000001E-4</v>
      </c>
      <c r="N56" s="91">
        <f>VLOOKUP($A56,'Data Vlaue (Cr)'!$C:$FB,79)</f>
        <v>877</v>
      </c>
      <c r="O56" s="92">
        <f>VLOOKUP($A56,'Data Vlaue (Cr)'!$C:$FB,82)</f>
        <v>-0.2087</v>
      </c>
    </row>
    <row r="57" spans="1:15" x14ac:dyDescent="0.25">
      <c r="A57" s="97" t="str">
        <f>'Data Vlaue (Cr)'!C52</f>
        <v>CROMPTON</v>
      </c>
      <c r="B57" s="142">
        <f>VLOOKUP(A57,'Data Vlaue (Cr)'!C52:CW270,99,0)</f>
        <v>1632</v>
      </c>
      <c r="C57" s="90">
        <f>VLOOKUP(A57,'Data Vlaue (Cr)'!C52:CY270,101,0)</f>
        <v>-87</v>
      </c>
      <c r="D57" s="139">
        <f>VLOOKUP(A57,'Data Vlaue (Cr)'!C52:CZ270,102,0)</f>
        <v>-5.04E-2</v>
      </c>
      <c r="E57" s="91">
        <f>VLOOKUP($A57,'Data Vlaue (Cr)'!$C:$FB,75)</f>
        <v>1123</v>
      </c>
      <c r="F57" s="91">
        <f>VLOOKUP($A57,'Data Vlaue (Cr)'!$C:$FB,77)</f>
        <v>-20</v>
      </c>
      <c r="G57" s="92">
        <f>VLOOKUP(A57,'Data Vlaue (Cr)'!C52:CB270,78,0)</f>
        <v>-1.7600000000000001E-2</v>
      </c>
      <c r="H57" s="91">
        <f>VLOOKUP($A57,'Data Vlaue (Cr)'!$C:$FB,91)</f>
        <v>320</v>
      </c>
      <c r="I57" s="91">
        <f>VLOOKUP($A57,'Data Vlaue (Cr)'!$C:$FB,93)</f>
        <v>-46</v>
      </c>
      <c r="J57" s="92">
        <f>VLOOKUP($A57,'Data Vlaue (Cr)'!$C:$FB,94)</f>
        <v>-0.12520000000000001</v>
      </c>
      <c r="K57" s="91">
        <f>VLOOKUP($A57,'Data Vlaue (Cr)'!$C:$FB,95)</f>
        <v>189</v>
      </c>
      <c r="L57" s="91">
        <f>VLOOKUP($A57,'Data Vlaue (Cr)'!$C:$FB,97)</f>
        <v>-21</v>
      </c>
      <c r="M57" s="92">
        <f>VLOOKUP($A57,'Data Vlaue (Cr)'!$C:$FB,98)</f>
        <v>-9.8299999999999998E-2</v>
      </c>
      <c r="N57" s="91">
        <f>VLOOKUP($A57,'Data Vlaue (Cr)'!$C:$FB,79)</f>
        <v>685</v>
      </c>
      <c r="O57" s="92">
        <f>VLOOKUP($A57,'Data Vlaue (Cr)'!$C:$FB,82)</f>
        <v>-0.34910000000000002</v>
      </c>
    </row>
    <row r="58" spans="1:15" x14ac:dyDescent="0.25">
      <c r="A58" s="97" t="str">
        <f>'Data Vlaue (Cr)'!C53</f>
        <v>CUMMINSIND</v>
      </c>
      <c r="B58" s="142">
        <f>VLOOKUP(A58,'Data Vlaue (Cr)'!C53:CW271,99,0)</f>
        <v>3375</v>
      </c>
      <c r="C58" s="90">
        <f>VLOOKUP(A58,'Data Vlaue (Cr)'!C53:CY271,101,0)</f>
        <v>-59</v>
      </c>
      <c r="D58" s="139">
        <f>VLOOKUP(A58,'Data Vlaue (Cr)'!C53:CZ271,102,0)</f>
        <v>-1.7299999999999999E-2</v>
      </c>
      <c r="E58" s="91">
        <f>VLOOKUP($A58,'Data Vlaue (Cr)'!$C:$FB,75)</f>
        <v>2134</v>
      </c>
      <c r="F58" s="91">
        <f>VLOOKUP($A58,'Data Vlaue (Cr)'!$C:$FB,77)</f>
        <v>-10</v>
      </c>
      <c r="G58" s="92">
        <f>VLOOKUP(A58,'Data Vlaue (Cr)'!C53:CB271,78,0)</f>
        <v>-4.7000000000000002E-3</v>
      </c>
      <c r="H58" s="91">
        <f>VLOOKUP($A58,'Data Vlaue (Cr)'!$C:$FB,91)</f>
        <v>709</v>
      </c>
      <c r="I58" s="91">
        <f>VLOOKUP($A58,'Data Vlaue (Cr)'!$C:$FB,93)</f>
        <v>-38</v>
      </c>
      <c r="J58" s="92">
        <f>VLOOKUP($A58,'Data Vlaue (Cr)'!$C:$FB,94)</f>
        <v>-5.1400000000000001E-2</v>
      </c>
      <c r="K58" s="91">
        <f>VLOOKUP($A58,'Data Vlaue (Cr)'!$C:$FB,95)</f>
        <v>533</v>
      </c>
      <c r="L58" s="91">
        <f>VLOOKUP($A58,'Data Vlaue (Cr)'!$C:$FB,97)</f>
        <v>-11</v>
      </c>
      <c r="M58" s="92">
        <f>VLOOKUP($A58,'Data Vlaue (Cr)'!$C:$FB,98)</f>
        <v>-0.02</v>
      </c>
      <c r="N58" s="91">
        <f>VLOOKUP($A58,'Data Vlaue (Cr)'!$C:$FB,79)</f>
        <v>1259</v>
      </c>
      <c r="O58" s="92">
        <f>VLOOKUP($A58,'Data Vlaue (Cr)'!$C:$FB,82)</f>
        <v>-0.28920000000000001</v>
      </c>
    </row>
    <row r="59" spans="1:15" x14ac:dyDescent="0.25">
      <c r="A59" s="97" t="str">
        <f>'Data Vlaue (Cr)'!C54</f>
        <v>DABUR</v>
      </c>
      <c r="B59" s="142">
        <f>VLOOKUP(A59,'Data Vlaue (Cr)'!C54:CW272,99,0)</f>
        <v>2255</v>
      </c>
      <c r="C59" s="90">
        <f>VLOOKUP(A59,'Data Vlaue (Cr)'!C54:CY272,101,0)</f>
        <v>9</v>
      </c>
      <c r="D59" s="139">
        <f>VLOOKUP(A59,'Data Vlaue (Cr)'!C54:CZ272,102,0)</f>
        <v>4.0000000000000001E-3</v>
      </c>
      <c r="E59" s="91">
        <f>VLOOKUP($A59,'Data Vlaue (Cr)'!$C:$FB,75)</f>
        <v>1382</v>
      </c>
      <c r="F59" s="91">
        <f>VLOOKUP($A59,'Data Vlaue (Cr)'!$C:$FB,77)</f>
        <v>21</v>
      </c>
      <c r="G59" s="92">
        <f>VLOOKUP(A59,'Data Vlaue (Cr)'!C54:CB272,78,0)</f>
        <v>1.5599999999999999E-2</v>
      </c>
      <c r="H59" s="91">
        <f>VLOOKUP($A59,'Data Vlaue (Cr)'!$C:$FB,91)</f>
        <v>465</v>
      </c>
      <c r="I59" s="91">
        <f>VLOOKUP($A59,'Data Vlaue (Cr)'!$C:$FB,93)</f>
        <v>-26</v>
      </c>
      <c r="J59" s="92">
        <f>VLOOKUP($A59,'Data Vlaue (Cr)'!$C:$FB,94)</f>
        <v>-5.21E-2</v>
      </c>
      <c r="K59" s="91">
        <f>VLOOKUP($A59,'Data Vlaue (Cr)'!$C:$FB,95)</f>
        <v>408</v>
      </c>
      <c r="L59" s="91">
        <f>VLOOKUP($A59,'Data Vlaue (Cr)'!$C:$FB,97)</f>
        <v>13</v>
      </c>
      <c r="M59" s="92">
        <f>VLOOKUP($A59,'Data Vlaue (Cr)'!$C:$FB,98)</f>
        <v>3.3599999999999998E-2</v>
      </c>
      <c r="N59" s="91">
        <f>VLOOKUP($A59,'Data Vlaue (Cr)'!$C:$FB,79)</f>
        <v>898</v>
      </c>
      <c r="O59" s="92">
        <f>VLOOKUP($A59,'Data Vlaue (Cr)'!$C:$FB,82)</f>
        <v>-0.27760000000000001</v>
      </c>
    </row>
    <row r="60" spans="1:15" x14ac:dyDescent="0.25">
      <c r="A60" s="97" t="str">
        <f>'Data Vlaue (Cr)'!C55</f>
        <v>DALBHARAT</v>
      </c>
      <c r="B60" s="142">
        <f>VLOOKUP(A60,'Data Vlaue (Cr)'!C55:CW273,99,0)</f>
        <v>885</v>
      </c>
      <c r="C60" s="90">
        <f>VLOOKUP(A60,'Data Vlaue (Cr)'!C55:CY273,101,0)</f>
        <v>-45</v>
      </c>
      <c r="D60" s="139">
        <f>VLOOKUP(A60,'Data Vlaue (Cr)'!C55:CZ273,102,0)</f>
        <v>-4.8300000000000003E-2</v>
      </c>
      <c r="E60" s="91">
        <f>VLOOKUP($A60,'Data Vlaue (Cr)'!$C:$FB,75)</f>
        <v>480</v>
      </c>
      <c r="F60" s="91">
        <f>VLOOKUP($A60,'Data Vlaue (Cr)'!$C:$FB,77)</f>
        <v>-8</v>
      </c>
      <c r="G60" s="92">
        <f>VLOOKUP(A60,'Data Vlaue (Cr)'!C55:CB273,78,0)</f>
        <v>-1.6799999999999999E-2</v>
      </c>
      <c r="H60" s="91">
        <f>VLOOKUP($A60,'Data Vlaue (Cr)'!$C:$FB,91)</f>
        <v>233</v>
      </c>
      <c r="I60" s="91">
        <f>VLOOKUP($A60,'Data Vlaue (Cr)'!$C:$FB,93)</f>
        <v>-2</v>
      </c>
      <c r="J60" s="92">
        <f>VLOOKUP($A60,'Data Vlaue (Cr)'!$C:$FB,94)</f>
        <v>-8.6999999999999994E-3</v>
      </c>
      <c r="K60" s="91">
        <f>VLOOKUP($A60,'Data Vlaue (Cr)'!$C:$FB,95)</f>
        <v>172</v>
      </c>
      <c r="L60" s="91">
        <f>VLOOKUP($A60,'Data Vlaue (Cr)'!$C:$FB,97)</f>
        <v>-35</v>
      </c>
      <c r="M60" s="92">
        <f>VLOOKUP($A60,'Data Vlaue (Cr)'!$C:$FB,98)</f>
        <v>-0.16769999999999999</v>
      </c>
      <c r="N60" s="91">
        <f>VLOOKUP($A60,'Data Vlaue (Cr)'!$C:$FB,79)</f>
        <v>280</v>
      </c>
      <c r="O60" s="92">
        <f>VLOOKUP($A60,'Data Vlaue (Cr)'!$C:$FB,82)</f>
        <v>-0.39369999999999999</v>
      </c>
    </row>
    <row r="61" spans="1:15" x14ac:dyDescent="0.25">
      <c r="A61" s="97" t="str">
        <f>'Data Vlaue (Cr)'!C56</f>
        <v>DELHIVERY</v>
      </c>
      <c r="B61" s="142">
        <f>VLOOKUP(A61,'Data Vlaue (Cr)'!C56:CW274,99,0)</f>
        <v>2381</v>
      </c>
      <c r="C61" s="90">
        <f>VLOOKUP(A61,'Data Vlaue (Cr)'!C56:CY274,101,0)</f>
        <v>-62</v>
      </c>
      <c r="D61" s="139">
        <f>VLOOKUP(A61,'Data Vlaue (Cr)'!C56:CZ274,102,0)</f>
        <v>-2.53E-2</v>
      </c>
      <c r="E61" s="91">
        <f>VLOOKUP($A61,'Data Vlaue (Cr)'!$C:$FB,75)</f>
        <v>1439</v>
      </c>
      <c r="F61" s="91">
        <f>VLOOKUP($A61,'Data Vlaue (Cr)'!$C:$FB,77)</f>
        <v>14</v>
      </c>
      <c r="G61" s="92">
        <f>VLOOKUP(A61,'Data Vlaue (Cr)'!C56:CB274,78,0)</f>
        <v>9.4999999999999998E-3</v>
      </c>
      <c r="H61" s="91">
        <f>VLOOKUP($A61,'Data Vlaue (Cr)'!$C:$FB,91)</f>
        <v>676</v>
      </c>
      <c r="I61" s="91">
        <f>VLOOKUP($A61,'Data Vlaue (Cr)'!$C:$FB,93)</f>
        <v>-61</v>
      </c>
      <c r="J61" s="92">
        <f>VLOOKUP($A61,'Data Vlaue (Cr)'!$C:$FB,94)</f>
        <v>-8.2900000000000001E-2</v>
      </c>
      <c r="K61" s="91">
        <f>VLOOKUP($A61,'Data Vlaue (Cr)'!$C:$FB,95)</f>
        <v>267</v>
      </c>
      <c r="L61" s="91">
        <f>VLOOKUP($A61,'Data Vlaue (Cr)'!$C:$FB,97)</f>
        <v>-14</v>
      </c>
      <c r="M61" s="92">
        <f>VLOOKUP($A61,'Data Vlaue (Cr)'!$C:$FB,98)</f>
        <v>-5.0500000000000003E-2</v>
      </c>
      <c r="N61" s="91">
        <f>VLOOKUP($A61,'Data Vlaue (Cr)'!$C:$FB,79)</f>
        <v>953</v>
      </c>
      <c r="O61" s="92">
        <f>VLOOKUP($A61,'Data Vlaue (Cr)'!$C:$FB,82)</f>
        <v>-0.25629999999999997</v>
      </c>
    </row>
    <row r="62" spans="1:15" x14ac:dyDescent="0.25">
      <c r="A62" s="97" t="str">
        <f>'Data Vlaue (Cr)'!C57</f>
        <v>DIVISLAB</v>
      </c>
      <c r="B62" s="142">
        <f>VLOOKUP(A62,'Data Vlaue (Cr)'!C57:CW275,99,0)</f>
        <v>2805</v>
      </c>
      <c r="C62" s="90">
        <f>VLOOKUP(A62,'Data Vlaue (Cr)'!C57:CY275,101,0)</f>
        <v>15</v>
      </c>
      <c r="D62" s="139">
        <f>VLOOKUP(A62,'Data Vlaue (Cr)'!C57:CZ275,102,0)</f>
        <v>5.3E-3</v>
      </c>
      <c r="E62" s="91">
        <f>VLOOKUP($A62,'Data Vlaue (Cr)'!$C:$FB,75)</f>
        <v>1728</v>
      </c>
      <c r="F62" s="91">
        <f>VLOOKUP($A62,'Data Vlaue (Cr)'!$C:$FB,77)</f>
        <v>-41</v>
      </c>
      <c r="G62" s="92">
        <f>VLOOKUP(A62,'Data Vlaue (Cr)'!C57:CB275,78,0)</f>
        <v>-2.3E-2</v>
      </c>
      <c r="H62" s="91">
        <f>VLOOKUP($A62,'Data Vlaue (Cr)'!$C:$FB,91)</f>
        <v>520</v>
      </c>
      <c r="I62" s="91">
        <f>VLOOKUP($A62,'Data Vlaue (Cr)'!$C:$FB,93)</f>
        <v>33</v>
      </c>
      <c r="J62" s="92">
        <f>VLOOKUP($A62,'Data Vlaue (Cr)'!$C:$FB,94)</f>
        <v>6.7699999999999996E-2</v>
      </c>
      <c r="K62" s="91">
        <f>VLOOKUP($A62,'Data Vlaue (Cr)'!$C:$FB,95)</f>
        <v>556</v>
      </c>
      <c r="L62" s="91">
        <f>VLOOKUP($A62,'Data Vlaue (Cr)'!$C:$FB,97)</f>
        <v>23</v>
      </c>
      <c r="M62" s="92">
        <f>VLOOKUP($A62,'Data Vlaue (Cr)'!$C:$FB,98)</f>
        <v>4.2500000000000003E-2</v>
      </c>
      <c r="N62" s="91">
        <f>VLOOKUP($A62,'Data Vlaue (Cr)'!$C:$FB,79)</f>
        <v>1005</v>
      </c>
      <c r="O62" s="92">
        <f>VLOOKUP($A62,'Data Vlaue (Cr)'!$C:$FB,82)</f>
        <v>-0.31680000000000003</v>
      </c>
    </row>
    <row r="63" spans="1:15" x14ac:dyDescent="0.25">
      <c r="A63" s="97" t="str">
        <f>'Data Vlaue (Cr)'!C58</f>
        <v>DIXON</v>
      </c>
      <c r="B63" s="142">
        <f>VLOOKUP(A63,'Data Vlaue (Cr)'!C58:CW276,99,0)</f>
        <v>7130</v>
      </c>
      <c r="C63" s="90">
        <f>VLOOKUP(A63,'Data Vlaue (Cr)'!C58:CY276,101,0)</f>
        <v>0</v>
      </c>
      <c r="D63" s="139">
        <f>VLOOKUP(A63,'Data Vlaue (Cr)'!C58:CZ276,102,0)</f>
        <v>0</v>
      </c>
      <c r="E63" s="91">
        <f>VLOOKUP($A63,'Data Vlaue (Cr)'!$C:$FB,75)</f>
        <v>3151</v>
      </c>
      <c r="F63" s="91">
        <f>VLOOKUP($A63,'Data Vlaue (Cr)'!$C:$FB,77)</f>
        <v>-141</v>
      </c>
      <c r="G63" s="92">
        <f>VLOOKUP(A63,'Data Vlaue (Cr)'!C58:CB276,78,0)</f>
        <v>-4.2900000000000001E-2</v>
      </c>
      <c r="H63" s="91">
        <f>VLOOKUP($A63,'Data Vlaue (Cr)'!$C:$FB,91)</f>
        <v>2339</v>
      </c>
      <c r="I63" s="91">
        <f>VLOOKUP($A63,'Data Vlaue (Cr)'!$C:$FB,93)</f>
        <v>150</v>
      </c>
      <c r="J63" s="92">
        <f>VLOOKUP($A63,'Data Vlaue (Cr)'!$C:$FB,94)</f>
        <v>6.83E-2</v>
      </c>
      <c r="K63" s="91">
        <f>VLOOKUP($A63,'Data Vlaue (Cr)'!$C:$FB,95)</f>
        <v>1640</v>
      </c>
      <c r="L63" s="91">
        <f>VLOOKUP($A63,'Data Vlaue (Cr)'!$C:$FB,97)</f>
        <v>-8</v>
      </c>
      <c r="M63" s="92">
        <f>VLOOKUP($A63,'Data Vlaue (Cr)'!$C:$FB,98)</f>
        <v>-5.0000000000000001E-3</v>
      </c>
      <c r="N63" s="91">
        <f>VLOOKUP($A63,'Data Vlaue (Cr)'!$C:$FB,79)</f>
        <v>1494</v>
      </c>
      <c r="O63" s="92">
        <f>VLOOKUP($A63,'Data Vlaue (Cr)'!$C:$FB,82)</f>
        <v>-0.3931</v>
      </c>
    </row>
    <row r="64" spans="1:15" x14ac:dyDescent="0.25">
      <c r="A64" s="97" t="str">
        <f>'Data Vlaue (Cr)'!C59</f>
        <v>DLF</v>
      </c>
      <c r="B64" s="142">
        <f>VLOOKUP(A64,'Data Vlaue (Cr)'!C59:CW277,99,0)</f>
        <v>4316</v>
      </c>
      <c r="C64" s="90">
        <f>VLOOKUP(A64,'Data Vlaue (Cr)'!C59:CY277,101,0)</f>
        <v>33</v>
      </c>
      <c r="D64" s="139">
        <f>VLOOKUP(A64,'Data Vlaue (Cr)'!C59:CZ277,102,0)</f>
        <v>7.7000000000000002E-3</v>
      </c>
      <c r="E64" s="91">
        <f>VLOOKUP($A64,'Data Vlaue (Cr)'!$C:$FB,75)</f>
        <v>2913</v>
      </c>
      <c r="F64" s="91">
        <f>VLOOKUP($A64,'Data Vlaue (Cr)'!$C:$FB,77)</f>
        <v>17</v>
      </c>
      <c r="G64" s="92">
        <f>VLOOKUP(A64,'Data Vlaue (Cr)'!C59:CB277,78,0)</f>
        <v>6.0000000000000001E-3</v>
      </c>
      <c r="H64" s="91">
        <f>VLOOKUP($A64,'Data Vlaue (Cr)'!$C:$FB,91)</f>
        <v>715</v>
      </c>
      <c r="I64" s="91">
        <f>VLOOKUP($A64,'Data Vlaue (Cr)'!$C:$FB,93)</f>
        <v>33</v>
      </c>
      <c r="J64" s="92">
        <f>VLOOKUP($A64,'Data Vlaue (Cr)'!$C:$FB,94)</f>
        <v>4.8800000000000003E-2</v>
      </c>
      <c r="K64" s="91">
        <f>VLOOKUP($A64,'Data Vlaue (Cr)'!$C:$FB,95)</f>
        <v>688</v>
      </c>
      <c r="L64" s="91">
        <f>VLOOKUP($A64,'Data Vlaue (Cr)'!$C:$FB,97)</f>
        <v>-18</v>
      </c>
      <c r="M64" s="92">
        <f>VLOOKUP($A64,'Data Vlaue (Cr)'!$C:$FB,98)</f>
        <v>-2.5000000000000001E-2</v>
      </c>
      <c r="N64" s="91">
        <f>VLOOKUP($A64,'Data Vlaue (Cr)'!$C:$FB,79)</f>
        <v>1820</v>
      </c>
      <c r="O64" s="92">
        <f>VLOOKUP($A64,'Data Vlaue (Cr)'!$C:$FB,82)</f>
        <v>-0.19589999999999999</v>
      </c>
    </row>
    <row r="65" spans="1:15" x14ac:dyDescent="0.25">
      <c r="A65" s="97" t="str">
        <f>'Data Vlaue (Cr)'!C60</f>
        <v>DMART</v>
      </c>
      <c r="B65" s="142">
        <f>VLOOKUP(A65,'Data Vlaue (Cr)'!C60:CW278,99,0)</f>
        <v>3243</v>
      </c>
      <c r="C65" s="90">
        <f>VLOOKUP(A65,'Data Vlaue (Cr)'!C60:CY278,101,0)</f>
        <v>-214</v>
      </c>
      <c r="D65" s="139">
        <f>VLOOKUP(A65,'Data Vlaue (Cr)'!C60:CZ278,102,0)</f>
        <v>-6.1899999999999997E-2</v>
      </c>
      <c r="E65" s="91">
        <f>VLOOKUP($A65,'Data Vlaue (Cr)'!$C:$FB,75)</f>
        <v>1689</v>
      </c>
      <c r="F65" s="91">
        <f>VLOOKUP($A65,'Data Vlaue (Cr)'!$C:$FB,77)</f>
        <v>-128</v>
      </c>
      <c r="G65" s="92">
        <f>VLOOKUP(A65,'Data Vlaue (Cr)'!C60:CB278,78,0)</f>
        <v>-7.0499999999999993E-2</v>
      </c>
      <c r="H65" s="91">
        <f>VLOOKUP($A65,'Data Vlaue (Cr)'!$C:$FB,91)</f>
        <v>835</v>
      </c>
      <c r="I65" s="91">
        <f>VLOOKUP($A65,'Data Vlaue (Cr)'!$C:$FB,93)</f>
        <v>-35</v>
      </c>
      <c r="J65" s="92">
        <f>VLOOKUP($A65,'Data Vlaue (Cr)'!$C:$FB,94)</f>
        <v>-3.9899999999999998E-2</v>
      </c>
      <c r="K65" s="91">
        <f>VLOOKUP($A65,'Data Vlaue (Cr)'!$C:$FB,95)</f>
        <v>720</v>
      </c>
      <c r="L65" s="91">
        <f>VLOOKUP($A65,'Data Vlaue (Cr)'!$C:$FB,97)</f>
        <v>-51</v>
      </c>
      <c r="M65" s="92">
        <f>VLOOKUP($A65,'Data Vlaue (Cr)'!$C:$FB,98)</f>
        <v>-6.6199999999999995E-2</v>
      </c>
      <c r="N65" s="91">
        <f>VLOOKUP($A65,'Data Vlaue (Cr)'!$C:$FB,79)</f>
        <v>904</v>
      </c>
      <c r="O65" s="92">
        <f>VLOOKUP($A65,'Data Vlaue (Cr)'!$C:$FB,82)</f>
        <v>-0.42809999999999998</v>
      </c>
    </row>
    <row r="66" spans="1:15" x14ac:dyDescent="0.25">
      <c r="A66" s="97" t="str">
        <f>'Data Vlaue (Cr)'!C61</f>
        <v>DRREDDY</v>
      </c>
      <c r="B66" s="142">
        <f>VLOOKUP(A66,'Data Vlaue (Cr)'!C61:CW279,99,0)</f>
        <v>5026</v>
      </c>
      <c r="C66" s="90">
        <f>VLOOKUP(A66,'Data Vlaue (Cr)'!C61:CY279,101,0)</f>
        <v>1277</v>
      </c>
      <c r="D66" s="139">
        <f>VLOOKUP(A66,'Data Vlaue (Cr)'!C61:CZ279,102,0)</f>
        <v>0.3407</v>
      </c>
      <c r="E66" s="91">
        <f>VLOOKUP($A66,'Data Vlaue (Cr)'!$C:$FB,75)</f>
        <v>2086</v>
      </c>
      <c r="F66" s="91">
        <f>VLOOKUP($A66,'Data Vlaue (Cr)'!$C:$FB,77)</f>
        <v>16</v>
      </c>
      <c r="G66" s="92">
        <f>VLOOKUP(A66,'Data Vlaue (Cr)'!C61:CB279,78,0)</f>
        <v>7.9000000000000008E-3</v>
      </c>
      <c r="H66" s="91">
        <f>VLOOKUP($A66,'Data Vlaue (Cr)'!$C:$FB,91)</f>
        <v>1766</v>
      </c>
      <c r="I66" s="91">
        <f>VLOOKUP($A66,'Data Vlaue (Cr)'!$C:$FB,93)</f>
        <v>771</v>
      </c>
      <c r="J66" s="92">
        <f>VLOOKUP($A66,'Data Vlaue (Cr)'!$C:$FB,94)</f>
        <v>0.77410000000000001</v>
      </c>
      <c r="K66" s="91">
        <f>VLOOKUP($A66,'Data Vlaue (Cr)'!$C:$FB,95)</f>
        <v>1174</v>
      </c>
      <c r="L66" s="91">
        <f>VLOOKUP($A66,'Data Vlaue (Cr)'!$C:$FB,97)</f>
        <v>490</v>
      </c>
      <c r="M66" s="92">
        <f>VLOOKUP($A66,'Data Vlaue (Cr)'!$C:$FB,98)</f>
        <v>0.71760000000000002</v>
      </c>
      <c r="N66" s="91">
        <f>VLOOKUP($A66,'Data Vlaue (Cr)'!$C:$FB,79)</f>
        <v>1060</v>
      </c>
      <c r="O66" s="92">
        <f>VLOOKUP($A66,'Data Vlaue (Cr)'!$C:$FB,82)</f>
        <v>-0.39529999999999998</v>
      </c>
    </row>
    <row r="67" spans="1:15" x14ac:dyDescent="0.25">
      <c r="A67" s="97" t="str">
        <f>'Data Vlaue (Cr)'!C62</f>
        <v>EICHERMOT</v>
      </c>
      <c r="B67" s="142">
        <f>VLOOKUP(A67,'Data Vlaue (Cr)'!C62:CW280,99,0)</f>
        <v>5278</v>
      </c>
      <c r="C67" s="90">
        <f>VLOOKUP(A67,'Data Vlaue (Cr)'!C62:CY280,101,0)</f>
        <v>-86</v>
      </c>
      <c r="D67" s="139">
        <f>VLOOKUP(A67,'Data Vlaue (Cr)'!C62:CZ280,102,0)</f>
        <v>-1.6E-2</v>
      </c>
      <c r="E67" s="91">
        <f>VLOOKUP($A67,'Data Vlaue (Cr)'!$C:$FB,75)</f>
        <v>2795</v>
      </c>
      <c r="F67" s="91">
        <f>VLOOKUP($A67,'Data Vlaue (Cr)'!$C:$FB,77)</f>
        <v>-95</v>
      </c>
      <c r="G67" s="92">
        <f>VLOOKUP(A67,'Data Vlaue (Cr)'!C62:CB280,78,0)</f>
        <v>-3.27E-2</v>
      </c>
      <c r="H67" s="91">
        <f>VLOOKUP($A67,'Data Vlaue (Cr)'!$C:$FB,91)</f>
        <v>1437</v>
      </c>
      <c r="I67" s="91">
        <f>VLOOKUP($A67,'Data Vlaue (Cr)'!$C:$FB,93)</f>
        <v>30</v>
      </c>
      <c r="J67" s="92">
        <f>VLOOKUP($A67,'Data Vlaue (Cr)'!$C:$FB,94)</f>
        <v>2.1600000000000001E-2</v>
      </c>
      <c r="K67" s="91">
        <f>VLOOKUP($A67,'Data Vlaue (Cr)'!$C:$FB,95)</f>
        <v>1046</v>
      </c>
      <c r="L67" s="91">
        <f>VLOOKUP($A67,'Data Vlaue (Cr)'!$C:$FB,97)</f>
        <v>-22</v>
      </c>
      <c r="M67" s="92">
        <f>VLOOKUP($A67,'Data Vlaue (Cr)'!$C:$FB,98)</f>
        <v>-2.0199999999999999E-2</v>
      </c>
      <c r="N67" s="91">
        <f>VLOOKUP($A67,'Data Vlaue (Cr)'!$C:$FB,79)</f>
        <v>1595</v>
      </c>
      <c r="O67" s="92">
        <f>VLOOKUP($A67,'Data Vlaue (Cr)'!$C:$FB,82)</f>
        <v>-0.30719999999999997</v>
      </c>
    </row>
    <row r="68" spans="1:15" x14ac:dyDescent="0.25">
      <c r="A68" s="97" t="str">
        <f>'Data Vlaue (Cr)'!C63</f>
        <v>ETERNAL</v>
      </c>
      <c r="B68" s="142">
        <f>VLOOKUP(A68,'Data Vlaue (Cr)'!C63:CW281,99,0)</f>
        <v>7692</v>
      </c>
      <c r="C68" s="90">
        <f>VLOOKUP(A68,'Data Vlaue (Cr)'!C63:CY281,101,0)</f>
        <v>-34</v>
      </c>
      <c r="D68" s="139">
        <f>VLOOKUP(A68,'Data Vlaue (Cr)'!C63:CZ281,102,0)</f>
        <v>-4.4999999999999997E-3</v>
      </c>
      <c r="E68" s="91">
        <f>VLOOKUP($A68,'Data Vlaue (Cr)'!$C:$FB,75)</f>
        <v>4802</v>
      </c>
      <c r="F68" s="91">
        <f>VLOOKUP($A68,'Data Vlaue (Cr)'!$C:$FB,77)</f>
        <v>-25</v>
      </c>
      <c r="G68" s="92">
        <f>VLOOKUP(A68,'Data Vlaue (Cr)'!C63:CB281,78,0)</f>
        <v>-5.1000000000000004E-3</v>
      </c>
      <c r="H68" s="91">
        <f>VLOOKUP($A68,'Data Vlaue (Cr)'!$C:$FB,91)</f>
        <v>1578</v>
      </c>
      <c r="I68" s="91">
        <f>VLOOKUP($A68,'Data Vlaue (Cr)'!$C:$FB,93)</f>
        <v>-4</v>
      </c>
      <c r="J68" s="92">
        <f>VLOOKUP($A68,'Data Vlaue (Cr)'!$C:$FB,94)</f>
        <v>-2.3999999999999998E-3</v>
      </c>
      <c r="K68" s="91">
        <f>VLOOKUP($A68,'Data Vlaue (Cr)'!$C:$FB,95)</f>
        <v>1311</v>
      </c>
      <c r="L68" s="91">
        <f>VLOOKUP($A68,'Data Vlaue (Cr)'!$C:$FB,97)</f>
        <v>-6</v>
      </c>
      <c r="M68" s="92">
        <f>VLOOKUP($A68,'Data Vlaue (Cr)'!$C:$FB,98)</f>
        <v>-4.4999999999999997E-3</v>
      </c>
      <c r="N68" s="91">
        <f>VLOOKUP($A68,'Data Vlaue (Cr)'!$C:$FB,79)</f>
        <v>2807</v>
      </c>
      <c r="O68" s="92">
        <f>VLOOKUP($A68,'Data Vlaue (Cr)'!$C:$FB,82)</f>
        <v>-0.28939999999999999</v>
      </c>
    </row>
    <row r="69" spans="1:15" x14ac:dyDescent="0.25">
      <c r="A69" s="97" t="str">
        <f>'Data Vlaue (Cr)'!C64</f>
        <v>EXIDEIND</v>
      </c>
      <c r="B69" s="142">
        <f>VLOOKUP(A69,'Data Vlaue (Cr)'!C64:CW282,99,0)</f>
        <v>2294</v>
      </c>
      <c r="C69" s="90">
        <f>VLOOKUP(A69,'Data Vlaue (Cr)'!C64:CY282,101,0)</f>
        <v>149</v>
      </c>
      <c r="D69" s="139">
        <f>VLOOKUP(A69,'Data Vlaue (Cr)'!C64:CZ282,102,0)</f>
        <v>6.9500000000000006E-2</v>
      </c>
      <c r="E69" s="91">
        <f>VLOOKUP($A69,'Data Vlaue (Cr)'!$C:$FB,75)</f>
        <v>1027</v>
      </c>
      <c r="F69" s="91">
        <f>VLOOKUP($A69,'Data Vlaue (Cr)'!$C:$FB,77)</f>
        <v>30</v>
      </c>
      <c r="G69" s="92">
        <f>VLOOKUP(A69,'Data Vlaue (Cr)'!C64:CB282,78,0)</f>
        <v>2.9899999999999999E-2</v>
      </c>
      <c r="H69" s="91">
        <f>VLOOKUP($A69,'Data Vlaue (Cr)'!$C:$FB,91)</f>
        <v>678</v>
      </c>
      <c r="I69" s="91">
        <f>VLOOKUP($A69,'Data Vlaue (Cr)'!$C:$FB,93)</f>
        <v>88</v>
      </c>
      <c r="J69" s="92">
        <f>VLOOKUP($A69,'Data Vlaue (Cr)'!$C:$FB,94)</f>
        <v>0.1497</v>
      </c>
      <c r="K69" s="91">
        <f>VLOOKUP($A69,'Data Vlaue (Cr)'!$C:$FB,95)</f>
        <v>589</v>
      </c>
      <c r="L69" s="91">
        <f>VLOOKUP($A69,'Data Vlaue (Cr)'!$C:$FB,97)</f>
        <v>31</v>
      </c>
      <c r="M69" s="92">
        <f>VLOOKUP($A69,'Data Vlaue (Cr)'!$C:$FB,98)</f>
        <v>5.5300000000000002E-2</v>
      </c>
      <c r="N69" s="91">
        <f>VLOOKUP($A69,'Data Vlaue (Cr)'!$C:$FB,79)</f>
        <v>505</v>
      </c>
      <c r="O69" s="92">
        <f>VLOOKUP($A69,'Data Vlaue (Cr)'!$C:$FB,82)</f>
        <v>-0.2475</v>
      </c>
    </row>
    <row r="70" spans="1:15" x14ac:dyDescent="0.25">
      <c r="A70" s="97" t="str">
        <f>'Data Vlaue (Cr)'!C65</f>
        <v>FEDERALBNK</v>
      </c>
      <c r="B70" s="142">
        <f>VLOOKUP(A70,'Data Vlaue (Cr)'!C65:CW283,99,0)</f>
        <v>4491</v>
      </c>
      <c r="C70" s="90">
        <f>VLOOKUP(A70,'Data Vlaue (Cr)'!C65:CY283,101,0)</f>
        <v>32</v>
      </c>
      <c r="D70" s="139">
        <f>VLOOKUP(A70,'Data Vlaue (Cr)'!C65:CZ283,102,0)</f>
        <v>7.1999999999999998E-3</v>
      </c>
      <c r="E70" s="91">
        <f>VLOOKUP($A70,'Data Vlaue (Cr)'!$C:$FB,75)</f>
        <v>2342</v>
      </c>
      <c r="F70" s="91">
        <f>VLOOKUP($A70,'Data Vlaue (Cr)'!$C:$FB,77)</f>
        <v>63</v>
      </c>
      <c r="G70" s="92">
        <f>VLOOKUP(A70,'Data Vlaue (Cr)'!C65:CB283,78,0)</f>
        <v>2.75E-2</v>
      </c>
      <c r="H70" s="91">
        <f>VLOOKUP($A70,'Data Vlaue (Cr)'!$C:$FB,91)</f>
        <v>1127</v>
      </c>
      <c r="I70" s="91">
        <f>VLOOKUP($A70,'Data Vlaue (Cr)'!$C:$FB,93)</f>
        <v>-13</v>
      </c>
      <c r="J70" s="92">
        <f>VLOOKUP($A70,'Data Vlaue (Cr)'!$C:$FB,94)</f>
        <v>-1.1299999999999999E-2</v>
      </c>
      <c r="K70" s="91">
        <f>VLOOKUP($A70,'Data Vlaue (Cr)'!$C:$FB,95)</f>
        <v>1022</v>
      </c>
      <c r="L70" s="91">
        <f>VLOOKUP($A70,'Data Vlaue (Cr)'!$C:$FB,97)</f>
        <v>-18</v>
      </c>
      <c r="M70" s="92">
        <f>VLOOKUP($A70,'Data Vlaue (Cr)'!$C:$FB,98)</f>
        <v>-1.6899999999999998E-2</v>
      </c>
      <c r="N70" s="91">
        <f>VLOOKUP($A70,'Data Vlaue (Cr)'!$C:$FB,79)</f>
        <v>1526</v>
      </c>
      <c r="O70" s="92">
        <f>VLOOKUP($A70,'Data Vlaue (Cr)'!$C:$FB,82)</f>
        <v>-0.18720000000000001</v>
      </c>
    </row>
    <row r="71" spans="1:15" x14ac:dyDescent="0.25">
      <c r="A71" s="97" t="str">
        <f>'Data Vlaue (Cr)'!C66</f>
        <v>FINNIFTY</v>
      </c>
      <c r="B71" s="142">
        <f>VLOOKUP(A71,'Data Vlaue (Cr)'!C66:CW284,99,0)</f>
        <v>3059</v>
      </c>
      <c r="C71" s="90">
        <f>VLOOKUP(A71,'Data Vlaue (Cr)'!C66:CY284,101,0)</f>
        <v>329</v>
      </c>
      <c r="D71" s="139">
        <f>VLOOKUP(A71,'Data Vlaue (Cr)'!C66:CZ284,102,0)</f>
        <v>0.1206</v>
      </c>
      <c r="E71" s="91">
        <f>VLOOKUP($A71,'Data Vlaue (Cr)'!$C:$FB,75)</f>
        <v>73</v>
      </c>
      <c r="F71" s="91">
        <f>VLOOKUP($A71,'Data Vlaue (Cr)'!$C:$FB,77)</f>
        <v>6</v>
      </c>
      <c r="G71" s="92">
        <f>VLOOKUP(A71,'Data Vlaue (Cr)'!C66:CB284,78,0)</f>
        <v>8.4900000000000003E-2</v>
      </c>
      <c r="H71" s="91">
        <f>VLOOKUP($A71,'Data Vlaue (Cr)'!$C:$FB,91)</f>
        <v>1577</v>
      </c>
      <c r="I71" s="91">
        <f>VLOOKUP($A71,'Data Vlaue (Cr)'!$C:$FB,93)</f>
        <v>212</v>
      </c>
      <c r="J71" s="92">
        <f>VLOOKUP($A71,'Data Vlaue (Cr)'!$C:$FB,94)</f>
        <v>0.15559999999999999</v>
      </c>
      <c r="K71" s="91">
        <f>VLOOKUP($A71,'Data Vlaue (Cr)'!$C:$FB,95)</f>
        <v>1409</v>
      </c>
      <c r="L71" s="91">
        <f>VLOOKUP($A71,'Data Vlaue (Cr)'!$C:$FB,97)</f>
        <v>111</v>
      </c>
      <c r="M71" s="92">
        <f>VLOOKUP($A71,'Data Vlaue (Cr)'!$C:$FB,98)</f>
        <v>8.5699999999999998E-2</v>
      </c>
      <c r="N71" s="91">
        <f>VLOOKUP($A71,'Data Vlaue (Cr)'!$C:$FB,79)</f>
        <v>57</v>
      </c>
      <c r="O71" s="92">
        <f>VLOOKUP($A71,'Data Vlaue (Cr)'!$C:$FB,82)</f>
        <v>1.6899999999999998E-2</v>
      </c>
    </row>
    <row r="72" spans="1:15" x14ac:dyDescent="0.25">
      <c r="A72" s="97" t="str">
        <f>'Data Vlaue (Cr)'!C67</f>
        <v>FORCEMOT</v>
      </c>
      <c r="B72" s="142">
        <f>VLOOKUP(A72,'Data Vlaue (Cr)'!C67:CW285,99,0)</f>
        <v>647</v>
      </c>
      <c r="C72" s="90">
        <f>VLOOKUP(A72,'Data Vlaue (Cr)'!C67:CY285,101,0)</f>
        <v>79</v>
      </c>
      <c r="D72" s="139">
        <f>VLOOKUP(A72,'Data Vlaue (Cr)'!C67:CZ285,102,0)</f>
        <v>0.13950000000000001</v>
      </c>
      <c r="E72" s="91">
        <f>VLOOKUP($A72,'Data Vlaue (Cr)'!$C:$FB,75)</f>
        <v>381</v>
      </c>
      <c r="F72" s="91">
        <f>VLOOKUP($A72,'Data Vlaue (Cr)'!$C:$FB,77)</f>
        <v>41</v>
      </c>
      <c r="G72" s="92">
        <f>VLOOKUP(A72,'Data Vlaue (Cr)'!C67:CB285,78,0)</f>
        <v>0.11990000000000001</v>
      </c>
      <c r="H72" s="91">
        <f>VLOOKUP($A72,'Data Vlaue (Cr)'!$C:$FB,91)</f>
        <v>204</v>
      </c>
      <c r="I72" s="91">
        <f>VLOOKUP($A72,'Data Vlaue (Cr)'!$C:$FB,93)</f>
        <v>36</v>
      </c>
      <c r="J72" s="92">
        <f>VLOOKUP($A72,'Data Vlaue (Cr)'!$C:$FB,94)</f>
        <v>0.21160000000000001</v>
      </c>
      <c r="K72" s="91">
        <f>VLOOKUP($A72,'Data Vlaue (Cr)'!$C:$FB,95)</f>
        <v>63</v>
      </c>
      <c r="L72" s="91">
        <f>VLOOKUP($A72,'Data Vlaue (Cr)'!$C:$FB,97)</f>
        <v>3</v>
      </c>
      <c r="M72" s="92">
        <f>VLOOKUP($A72,'Data Vlaue (Cr)'!$C:$FB,98)</f>
        <v>4.9099999999999998E-2</v>
      </c>
      <c r="N72" s="91">
        <f>VLOOKUP($A72,'Data Vlaue (Cr)'!$C:$FB,79)</f>
        <v>176</v>
      </c>
      <c r="O72" s="92">
        <f>VLOOKUP($A72,'Data Vlaue (Cr)'!$C:$FB,82)</f>
        <v>-0.2107</v>
      </c>
    </row>
    <row r="73" spans="1:15" x14ac:dyDescent="0.25">
      <c r="A73" s="97" t="str">
        <f>'Data Vlaue (Cr)'!C68</f>
        <v>FORTIS</v>
      </c>
      <c r="B73" s="142">
        <f>VLOOKUP(A73,'Data Vlaue (Cr)'!C68:CW286,99,0)</f>
        <v>1402</v>
      </c>
      <c r="C73" s="90">
        <f>VLOOKUP(A73,'Data Vlaue (Cr)'!C68:CY286,101,0)</f>
        <v>-46</v>
      </c>
      <c r="D73" s="139">
        <f>VLOOKUP(A73,'Data Vlaue (Cr)'!C68:CZ286,102,0)</f>
        <v>-3.2000000000000001E-2</v>
      </c>
      <c r="E73" s="91">
        <f>VLOOKUP($A73,'Data Vlaue (Cr)'!$C:$FB,75)</f>
        <v>942</v>
      </c>
      <c r="F73" s="91">
        <f>VLOOKUP($A73,'Data Vlaue (Cr)'!$C:$FB,77)</f>
        <v>-19</v>
      </c>
      <c r="G73" s="92">
        <f>VLOOKUP(A73,'Data Vlaue (Cr)'!C68:CB286,78,0)</f>
        <v>-1.95E-2</v>
      </c>
      <c r="H73" s="91">
        <f>VLOOKUP($A73,'Data Vlaue (Cr)'!$C:$FB,91)</f>
        <v>258</v>
      </c>
      <c r="I73" s="91">
        <f>VLOOKUP($A73,'Data Vlaue (Cr)'!$C:$FB,93)</f>
        <v>-13</v>
      </c>
      <c r="J73" s="92">
        <f>VLOOKUP($A73,'Data Vlaue (Cr)'!$C:$FB,94)</f>
        <v>-4.6800000000000001E-2</v>
      </c>
      <c r="K73" s="91">
        <f>VLOOKUP($A73,'Data Vlaue (Cr)'!$C:$FB,95)</f>
        <v>202</v>
      </c>
      <c r="L73" s="91">
        <f>VLOOKUP($A73,'Data Vlaue (Cr)'!$C:$FB,97)</f>
        <v>-15</v>
      </c>
      <c r="M73" s="92">
        <f>VLOOKUP($A73,'Data Vlaue (Cr)'!$C:$FB,98)</f>
        <v>-6.8900000000000003E-2</v>
      </c>
      <c r="N73" s="91">
        <f>VLOOKUP($A73,'Data Vlaue (Cr)'!$C:$FB,79)</f>
        <v>527</v>
      </c>
      <c r="O73" s="92">
        <f>VLOOKUP($A73,'Data Vlaue (Cr)'!$C:$FB,82)</f>
        <v>-0.33510000000000001</v>
      </c>
    </row>
    <row r="74" spans="1:15" x14ac:dyDescent="0.25">
      <c r="A74" s="97" t="str">
        <f>'Data Vlaue (Cr)'!C69</f>
        <v>GAIL</v>
      </c>
      <c r="B74" s="142">
        <f>VLOOKUP(A74,'Data Vlaue (Cr)'!C69:CW287,99,0)</f>
        <v>2365</v>
      </c>
      <c r="C74" s="90">
        <f>VLOOKUP(A74,'Data Vlaue (Cr)'!C69:CY287,101,0)</f>
        <v>-21</v>
      </c>
      <c r="D74" s="139">
        <f>VLOOKUP(A74,'Data Vlaue (Cr)'!C69:CZ287,102,0)</f>
        <v>-8.6999999999999994E-3</v>
      </c>
      <c r="E74" s="91">
        <f>VLOOKUP($A74,'Data Vlaue (Cr)'!$C:$FB,75)</f>
        <v>1241</v>
      </c>
      <c r="F74" s="91">
        <f>VLOOKUP($A74,'Data Vlaue (Cr)'!$C:$FB,77)</f>
        <v>-13</v>
      </c>
      <c r="G74" s="92">
        <f>VLOOKUP(A74,'Data Vlaue (Cr)'!C69:CB287,78,0)</f>
        <v>-1.03E-2</v>
      </c>
      <c r="H74" s="91">
        <f>VLOOKUP($A74,'Data Vlaue (Cr)'!$C:$FB,91)</f>
        <v>478</v>
      </c>
      <c r="I74" s="91">
        <f>VLOOKUP($A74,'Data Vlaue (Cr)'!$C:$FB,93)</f>
        <v>10</v>
      </c>
      <c r="J74" s="92">
        <f>VLOOKUP($A74,'Data Vlaue (Cr)'!$C:$FB,94)</f>
        <v>2.06E-2</v>
      </c>
      <c r="K74" s="91">
        <f>VLOOKUP($A74,'Data Vlaue (Cr)'!$C:$FB,95)</f>
        <v>647</v>
      </c>
      <c r="L74" s="91">
        <f>VLOOKUP($A74,'Data Vlaue (Cr)'!$C:$FB,97)</f>
        <v>-17</v>
      </c>
      <c r="M74" s="92">
        <f>VLOOKUP($A74,'Data Vlaue (Cr)'!$C:$FB,98)</f>
        <v>-2.63E-2</v>
      </c>
      <c r="N74" s="91">
        <f>VLOOKUP($A74,'Data Vlaue (Cr)'!$C:$FB,79)</f>
        <v>715</v>
      </c>
      <c r="O74" s="92">
        <f>VLOOKUP($A74,'Data Vlaue (Cr)'!$C:$FB,82)</f>
        <v>-0.31480000000000002</v>
      </c>
    </row>
    <row r="75" spans="1:15" x14ac:dyDescent="0.25">
      <c r="A75" s="97" t="str">
        <f>'Data Vlaue (Cr)'!C70</f>
        <v>GLENMARK</v>
      </c>
      <c r="B75" s="142">
        <f>VLOOKUP(A75,'Data Vlaue (Cr)'!C70:CW288,99,0)</f>
        <v>3440</v>
      </c>
      <c r="C75" s="90">
        <f>VLOOKUP(A75,'Data Vlaue (Cr)'!C70:CY288,101,0)</f>
        <v>265</v>
      </c>
      <c r="D75" s="139">
        <f>VLOOKUP(A75,'Data Vlaue (Cr)'!C70:CZ288,102,0)</f>
        <v>8.3500000000000005E-2</v>
      </c>
      <c r="E75" s="91">
        <f>VLOOKUP($A75,'Data Vlaue (Cr)'!$C:$FB,75)</f>
        <v>2420</v>
      </c>
      <c r="F75" s="91">
        <f>VLOOKUP($A75,'Data Vlaue (Cr)'!$C:$FB,77)</f>
        <v>31</v>
      </c>
      <c r="G75" s="92">
        <f>VLOOKUP(A75,'Data Vlaue (Cr)'!C70:CB288,78,0)</f>
        <v>1.2999999999999999E-2</v>
      </c>
      <c r="H75" s="91">
        <f>VLOOKUP($A75,'Data Vlaue (Cr)'!$C:$FB,91)</f>
        <v>590</v>
      </c>
      <c r="I75" s="91">
        <f>VLOOKUP($A75,'Data Vlaue (Cr)'!$C:$FB,93)</f>
        <v>85</v>
      </c>
      <c r="J75" s="92">
        <f>VLOOKUP($A75,'Data Vlaue (Cr)'!$C:$FB,94)</f>
        <v>0.16830000000000001</v>
      </c>
      <c r="K75" s="91">
        <f>VLOOKUP($A75,'Data Vlaue (Cr)'!$C:$FB,95)</f>
        <v>430</v>
      </c>
      <c r="L75" s="91">
        <f>VLOOKUP($A75,'Data Vlaue (Cr)'!$C:$FB,97)</f>
        <v>149</v>
      </c>
      <c r="M75" s="92">
        <f>VLOOKUP($A75,'Data Vlaue (Cr)'!$C:$FB,98)</f>
        <v>0.53149999999999997</v>
      </c>
      <c r="N75" s="91">
        <f>VLOOKUP($A75,'Data Vlaue (Cr)'!$C:$FB,79)</f>
        <v>1219</v>
      </c>
      <c r="O75" s="92">
        <f>VLOOKUP($A75,'Data Vlaue (Cr)'!$C:$FB,82)</f>
        <v>-0.47189999999999999</v>
      </c>
    </row>
    <row r="76" spans="1:15" x14ac:dyDescent="0.25">
      <c r="A76" s="97" t="str">
        <f>'Data Vlaue (Cr)'!C71</f>
        <v>GMRAIRPORT</v>
      </c>
      <c r="B76" s="142">
        <f>VLOOKUP(A76,'Data Vlaue (Cr)'!C71:CW289,99,0)</f>
        <v>2209</v>
      </c>
      <c r="C76" s="90">
        <f>VLOOKUP(A76,'Data Vlaue (Cr)'!C71:CY289,101,0)</f>
        <v>25</v>
      </c>
      <c r="D76" s="139">
        <f>VLOOKUP(A76,'Data Vlaue (Cr)'!C71:CZ289,102,0)</f>
        <v>1.14E-2</v>
      </c>
      <c r="E76" s="91">
        <f>VLOOKUP($A76,'Data Vlaue (Cr)'!$C:$FB,75)</f>
        <v>1324</v>
      </c>
      <c r="F76" s="91">
        <f>VLOOKUP($A76,'Data Vlaue (Cr)'!$C:$FB,77)</f>
        <v>-8</v>
      </c>
      <c r="G76" s="92">
        <f>VLOOKUP(A76,'Data Vlaue (Cr)'!C71:CB289,78,0)</f>
        <v>-6.1000000000000004E-3</v>
      </c>
      <c r="H76" s="91">
        <f>VLOOKUP($A76,'Data Vlaue (Cr)'!$C:$FB,91)</f>
        <v>524</v>
      </c>
      <c r="I76" s="91">
        <f>VLOOKUP($A76,'Data Vlaue (Cr)'!$C:$FB,93)</f>
        <v>9</v>
      </c>
      <c r="J76" s="92">
        <f>VLOOKUP($A76,'Data Vlaue (Cr)'!$C:$FB,94)</f>
        <v>1.72E-2</v>
      </c>
      <c r="K76" s="91">
        <f>VLOOKUP($A76,'Data Vlaue (Cr)'!$C:$FB,95)</f>
        <v>361</v>
      </c>
      <c r="L76" s="91">
        <f>VLOOKUP($A76,'Data Vlaue (Cr)'!$C:$FB,97)</f>
        <v>24</v>
      </c>
      <c r="M76" s="92">
        <f>VLOOKUP($A76,'Data Vlaue (Cr)'!$C:$FB,98)</f>
        <v>7.1499999999999994E-2</v>
      </c>
      <c r="N76" s="91">
        <f>VLOOKUP($A76,'Data Vlaue (Cr)'!$C:$FB,79)</f>
        <v>826</v>
      </c>
      <c r="O76" s="92">
        <f>VLOOKUP($A76,'Data Vlaue (Cr)'!$C:$FB,82)</f>
        <v>-0.25259999999999999</v>
      </c>
    </row>
    <row r="77" spans="1:15" x14ac:dyDescent="0.25">
      <c r="A77" s="97" t="str">
        <f>'Data Vlaue (Cr)'!C72</f>
        <v>GODFRYPHLP</v>
      </c>
      <c r="B77" s="142">
        <f>VLOOKUP(A77,'Data Vlaue (Cr)'!C72:CW290,99,0)</f>
        <v>629</v>
      </c>
      <c r="C77" s="90">
        <f>VLOOKUP(A77,'Data Vlaue (Cr)'!C72:CY290,101,0)</f>
        <v>29</v>
      </c>
      <c r="D77" s="139">
        <f>VLOOKUP(A77,'Data Vlaue (Cr)'!C72:CZ290,102,0)</f>
        <v>4.8000000000000001E-2</v>
      </c>
      <c r="E77" s="91">
        <f>VLOOKUP($A77,'Data Vlaue (Cr)'!$C:$FB,75)</f>
        <v>325</v>
      </c>
      <c r="F77" s="91">
        <f>VLOOKUP($A77,'Data Vlaue (Cr)'!$C:$FB,77)</f>
        <v>13</v>
      </c>
      <c r="G77" s="92">
        <f>VLOOKUP(A77,'Data Vlaue (Cr)'!C72:CB290,78,0)</f>
        <v>4.2599999999999999E-2</v>
      </c>
      <c r="H77" s="91">
        <f>VLOOKUP($A77,'Data Vlaue (Cr)'!$C:$FB,91)</f>
        <v>212</v>
      </c>
      <c r="I77" s="91">
        <f>VLOOKUP($A77,'Data Vlaue (Cr)'!$C:$FB,93)</f>
        <v>10</v>
      </c>
      <c r="J77" s="92">
        <f>VLOOKUP($A77,'Data Vlaue (Cr)'!$C:$FB,94)</f>
        <v>4.7E-2</v>
      </c>
      <c r="K77" s="91">
        <f>VLOOKUP($A77,'Data Vlaue (Cr)'!$C:$FB,95)</f>
        <v>91</v>
      </c>
      <c r="L77" s="91">
        <f>VLOOKUP($A77,'Data Vlaue (Cr)'!$C:$FB,97)</f>
        <v>6</v>
      </c>
      <c r="M77" s="92">
        <f>VLOOKUP($A77,'Data Vlaue (Cr)'!$C:$FB,98)</f>
        <v>7.0300000000000001E-2</v>
      </c>
      <c r="N77" s="91">
        <f>VLOOKUP($A77,'Data Vlaue (Cr)'!$C:$FB,79)</f>
        <v>191</v>
      </c>
      <c r="O77" s="92">
        <f>VLOOKUP($A77,'Data Vlaue (Cr)'!$C:$FB,82)</f>
        <v>-0.17230000000000001</v>
      </c>
    </row>
    <row r="78" spans="1:15" x14ac:dyDescent="0.25">
      <c r="A78" s="97" t="str">
        <f>'Data Vlaue (Cr)'!C73</f>
        <v>GODREJCP</v>
      </c>
      <c r="B78" s="142">
        <f>VLOOKUP(A78,'Data Vlaue (Cr)'!C73:CW291,99,0)</f>
        <v>1874</v>
      </c>
      <c r="C78" s="90">
        <f>VLOOKUP(A78,'Data Vlaue (Cr)'!C73:CY291,101,0)</f>
        <v>-1</v>
      </c>
      <c r="D78" s="139">
        <f>VLOOKUP(A78,'Data Vlaue (Cr)'!C73:CZ291,102,0)</f>
        <v>-8.0000000000000004E-4</v>
      </c>
      <c r="E78" s="91">
        <f>VLOOKUP($A78,'Data Vlaue (Cr)'!$C:$FB,75)</f>
        <v>1471</v>
      </c>
      <c r="F78" s="91">
        <f>VLOOKUP($A78,'Data Vlaue (Cr)'!$C:$FB,77)</f>
        <v>1</v>
      </c>
      <c r="G78" s="92">
        <f>VLOOKUP(A78,'Data Vlaue (Cr)'!C73:CB291,78,0)</f>
        <v>6.9999999999999999E-4</v>
      </c>
      <c r="H78" s="91">
        <f>VLOOKUP($A78,'Data Vlaue (Cr)'!$C:$FB,91)</f>
        <v>214</v>
      </c>
      <c r="I78" s="91">
        <f>VLOOKUP($A78,'Data Vlaue (Cr)'!$C:$FB,93)</f>
        <v>-6</v>
      </c>
      <c r="J78" s="92">
        <f>VLOOKUP($A78,'Data Vlaue (Cr)'!$C:$FB,94)</f>
        <v>-2.5700000000000001E-2</v>
      </c>
      <c r="K78" s="91">
        <f>VLOOKUP($A78,'Data Vlaue (Cr)'!$C:$FB,95)</f>
        <v>189</v>
      </c>
      <c r="L78" s="91">
        <f>VLOOKUP($A78,'Data Vlaue (Cr)'!$C:$FB,97)</f>
        <v>3</v>
      </c>
      <c r="M78" s="92">
        <f>VLOOKUP($A78,'Data Vlaue (Cr)'!$C:$FB,98)</f>
        <v>1.66E-2</v>
      </c>
      <c r="N78" s="91">
        <f>VLOOKUP($A78,'Data Vlaue (Cr)'!$C:$FB,79)</f>
        <v>1024</v>
      </c>
      <c r="O78" s="92">
        <f>VLOOKUP($A78,'Data Vlaue (Cr)'!$C:$FB,82)</f>
        <v>-0.2203</v>
      </c>
    </row>
    <row r="79" spans="1:15" x14ac:dyDescent="0.25">
      <c r="A79" s="97" t="str">
        <f>'Data Vlaue (Cr)'!C74</f>
        <v>GODREJPROP</v>
      </c>
      <c r="B79" s="142">
        <f>VLOOKUP(A79,'Data Vlaue (Cr)'!C74:CW292,99,0)</f>
        <v>2562</v>
      </c>
      <c r="C79" s="90">
        <f>VLOOKUP(A79,'Data Vlaue (Cr)'!C74:CY292,101,0)</f>
        <v>-16</v>
      </c>
      <c r="D79" s="139">
        <f>VLOOKUP(A79,'Data Vlaue (Cr)'!C74:CZ292,102,0)</f>
        <v>-6.1000000000000004E-3</v>
      </c>
      <c r="E79" s="91">
        <f>VLOOKUP($A79,'Data Vlaue (Cr)'!$C:$FB,75)</f>
        <v>1409</v>
      </c>
      <c r="F79" s="91">
        <f>VLOOKUP($A79,'Data Vlaue (Cr)'!$C:$FB,77)</f>
        <v>-22</v>
      </c>
      <c r="G79" s="92">
        <f>VLOOKUP(A79,'Data Vlaue (Cr)'!C74:CB292,78,0)</f>
        <v>-1.5299999999999999E-2</v>
      </c>
      <c r="H79" s="91">
        <f>VLOOKUP($A79,'Data Vlaue (Cr)'!$C:$FB,91)</f>
        <v>634</v>
      </c>
      <c r="I79" s="91">
        <f>VLOOKUP($A79,'Data Vlaue (Cr)'!$C:$FB,93)</f>
        <v>9</v>
      </c>
      <c r="J79" s="92">
        <f>VLOOKUP($A79,'Data Vlaue (Cr)'!$C:$FB,94)</f>
        <v>1.43E-2</v>
      </c>
      <c r="K79" s="91">
        <f>VLOOKUP($A79,'Data Vlaue (Cr)'!$C:$FB,95)</f>
        <v>519</v>
      </c>
      <c r="L79" s="91">
        <f>VLOOKUP($A79,'Data Vlaue (Cr)'!$C:$FB,97)</f>
        <v>-3</v>
      </c>
      <c r="M79" s="92">
        <f>VLOOKUP($A79,'Data Vlaue (Cr)'!$C:$FB,98)</f>
        <v>-5.4999999999999997E-3</v>
      </c>
      <c r="N79" s="91">
        <f>VLOOKUP($A79,'Data Vlaue (Cr)'!$C:$FB,79)</f>
        <v>721</v>
      </c>
      <c r="O79" s="92">
        <f>VLOOKUP($A79,'Data Vlaue (Cr)'!$C:$FB,82)</f>
        <v>-0.35970000000000002</v>
      </c>
    </row>
    <row r="80" spans="1:15" x14ac:dyDescent="0.25">
      <c r="A80" s="97" t="str">
        <f>'Data Vlaue (Cr)'!C75</f>
        <v>GRASIM</v>
      </c>
      <c r="B80" s="142">
        <f>VLOOKUP(A80,'Data Vlaue (Cr)'!C75:CW293,99,0)</f>
        <v>4682</v>
      </c>
      <c r="C80" s="90">
        <f>VLOOKUP(A80,'Data Vlaue (Cr)'!C75:CY293,101,0)</f>
        <v>30</v>
      </c>
      <c r="D80" s="139">
        <f>VLOOKUP(A80,'Data Vlaue (Cr)'!C75:CZ293,102,0)</f>
        <v>6.4999999999999997E-3</v>
      </c>
      <c r="E80" s="91">
        <f>VLOOKUP($A80,'Data Vlaue (Cr)'!$C:$FB,75)</f>
        <v>3913</v>
      </c>
      <c r="F80" s="91">
        <f>VLOOKUP($A80,'Data Vlaue (Cr)'!$C:$FB,77)</f>
        <v>32</v>
      </c>
      <c r="G80" s="92">
        <f>VLOOKUP(A80,'Data Vlaue (Cr)'!C75:CB293,78,0)</f>
        <v>8.3000000000000001E-3</v>
      </c>
      <c r="H80" s="91">
        <f>VLOOKUP($A80,'Data Vlaue (Cr)'!$C:$FB,91)</f>
        <v>408</v>
      </c>
      <c r="I80" s="91">
        <f>VLOOKUP($A80,'Data Vlaue (Cr)'!$C:$FB,93)</f>
        <v>-11</v>
      </c>
      <c r="J80" s="92">
        <f>VLOOKUP($A80,'Data Vlaue (Cr)'!$C:$FB,94)</f>
        <v>-2.5700000000000001E-2</v>
      </c>
      <c r="K80" s="91">
        <f>VLOOKUP($A80,'Data Vlaue (Cr)'!$C:$FB,95)</f>
        <v>361</v>
      </c>
      <c r="L80" s="91">
        <f>VLOOKUP($A80,'Data Vlaue (Cr)'!$C:$FB,97)</f>
        <v>9</v>
      </c>
      <c r="M80" s="92">
        <f>VLOOKUP($A80,'Data Vlaue (Cr)'!$C:$FB,98)</f>
        <v>2.5700000000000001E-2</v>
      </c>
      <c r="N80" s="91">
        <f>VLOOKUP($A80,'Data Vlaue (Cr)'!$C:$FB,79)</f>
        <v>1668</v>
      </c>
      <c r="O80" s="92">
        <f>VLOOKUP($A80,'Data Vlaue (Cr)'!$C:$FB,82)</f>
        <v>-0.33879999999999999</v>
      </c>
    </row>
    <row r="81" spans="1:15" x14ac:dyDescent="0.25">
      <c r="A81" s="97" t="str">
        <f>'Data Vlaue (Cr)'!C76</f>
        <v>HAL</v>
      </c>
      <c r="B81" s="142">
        <f>VLOOKUP(A81,'Data Vlaue (Cr)'!C76:CW294,99,0)</f>
        <v>6156</v>
      </c>
      <c r="C81" s="90">
        <f>VLOOKUP(A81,'Data Vlaue (Cr)'!C76:CY294,101,0)</f>
        <v>4</v>
      </c>
      <c r="D81" s="139">
        <f>VLOOKUP(A81,'Data Vlaue (Cr)'!C76:CZ294,102,0)</f>
        <v>6.9999999999999999E-4</v>
      </c>
      <c r="E81" s="91">
        <f>VLOOKUP($A81,'Data Vlaue (Cr)'!$C:$FB,75)</f>
        <v>3310</v>
      </c>
      <c r="F81" s="91">
        <f>VLOOKUP($A81,'Data Vlaue (Cr)'!$C:$FB,77)</f>
        <v>29</v>
      </c>
      <c r="G81" s="92">
        <f>VLOOKUP(A81,'Data Vlaue (Cr)'!C76:CB294,78,0)</f>
        <v>8.8000000000000005E-3</v>
      </c>
      <c r="H81" s="91">
        <f>VLOOKUP($A81,'Data Vlaue (Cr)'!$C:$FB,91)</f>
        <v>1463</v>
      </c>
      <c r="I81" s="91">
        <f>VLOOKUP($A81,'Data Vlaue (Cr)'!$C:$FB,93)</f>
        <v>-22</v>
      </c>
      <c r="J81" s="92">
        <f>VLOOKUP($A81,'Data Vlaue (Cr)'!$C:$FB,94)</f>
        <v>-1.46E-2</v>
      </c>
      <c r="K81" s="91">
        <f>VLOOKUP($A81,'Data Vlaue (Cr)'!$C:$FB,95)</f>
        <v>1384</v>
      </c>
      <c r="L81" s="91">
        <f>VLOOKUP($A81,'Data Vlaue (Cr)'!$C:$FB,97)</f>
        <v>-3</v>
      </c>
      <c r="M81" s="92">
        <f>VLOOKUP($A81,'Data Vlaue (Cr)'!$C:$FB,98)</f>
        <v>-2E-3</v>
      </c>
      <c r="N81" s="91">
        <f>VLOOKUP($A81,'Data Vlaue (Cr)'!$C:$FB,79)</f>
        <v>2046</v>
      </c>
      <c r="O81" s="92">
        <f>VLOOKUP($A81,'Data Vlaue (Cr)'!$C:$FB,82)</f>
        <v>-0.17219999999999999</v>
      </c>
    </row>
    <row r="82" spans="1:15" x14ac:dyDescent="0.25">
      <c r="A82" s="97" t="str">
        <f>'Data Vlaue (Cr)'!C77</f>
        <v>HAVELLS</v>
      </c>
      <c r="B82" s="142">
        <f>VLOOKUP(A82,'Data Vlaue (Cr)'!C77:CW295,99,0)</f>
        <v>3880</v>
      </c>
      <c r="C82" s="90">
        <f>VLOOKUP(A82,'Data Vlaue (Cr)'!C77:CY295,101,0)</f>
        <v>491</v>
      </c>
      <c r="D82" s="139">
        <f>VLOOKUP(A82,'Data Vlaue (Cr)'!C77:CZ295,102,0)</f>
        <v>0.1449</v>
      </c>
      <c r="E82" s="91">
        <f>VLOOKUP($A82,'Data Vlaue (Cr)'!$C:$FB,75)</f>
        <v>1357</v>
      </c>
      <c r="F82" s="91">
        <f>VLOOKUP($A82,'Data Vlaue (Cr)'!$C:$FB,77)</f>
        <v>55</v>
      </c>
      <c r="G82" s="92">
        <f>VLOOKUP(A82,'Data Vlaue (Cr)'!C77:CB295,78,0)</f>
        <v>4.19E-2</v>
      </c>
      <c r="H82" s="91">
        <f>VLOOKUP($A82,'Data Vlaue (Cr)'!$C:$FB,91)</f>
        <v>1782</v>
      </c>
      <c r="I82" s="91">
        <f>VLOOKUP($A82,'Data Vlaue (Cr)'!$C:$FB,93)</f>
        <v>371</v>
      </c>
      <c r="J82" s="92">
        <f>VLOOKUP($A82,'Data Vlaue (Cr)'!$C:$FB,94)</f>
        <v>0.2626</v>
      </c>
      <c r="K82" s="91">
        <f>VLOOKUP($A82,'Data Vlaue (Cr)'!$C:$FB,95)</f>
        <v>740</v>
      </c>
      <c r="L82" s="91">
        <f>VLOOKUP($A82,'Data Vlaue (Cr)'!$C:$FB,97)</f>
        <v>66</v>
      </c>
      <c r="M82" s="92">
        <f>VLOOKUP($A82,'Data Vlaue (Cr)'!$C:$FB,98)</f>
        <v>9.7500000000000003E-2</v>
      </c>
      <c r="N82" s="91">
        <f>VLOOKUP($A82,'Data Vlaue (Cr)'!$C:$FB,79)</f>
        <v>705</v>
      </c>
      <c r="O82" s="92">
        <f>VLOOKUP($A82,'Data Vlaue (Cr)'!$C:$FB,82)</f>
        <v>-0.35930000000000001</v>
      </c>
    </row>
    <row r="83" spans="1:15" x14ac:dyDescent="0.25">
      <c r="A83" s="97" t="str">
        <f>'Data Vlaue (Cr)'!C78</f>
        <v>HCLTECH</v>
      </c>
      <c r="B83" s="142">
        <f>VLOOKUP(A83,'Data Vlaue (Cr)'!C78:CW296,99,0)</f>
        <v>13207</v>
      </c>
      <c r="C83" s="90">
        <f>VLOOKUP(A83,'Data Vlaue (Cr)'!C78:CY296,101,0)</f>
        <v>-54</v>
      </c>
      <c r="D83" s="139">
        <f>VLOOKUP(A83,'Data Vlaue (Cr)'!C78:CZ296,102,0)</f>
        <v>-4.1000000000000003E-3</v>
      </c>
      <c r="E83" s="91">
        <f>VLOOKUP($A83,'Data Vlaue (Cr)'!$C:$FB,75)</f>
        <v>6078</v>
      </c>
      <c r="F83" s="91">
        <f>VLOOKUP($A83,'Data Vlaue (Cr)'!$C:$FB,77)</f>
        <v>-407</v>
      </c>
      <c r="G83" s="92">
        <f>VLOOKUP(A83,'Data Vlaue (Cr)'!C78:CB296,78,0)</f>
        <v>-6.2799999999999995E-2</v>
      </c>
      <c r="H83" s="91">
        <f>VLOOKUP($A83,'Data Vlaue (Cr)'!$C:$FB,91)</f>
        <v>4960</v>
      </c>
      <c r="I83" s="91">
        <f>VLOOKUP($A83,'Data Vlaue (Cr)'!$C:$FB,93)</f>
        <v>247</v>
      </c>
      <c r="J83" s="92">
        <f>VLOOKUP($A83,'Data Vlaue (Cr)'!$C:$FB,94)</f>
        <v>5.2499999999999998E-2</v>
      </c>
      <c r="K83" s="91">
        <f>VLOOKUP($A83,'Data Vlaue (Cr)'!$C:$FB,95)</f>
        <v>2169</v>
      </c>
      <c r="L83" s="91">
        <f>VLOOKUP($A83,'Data Vlaue (Cr)'!$C:$FB,97)</f>
        <v>106</v>
      </c>
      <c r="M83" s="92">
        <f>VLOOKUP($A83,'Data Vlaue (Cr)'!$C:$FB,98)</f>
        <v>5.1400000000000001E-2</v>
      </c>
      <c r="N83" s="91">
        <f>VLOOKUP($A83,'Data Vlaue (Cr)'!$C:$FB,79)</f>
        <v>2823</v>
      </c>
      <c r="O83" s="92">
        <f>VLOOKUP($A83,'Data Vlaue (Cr)'!$C:$FB,82)</f>
        <v>-0.36180000000000001</v>
      </c>
    </row>
    <row r="84" spans="1:15" x14ac:dyDescent="0.25">
      <c r="A84" s="97" t="str">
        <f>'Data Vlaue (Cr)'!C79</f>
        <v>HDFCAMC</v>
      </c>
      <c r="B84" s="142">
        <f>VLOOKUP(A84,'Data Vlaue (Cr)'!C79:CW297,99,0)</f>
        <v>2459</v>
      </c>
      <c r="C84" s="90">
        <f>VLOOKUP(A84,'Data Vlaue (Cr)'!C79:CY297,101,0)</f>
        <v>-153</v>
      </c>
      <c r="D84" s="139">
        <f>VLOOKUP(A84,'Data Vlaue (Cr)'!C79:CZ297,102,0)</f>
        <v>-5.8700000000000002E-2</v>
      </c>
      <c r="E84" s="91">
        <f>VLOOKUP($A84,'Data Vlaue (Cr)'!$C:$FB,75)</f>
        <v>1455</v>
      </c>
      <c r="F84" s="91">
        <f>VLOOKUP($A84,'Data Vlaue (Cr)'!$C:$FB,77)</f>
        <v>-15</v>
      </c>
      <c r="G84" s="92">
        <f>VLOOKUP(A84,'Data Vlaue (Cr)'!C79:CB297,78,0)</f>
        <v>-1.0200000000000001E-2</v>
      </c>
      <c r="H84" s="91">
        <f>VLOOKUP($A84,'Data Vlaue (Cr)'!$C:$FB,91)</f>
        <v>551</v>
      </c>
      <c r="I84" s="91">
        <f>VLOOKUP($A84,'Data Vlaue (Cr)'!$C:$FB,93)</f>
        <v>-67</v>
      </c>
      <c r="J84" s="92">
        <f>VLOOKUP($A84,'Data Vlaue (Cr)'!$C:$FB,94)</f>
        <v>-0.10920000000000001</v>
      </c>
      <c r="K84" s="91">
        <f>VLOOKUP($A84,'Data Vlaue (Cr)'!$C:$FB,95)</f>
        <v>454</v>
      </c>
      <c r="L84" s="91">
        <f>VLOOKUP($A84,'Data Vlaue (Cr)'!$C:$FB,97)</f>
        <v>-71</v>
      </c>
      <c r="M84" s="92">
        <f>VLOOKUP($A84,'Data Vlaue (Cr)'!$C:$FB,98)</f>
        <v>-0.1351</v>
      </c>
      <c r="N84" s="91">
        <f>VLOOKUP($A84,'Data Vlaue (Cr)'!$C:$FB,79)</f>
        <v>1000</v>
      </c>
      <c r="O84" s="92">
        <f>VLOOKUP($A84,'Data Vlaue (Cr)'!$C:$FB,82)</f>
        <v>-0.253</v>
      </c>
    </row>
    <row r="85" spans="1:15" x14ac:dyDescent="0.25">
      <c r="A85" s="97" t="str">
        <f>'Data Vlaue (Cr)'!C80</f>
        <v>HDFCBANK</v>
      </c>
      <c r="B85" s="142">
        <f>VLOOKUP(A85,'Data Vlaue (Cr)'!C80:CW298,99,0)</f>
        <v>38391</v>
      </c>
      <c r="C85" s="90">
        <f>VLOOKUP(A85,'Data Vlaue (Cr)'!C80:CY298,101,0)</f>
        <v>1254</v>
      </c>
      <c r="D85" s="139">
        <f>VLOOKUP(A85,'Data Vlaue (Cr)'!C80:CZ298,102,0)</f>
        <v>3.3799999999999997E-2</v>
      </c>
      <c r="E85" s="91">
        <f>VLOOKUP($A85,'Data Vlaue (Cr)'!$C:$FB,75)</f>
        <v>25939</v>
      </c>
      <c r="F85" s="91">
        <f>VLOOKUP($A85,'Data Vlaue (Cr)'!$C:$FB,77)</f>
        <v>506</v>
      </c>
      <c r="G85" s="92">
        <f>VLOOKUP(A85,'Data Vlaue (Cr)'!C80:CB298,78,0)</f>
        <v>1.9900000000000001E-2</v>
      </c>
      <c r="H85" s="91">
        <f>VLOOKUP($A85,'Data Vlaue (Cr)'!$C:$FB,91)</f>
        <v>8242</v>
      </c>
      <c r="I85" s="91">
        <f>VLOOKUP($A85,'Data Vlaue (Cr)'!$C:$FB,93)</f>
        <v>724</v>
      </c>
      <c r="J85" s="92">
        <f>VLOOKUP($A85,'Data Vlaue (Cr)'!$C:$FB,94)</f>
        <v>9.6299999999999997E-2</v>
      </c>
      <c r="K85" s="91">
        <f>VLOOKUP($A85,'Data Vlaue (Cr)'!$C:$FB,95)</f>
        <v>4210</v>
      </c>
      <c r="L85" s="91">
        <f>VLOOKUP($A85,'Data Vlaue (Cr)'!$C:$FB,97)</f>
        <v>24</v>
      </c>
      <c r="M85" s="92">
        <f>VLOOKUP($A85,'Data Vlaue (Cr)'!$C:$FB,98)</f>
        <v>5.7999999999999996E-3</v>
      </c>
      <c r="N85" s="91">
        <f>VLOOKUP($A85,'Data Vlaue (Cr)'!$C:$FB,79)</f>
        <v>13031</v>
      </c>
      <c r="O85" s="92">
        <f>VLOOKUP($A85,'Data Vlaue (Cr)'!$C:$FB,82)</f>
        <v>-0.24260000000000001</v>
      </c>
    </row>
    <row r="86" spans="1:15" x14ac:dyDescent="0.25">
      <c r="A86" s="97" t="str">
        <f>'Data Vlaue (Cr)'!C81</f>
        <v>HDFCLIFE</v>
      </c>
      <c r="B86" s="142">
        <f>VLOOKUP(A86,'Data Vlaue (Cr)'!C81:CW299,99,0)</f>
        <v>4615</v>
      </c>
      <c r="C86" s="90">
        <f>VLOOKUP(A86,'Data Vlaue (Cr)'!C81:CY299,101,0)</f>
        <v>-92</v>
      </c>
      <c r="D86" s="139">
        <f>VLOOKUP(A86,'Data Vlaue (Cr)'!C81:CZ299,102,0)</f>
        <v>-1.95E-2</v>
      </c>
      <c r="E86" s="91">
        <f>VLOOKUP($A86,'Data Vlaue (Cr)'!$C:$FB,75)</f>
        <v>2764</v>
      </c>
      <c r="F86" s="91">
        <f>VLOOKUP($A86,'Data Vlaue (Cr)'!$C:$FB,77)</f>
        <v>31</v>
      </c>
      <c r="G86" s="92">
        <f>VLOOKUP(A86,'Data Vlaue (Cr)'!C81:CB299,78,0)</f>
        <v>1.1299999999999999E-2</v>
      </c>
      <c r="H86" s="91">
        <f>VLOOKUP($A86,'Data Vlaue (Cr)'!$C:$FB,91)</f>
        <v>1192</v>
      </c>
      <c r="I86" s="91">
        <f>VLOOKUP($A86,'Data Vlaue (Cr)'!$C:$FB,93)</f>
        <v>-67</v>
      </c>
      <c r="J86" s="92">
        <f>VLOOKUP($A86,'Data Vlaue (Cr)'!$C:$FB,94)</f>
        <v>-5.3100000000000001E-2</v>
      </c>
      <c r="K86" s="91">
        <f>VLOOKUP($A86,'Data Vlaue (Cr)'!$C:$FB,95)</f>
        <v>659</v>
      </c>
      <c r="L86" s="91">
        <f>VLOOKUP($A86,'Data Vlaue (Cr)'!$C:$FB,97)</f>
        <v>-56</v>
      </c>
      <c r="M86" s="92">
        <f>VLOOKUP($A86,'Data Vlaue (Cr)'!$C:$FB,98)</f>
        <v>-7.8200000000000006E-2</v>
      </c>
      <c r="N86" s="91">
        <f>VLOOKUP($A86,'Data Vlaue (Cr)'!$C:$FB,79)</f>
        <v>1487</v>
      </c>
      <c r="O86" s="92">
        <f>VLOOKUP($A86,'Data Vlaue (Cr)'!$C:$FB,82)</f>
        <v>-0.20610000000000001</v>
      </c>
    </row>
    <row r="87" spans="1:15" x14ac:dyDescent="0.25">
      <c r="A87" s="97" t="str">
        <f>'Data Vlaue (Cr)'!C82</f>
        <v>HEROMOTOCO</v>
      </c>
      <c r="B87" s="142">
        <f>VLOOKUP(A87,'Data Vlaue (Cr)'!C82:CW300,99,0)</f>
        <v>4471</v>
      </c>
      <c r="C87" s="90">
        <f>VLOOKUP(A87,'Data Vlaue (Cr)'!C82:CY300,101,0)</f>
        <v>271</v>
      </c>
      <c r="D87" s="139">
        <f>VLOOKUP(A87,'Data Vlaue (Cr)'!C82:CZ300,102,0)</f>
        <v>6.4500000000000002E-2</v>
      </c>
      <c r="E87" s="91">
        <f>VLOOKUP($A87,'Data Vlaue (Cr)'!$C:$FB,75)</f>
        <v>2290</v>
      </c>
      <c r="F87" s="91">
        <f>VLOOKUP($A87,'Data Vlaue (Cr)'!$C:$FB,77)</f>
        <v>67</v>
      </c>
      <c r="G87" s="92">
        <f>VLOOKUP(A87,'Data Vlaue (Cr)'!C82:CB300,78,0)</f>
        <v>0.03</v>
      </c>
      <c r="H87" s="91">
        <f>VLOOKUP($A87,'Data Vlaue (Cr)'!$C:$FB,91)</f>
        <v>1510</v>
      </c>
      <c r="I87" s="91">
        <f>VLOOKUP($A87,'Data Vlaue (Cr)'!$C:$FB,93)</f>
        <v>232</v>
      </c>
      <c r="J87" s="92">
        <f>VLOOKUP($A87,'Data Vlaue (Cr)'!$C:$FB,94)</f>
        <v>0.18140000000000001</v>
      </c>
      <c r="K87" s="91">
        <f>VLOOKUP($A87,'Data Vlaue (Cr)'!$C:$FB,95)</f>
        <v>671</v>
      </c>
      <c r="L87" s="91">
        <f>VLOOKUP($A87,'Data Vlaue (Cr)'!$C:$FB,97)</f>
        <v>-28</v>
      </c>
      <c r="M87" s="92">
        <f>VLOOKUP($A87,'Data Vlaue (Cr)'!$C:$FB,98)</f>
        <v>-3.9600000000000003E-2</v>
      </c>
      <c r="N87" s="91">
        <f>VLOOKUP($A87,'Data Vlaue (Cr)'!$C:$FB,79)</f>
        <v>1447</v>
      </c>
      <c r="O87" s="92">
        <f>VLOOKUP($A87,'Data Vlaue (Cr)'!$C:$FB,82)</f>
        <v>-0.2515</v>
      </c>
    </row>
    <row r="88" spans="1:15" x14ac:dyDescent="0.25">
      <c r="A88" s="97" t="str">
        <f>'Data Vlaue (Cr)'!C83</f>
        <v>HINDALCO</v>
      </c>
      <c r="B88" s="142">
        <f>VLOOKUP(A88,'Data Vlaue (Cr)'!C83:CW301,99,0)</f>
        <v>6604</v>
      </c>
      <c r="C88" s="90">
        <f>VLOOKUP(A88,'Data Vlaue (Cr)'!C83:CY301,101,0)</f>
        <v>25</v>
      </c>
      <c r="D88" s="139">
        <f>VLOOKUP(A88,'Data Vlaue (Cr)'!C83:CZ301,102,0)</f>
        <v>3.8E-3</v>
      </c>
      <c r="E88" s="91">
        <f>VLOOKUP($A88,'Data Vlaue (Cr)'!$C:$FB,75)</f>
        <v>3818</v>
      </c>
      <c r="F88" s="91">
        <f>VLOOKUP($A88,'Data Vlaue (Cr)'!$C:$FB,77)</f>
        <v>56</v>
      </c>
      <c r="G88" s="92">
        <f>VLOOKUP(A88,'Data Vlaue (Cr)'!C83:CB301,78,0)</f>
        <v>1.4800000000000001E-2</v>
      </c>
      <c r="H88" s="91">
        <f>VLOOKUP($A88,'Data Vlaue (Cr)'!$C:$FB,91)</f>
        <v>1586</v>
      </c>
      <c r="I88" s="91">
        <f>VLOOKUP($A88,'Data Vlaue (Cr)'!$C:$FB,93)</f>
        <v>9</v>
      </c>
      <c r="J88" s="92">
        <f>VLOOKUP($A88,'Data Vlaue (Cr)'!$C:$FB,94)</f>
        <v>5.5999999999999999E-3</v>
      </c>
      <c r="K88" s="91">
        <f>VLOOKUP($A88,'Data Vlaue (Cr)'!$C:$FB,95)</f>
        <v>1201</v>
      </c>
      <c r="L88" s="91">
        <f>VLOOKUP($A88,'Data Vlaue (Cr)'!$C:$FB,97)</f>
        <v>-40</v>
      </c>
      <c r="M88" s="92">
        <f>VLOOKUP($A88,'Data Vlaue (Cr)'!$C:$FB,98)</f>
        <v>-3.2000000000000001E-2</v>
      </c>
      <c r="N88" s="91">
        <f>VLOOKUP($A88,'Data Vlaue (Cr)'!$C:$FB,79)</f>
        <v>2038</v>
      </c>
      <c r="O88" s="92">
        <f>VLOOKUP($A88,'Data Vlaue (Cr)'!$C:$FB,82)</f>
        <v>-0.25819999999999999</v>
      </c>
    </row>
    <row r="89" spans="1:15" x14ac:dyDescent="0.25">
      <c r="A89" s="97" t="str">
        <f>'Data Vlaue (Cr)'!C84</f>
        <v>HINDPETRO</v>
      </c>
      <c r="B89" s="142">
        <f>VLOOKUP(A89,'Data Vlaue (Cr)'!C84:CW302,99,0)</f>
        <v>2798</v>
      </c>
      <c r="C89" s="90">
        <f>VLOOKUP(A89,'Data Vlaue (Cr)'!C84:CY302,101,0)</f>
        <v>-4</v>
      </c>
      <c r="D89" s="139">
        <f>VLOOKUP(A89,'Data Vlaue (Cr)'!C84:CZ302,102,0)</f>
        <v>-1.2999999999999999E-3</v>
      </c>
      <c r="E89" s="91">
        <f>VLOOKUP($A89,'Data Vlaue (Cr)'!$C:$FB,75)</f>
        <v>1455</v>
      </c>
      <c r="F89" s="91">
        <f>VLOOKUP($A89,'Data Vlaue (Cr)'!$C:$FB,77)</f>
        <v>34</v>
      </c>
      <c r="G89" s="92">
        <f>VLOOKUP(A89,'Data Vlaue (Cr)'!C84:CB302,78,0)</f>
        <v>2.3699999999999999E-2</v>
      </c>
      <c r="H89" s="91">
        <f>VLOOKUP($A89,'Data Vlaue (Cr)'!$C:$FB,91)</f>
        <v>684</v>
      </c>
      <c r="I89" s="91">
        <f>VLOOKUP($A89,'Data Vlaue (Cr)'!$C:$FB,93)</f>
        <v>2</v>
      </c>
      <c r="J89" s="92">
        <f>VLOOKUP($A89,'Data Vlaue (Cr)'!$C:$FB,94)</f>
        <v>2.8E-3</v>
      </c>
      <c r="K89" s="91">
        <f>VLOOKUP($A89,'Data Vlaue (Cr)'!$C:$FB,95)</f>
        <v>659</v>
      </c>
      <c r="L89" s="91">
        <f>VLOOKUP($A89,'Data Vlaue (Cr)'!$C:$FB,97)</f>
        <v>-39</v>
      </c>
      <c r="M89" s="92">
        <f>VLOOKUP($A89,'Data Vlaue (Cr)'!$C:$FB,98)</f>
        <v>-5.6300000000000003E-2</v>
      </c>
      <c r="N89" s="91">
        <f>VLOOKUP($A89,'Data Vlaue (Cr)'!$C:$FB,79)</f>
        <v>939</v>
      </c>
      <c r="O89" s="92">
        <f>VLOOKUP($A89,'Data Vlaue (Cr)'!$C:$FB,82)</f>
        <v>-0.22650000000000001</v>
      </c>
    </row>
    <row r="90" spans="1:15" x14ac:dyDescent="0.25">
      <c r="A90" s="97" t="str">
        <f>'Data Vlaue (Cr)'!C85</f>
        <v>HINDUNILVR</v>
      </c>
      <c r="B90" s="142">
        <f>VLOOKUP(A90,'Data Vlaue (Cr)'!C85:CW303,99,0)</f>
        <v>8070</v>
      </c>
      <c r="C90" s="90">
        <f>VLOOKUP(A90,'Data Vlaue (Cr)'!C85:CY303,101,0)</f>
        <v>-43</v>
      </c>
      <c r="D90" s="139">
        <f>VLOOKUP(A90,'Data Vlaue (Cr)'!C85:CZ303,102,0)</f>
        <v>-5.3E-3</v>
      </c>
      <c r="E90" s="91">
        <f>VLOOKUP($A90,'Data Vlaue (Cr)'!$C:$FB,75)</f>
        <v>4259</v>
      </c>
      <c r="F90" s="91">
        <f>VLOOKUP($A90,'Data Vlaue (Cr)'!$C:$FB,77)</f>
        <v>-97</v>
      </c>
      <c r="G90" s="92">
        <f>VLOOKUP(A90,'Data Vlaue (Cr)'!C85:CB303,78,0)</f>
        <v>-2.2200000000000001E-2</v>
      </c>
      <c r="H90" s="91">
        <f>VLOOKUP($A90,'Data Vlaue (Cr)'!$C:$FB,91)</f>
        <v>2162</v>
      </c>
      <c r="I90" s="91">
        <f>VLOOKUP($A90,'Data Vlaue (Cr)'!$C:$FB,93)</f>
        <v>61</v>
      </c>
      <c r="J90" s="92">
        <f>VLOOKUP($A90,'Data Vlaue (Cr)'!$C:$FB,94)</f>
        <v>2.9000000000000001E-2</v>
      </c>
      <c r="K90" s="91">
        <f>VLOOKUP($A90,'Data Vlaue (Cr)'!$C:$FB,95)</f>
        <v>1650</v>
      </c>
      <c r="L90" s="91">
        <f>VLOOKUP($A90,'Data Vlaue (Cr)'!$C:$FB,97)</f>
        <v>-7</v>
      </c>
      <c r="M90" s="92">
        <f>VLOOKUP($A90,'Data Vlaue (Cr)'!$C:$FB,98)</f>
        <v>-4.3E-3</v>
      </c>
      <c r="N90" s="91">
        <f>VLOOKUP($A90,'Data Vlaue (Cr)'!$C:$FB,79)</f>
        <v>2618</v>
      </c>
      <c r="O90" s="92">
        <f>VLOOKUP($A90,'Data Vlaue (Cr)'!$C:$FB,82)</f>
        <v>-0.32779999999999998</v>
      </c>
    </row>
    <row r="91" spans="1:15" x14ac:dyDescent="0.25">
      <c r="A91" s="97" t="str">
        <f>'Data Vlaue (Cr)'!C86</f>
        <v>HINDZINC</v>
      </c>
      <c r="B91" s="142">
        <f>VLOOKUP(A91,'Data Vlaue (Cr)'!C86:CW304,99,0)</f>
        <v>4932</v>
      </c>
      <c r="C91" s="90">
        <f>VLOOKUP(A91,'Data Vlaue (Cr)'!C86:CY304,101,0)</f>
        <v>338</v>
      </c>
      <c r="D91" s="139">
        <f>VLOOKUP(A91,'Data Vlaue (Cr)'!C86:CZ304,102,0)</f>
        <v>7.3599999999999999E-2</v>
      </c>
      <c r="E91" s="91">
        <f>VLOOKUP($A91,'Data Vlaue (Cr)'!$C:$FB,75)</f>
        <v>2551</v>
      </c>
      <c r="F91" s="91">
        <f>VLOOKUP($A91,'Data Vlaue (Cr)'!$C:$FB,77)</f>
        <v>246</v>
      </c>
      <c r="G91" s="92">
        <f>VLOOKUP(A91,'Data Vlaue (Cr)'!C86:CB304,78,0)</f>
        <v>0.1065</v>
      </c>
      <c r="H91" s="91">
        <f>VLOOKUP($A91,'Data Vlaue (Cr)'!$C:$FB,91)</f>
        <v>1377</v>
      </c>
      <c r="I91" s="91">
        <f>VLOOKUP($A91,'Data Vlaue (Cr)'!$C:$FB,93)</f>
        <v>109</v>
      </c>
      <c r="J91" s="92">
        <f>VLOOKUP($A91,'Data Vlaue (Cr)'!$C:$FB,94)</f>
        <v>8.5599999999999996E-2</v>
      </c>
      <c r="K91" s="91">
        <f>VLOOKUP($A91,'Data Vlaue (Cr)'!$C:$FB,95)</f>
        <v>1003</v>
      </c>
      <c r="L91" s="91">
        <f>VLOOKUP($A91,'Data Vlaue (Cr)'!$C:$FB,97)</f>
        <v>-16</v>
      </c>
      <c r="M91" s="92">
        <f>VLOOKUP($A91,'Data Vlaue (Cr)'!$C:$FB,98)</f>
        <v>-1.5800000000000002E-2</v>
      </c>
      <c r="N91" s="91">
        <f>VLOOKUP($A91,'Data Vlaue (Cr)'!$C:$FB,79)</f>
        <v>1654</v>
      </c>
      <c r="O91" s="92">
        <f>VLOOKUP($A91,'Data Vlaue (Cr)'!$C:$FB,82)</f>
        <v>-8.3599999999999994E-2</v>
      </c>
    </row>
    <row r="92" spans="1:15" x14ac:dyDescent="0.25">
      <c r="A92" s="97" t="str">
        <f>'Data Vlaue (Cr)'!C87</f>
        <v>HUDCO</v>
      </c>
      <c r="B92" s="142">
        <f>VLOOKUP(A92,'Data Vlaue (Cr)'!C87:CW305,99,0)</f>
        <v>985</v>
      </c>
      <c r="C92" s="90">
        <f>VLOOKUP(A92,'Data Vlaue (Cr)'!C87:CY305,101,0)</f>
        <v>-8</v>
      </c>
      <c r="D92" s="139">
        <f>VLOOKUP(A92,'Data Vlaue (Cr)'!C87:CZ305,102,0)</f>
        <v>-8.0999999999999996E-3</v>
      </c>
      <c r="E92" s="91">
        <f>VLOOKUP($A92,'Data Vlaue (Cr)'!$C:$FB,75)</f>
        <v>468</v>
      </c>
      <c r="F92" s="91">
        <f>VLOOKUP($A92,'Data Vlaue (Cr)'!$C:$FB,77)</f>
        <v>-30</v>
      </c>
      <c r="G92" s="92">
        <f>VLOOKUP(A92,'Data Vlaue (Cr)'!C87:CB305,78,0)</f>
        <v>-6.0299999999999999E-2</v>
      </c>
      <c r="H92" s="91">
        <f>VLOOKUP($A92,'Data Vlaue (Cr)'!$C:$FB,91)</f>
        <v>264</v>
      </c>
      <c r="I92" s="91">
        <f>VLOOKUP($A92,'Data Vlaue (Cr)'!$C:$FB,93)</f>
        <v>-9</v>
      </c>
      <c r="J92" s="92">
        <f>VLOOKUP($A92,'Data Vlaue (Cr)'!$C:$FB,94)</f>
        <v>-3.4099999999999998E-2</v>
      </c>
      <c r="K92" s="91">
        <f>VLOOKUP($A92,'Data Vlaue (Cr)'!$C:$FB,95)</f>
        <v>253</v>
      </c>
      <c r="L92" s="91">
        <f>VLOOKUP($A92,'Data Vlaue (Cr)'!$C:$FB,97)</f>
        <v>31</v>
      </c>
      <c r="M92" s="92">
        <f>VLOOKUP($A92,'Data Vlaue (Cr)'!$C:$FB,98)</f>
        <v>0.14119999999999999</v>
      </c>
      <c r="N92" s="91">
        <f>VLOOKUP($A92,'Data Vlaue (Cr)'!$C:$FB,79)</f>
        <v>468</v>
      </c>
      <c r="O92" s="92">
        <f>VLOOKUP($A92,'Data Vlaue (Cr)'!$C:$FB,82)</f>
        <v>-6.0299999999999999E-2</v>
      </c>
    </row>
    <row r="93" spans="1:15" x14ac:dyDescent="0.25">
      <c r="A93" s="97" t="str">
        <f>'Data Vlaue (Cr)'!C88</f>
        <v>HYUNDAI</v>
      </c>
      <c r="B93" s="142">
        <f>VLOOKUP(A93,'Data Vlaue (Cr)'!C88:CW306,99,0)</f>
        <v>1759</v>
      </c>
      <c r="C93" s="90">
        <f>VLOOKUP(A93,'Data Vlaue (Cr)'!C88:CY306,101,0)</f>
        <v>-199</v>
      </c>
      <c r="D93" s="139">
        <f>VLOOKUP(A93,'Data Vlaue (Cr)'!C88:CZ306,102,0)</f>
        <v>-0.1018</v>
      </c>
      <c r="E93" s="91">
        <f>VLOOKUP($A93,'Data Vlaue (Cr)'!$C:$FB,75)</f>
        <v>1454</v>
      </c>
      <c r="F93" s="91">
        <f>VLOOKUP($A93,'Data Vlaue (Cr)'!$C:$FB,77)</f>
        <v>-195</v>
      </c>
      <c r="G93" s="92">
        <f>VLOOKUP(A93,'Data Vlaue (Cr)'!C88:CB306,78,0)</f>
        <v>-0.1183</v>
      </c>
      <c r="H93" s="91">
        <f>VLOOKUP($A93,'Data Vlaue (Cr)'!$C:$FB,91)</f>
        <v>196</v>
      </c>
      <c r="I93" s="91">
        <f>VLOOKUP($A93,'Data Vlaue (Cr)'!$C:$FB,93)</f>
        <v>12</v>
      </c>
      <c r="J93" s="92">
        <f>VLOOKUP($A93,'Data Vlaue (Cr)'!$C:$FB,94)</f>
        <v>6.5299999999999997E-2</v>
      </c>
      <c r="K93" s="91">
        <f>VLOOKUP($A93,'Data Vlaue (Cr)'!$C:$FB,95)</f>
        <v>109</v>
      </c>
      <c r="L93" s="91">
        <f>VLOOKUP($A93,'Data Vlaue (Cr)'!$C:$FB,97)</f>
        <v>-16</v>
      </c>
      <c r="M93" s="92">
        <f>VLOOKUP($A93,'Data Vlaue (Cr)'!$C:$FB,98)</f>
        <v>-0.13059999999999999</v>
      </c>
      <c r="N93" s="91">
        <f>VLOOKUP($A93,'Data Vlaue (Cr)'!$C:$FB,79)</f>
        <v>633</v>
      </c>
      <c r="O93" s="92">
        <f>VLOOKUP($A93,'Data Vlaue (Cr)'!$C:$FB,82)</f>
        <v>-0.43880000000000002</v>
      </c>
    </row>
    <row r="94" spans="1:15" x14ac:dyDescent="0.25">
      <c r="A94" s="97" t="str">
        <f>'Data Vlaue (Cr)'!C89</f>
        <v>ICICIBANK</v>
      </c>
      <c r="B94" s="142">
        <f>VLOOKUP(A94,'Data Vlaue (Cr)'!C89:CW307,99,0)</f>
        <v>22400</v>
      </c>
      <c r="C94" s="90">
        <f>VLOOKUP(A94,'Data Vlaue (Cr)'!C89:CY307,101,0)</f>
        <v>-74</v>
      </c>
      <c r="D94" s="139">
        <f>VLOOKUP(A94,'Data Vlaue (Cr)'!C89:CZ307,102,0)</f>
        <v>-3.3E-3</v>
      </c>
      <c r="E94" s="91">
        <f>VLOOKUP($A94,'Data Vlaue (Cr)'!$C:$FB,75)</f>
        <v>15565</v>
      </c>
      <c r="F94" s="91">
        <f>VLOOKUP($A94,'Data Vlaue (Cr)'!$C:$FB,77)</f>
        <v>88</v>
      </c>
      <c r="G94" s="92">
        <f>VLOOKUP(A94,'Data Vlaue (Cr)'!C89:CB307,78,0)</f>
        <v>5.7000000000000002E-3</v>
      </c>
      <c r="H94" s="91">
        <f>VLOOKUP($A94,'Data Vlaue (Cr)'!$C:$FB,91)</f>
        <v>3857</v>
      </c>
      <c r="I94" s="91">
        <f>VLOOKUP($A94,'Data Vlaue (Cr)'!$C:$FB,93)</f>
        <v>-56</v>
      </c>
      <c r="J94" s="92">
        <f>VLOOKUP($A94,'Data Vlaue (Cr)'!$C:$FB,94)</f>
        <v>-1.44E-2</v>
      </c>
      <c r="K94" s="91">
        <f>VLOOKUP($A94,'Data Vlaue (Cr)'!$C:$FB,95)</f>
        <v>2978</v>
      </c>
      <c r="L94" s="91">
        <f>VLOOKUP($A94,'Data Vlaue (Cr)'!$C:$FB,97)</f>
        <v>-107</v>
      </c>
      <c r="M94" s="92">
        <f>VLOOKUP($A94,'Data Vlaue (Cr)'!$C:$FB,98)</f>
        <v>-3.4599999999999999E-2</v>
      </c>
      <c r="N94" s="91">
        <f>VLOOKUP($A94,'Data Vlaue (Cr)'!$C:$FB,79)</f>
        <v>6763</v>
      </c>
      <c r="O94" s="92">
        <f>VLOOKUP($A94,'Data Vlaue (Cr)'!$C:$FB,82)</f>
        <v>-0.30780000000000002</v>
      </c>
    </row>
    <row r="95" spans="1:15" x14ac:dyDescent="0.25">
      <c r="A95" s="97" t="str">
        <f>'Data Vlaue (Cr)'!C90</f>
        <v>ICICIGI</v>
      </c>
      <c r="B95" s="142">
        <f>VLOOKUP(A95,'Data Vlaue (Cr)'!C90:CW308,99,0)</f>
        <v>1388</v>
      </c>
      <c r="C95" s="90">
        <f>VLOOKUP(A95,'Data Vlaue (Cr)'!C90:CY308,101,0)</f>
        <v>-18</v>
      </c>
      <c r="D95" s="139">
        <f>VLOOKUP(A95,'Data Vlaue (Cr)'!C90:CZ308,102,0)</f>
        <v>-1.26E-2</v>
      </c>
      <c r="E95" s="91">
        <f>VLOOKUP($A95,'Data Vlaue (Cr)'!$C:$FB,75)</f>
        <v>1003</v>
      </c>
      <c r="F95" s="91">
        <f>VLOOKUP($A95,'Data Vlaue (Cr)'!$C:$FB,77)</f>
        <v>3</v>
      </c>
      <c r="G95" s="92">
        <f>VLOOKUP(A95,'Data Vlaue (Cr)'!C90:CB308,78,0)</f>
        <v>3.0000000000000001E-3</v>
      </c>
      <c r="H95" s="91">
        <f>VLOOKUP($A95,'Data Vlaue (Cr)'!$C:$FB,91)</f>
        <v>217</v>
      </c>
      <c r="I95" s="91">
        <f>VLOOKUP($A95,'Data Vlaue (Cr)'!$C:$FB,93)</f>
        <v>-8</v>
      </c>
      <c r="J95" s="92">
        <f>VLOOKUP($A95,'Data Vlaue (Cr)'!$C:$FB,94)</f>
        <v>-3.4000000000000002E-2</v>
      </c>
      <c r="K95" s="91">
        <f>VLOOKUP($A95,'Data Vlaue (Cr)'!$C:$FB,95)</f>
        <v>169</v>
      </c>
      <c r="L95" s="91">
        <f>VLOOKUP($A95,'Data Vlaue (Cr)'!$C:$FB,97)</f>
        <v>-13</v>
      </c>
      <c r="M95" s="92">
        <f>VLOOKUP($A95,'Data Vlaue (Cr)'!$C:$FB,98)</f>
        <v>-7.1900000000000006E-2</v>
      </c>
      <c r="N95" s="91">
        <f>VLOOKUP($A95,'Data Vlaue (Cr)'!$C:$FB,79)</f>
        <v>744</v>
      </c>
      <c r="O95" s="92">
        <f>VLOOKUP($A95,'Data Vlaue (Cr)'!$C:$FB,82)</f>
        <v>-0.2019</v>
      </c>
    </row>
    <row r="96" spans="1:15" x14ac:dyDescent="0.25">
      <c r="A96" s="97" t="str">
        <f>'Data Vlaue (Cr)'!C91</f>
        <v>ICICIPRULI</v>
      </c>
      <c r="B96" s="142">
        <f>VLOOKUP(A96,'Data Vlaue (Cr)'!C91:CW309,99,0)</f>
        <v>1834</v>
      </c>
      <c r="C96" s="90">
        <f>VLOOKUP(A96,'Data Vlaue (Cr)'!C91:CY309,101,0)</f>
        <v>5</v>
      </c>
      <c r="D96" s="139">
        <f>VLOOKUP(A96,'Data Vlaue (Cr)'!C91:CZ309,102,0)</f>
        <v>2.8999999999999998E-3</v>
      </c>
      <c r="E96" s="91">
        <f>VLOOKUP($A96,'Data Vlaue (Cr)'!$C:$FB,75)</f>
        <v>1157</v>
      </c>
      <c r="F96" s="91">
        <f>VLOOKUP($A96,'Data Vlaue (Cr)'!$C:$FB,77)</f>
        <v>10</v>
      </c>
      <c r="G96" s="92">
        <f>VLOOKUP(A96,'Data Vlaue (Cr)'!C91:CB309,78,0)</f>
        <v>8.3999999999999995E-3</v>
      </c>
      <c r="H96" s="91">
        <f>VLOOKUP($A96,'Data Vlaue (Cr)'!$C:$FB,91)</f>
        <v>404</v>
      </c>
      <c r="I96" s="91">
        <f>VLOOKUP($A96,'Data Vlaue (Cr)'!$C:$FB,93)</f>
        <v>-15</v>
      </c>
      <c r="J96" s="92">
        <f>VLOOKUP($A96,'Data Vlaue (Cr)'!$C:$FB,94)</f>
        <v>-3.5299999999999998E-2</v>
      </c>
      <c r="K96" s="91">
        <f>VLOOKUP($A96,'Data Vlaue (Cr)'!$C:$FB,95)</f>
        <v>273</v>
      </c>
      <c r="L96" s="91">
        <f>VLOOKUP($A96,'Data Vlaue (Cr)'!$C:$FB,97)</f>
        <v>10</v>
      </c>
      <c r="M96" s="92">
        <f>VLOOKUP($A96,'Data Vlaue (Cr)'!$C:$FB,98)</f>
        <v>0.04</v>
      </c>
      <c r="N96" s="91">
        <f>VLOOKUP($A96,'Data Vlaue (Cr)'!$C:$FB,79)</f>
        <v>792</v>
      </c>
      <c r="O96" s="92">
        <f>VLOOKUP($A96,'Data Vlaue (Cr)'!$C:$FB,82)</f>
        <v>-0.25609999999999999</v>
      </c>
    </row>
    <row r="97" spans="1:15" x14ac:dyDescent="0.25">
      <c r="A97" s="97" t="str">
        <f>'Data Vlaue (Cr)'!C92</f>
        <v>IDEA</v>
      </c>
      <c r="B97" s="142">
        <f>VLOOKUP(A97,'Data Vlaue (Cr)'!C92:CW310,99,0)</f>
        <v>8488</v>
      </c>
      <c r="C97" s="90">
        <f>VLOOKUP(A97,'Data Vlaue (Cr)'!C92:CY310,101,0)</f>
        <v>-21</v>
      </c>
      <c r="D97" s="139">
        <f>VLOOKUP(A97,'Data Vlaue (Cr)'!C92:CZ310,102,0)</f>
        <v>-2.3999999999999998E-3</v>
      </c>
      <c r="E97" s="91">
        <f>VLOOKUP($A97,'Data Vlaue (Cr)'!$C:$FB,75)</f>
        <v>6344</v>
      </c>
      <c r="F97" s="91">
        <f>VLOOKUP($A97,'Data Vlaue (Cr)'!$C:$FB,77)</f>
        <v>-12</v>
      </c>
      <c r="G97" s="92">
        <f>VLOOKUP(A97,'Data Vlaue (Cr)'!C92:CB310,78,0)</f>
        <v>-2E-3</v>
      </c>
      <c r="H97" s="91">
        <f>VLOOKUP($A97,'Data Vlaue (Cr)'!$C:$FB,91)</f>
        <v>1438</v>
      </c>
      <c r="I97" s="91">
        <f>VLOOKUP($A97,'Data Vlaue (Cr)'!$C:$FB,93)</f>
        <v>4</v>
      </c>
      <c r="J97" s="92">
        <f>VLOOKUP($A97,'Data Vlaue (Cr)'!$C:$FB,94)</f>
        <v>3.0999999999999999E-3</v>
      </c>
      <c r="K97" s="91">
        <f>VLOOKUP($A97,'Data Vlaue (Cr)'!$C:$FB,95)</f>
        <v>706</v>
      </c>
      <c r="L97" s="91">
        <f>VLOOKUP($A97,'Data Vlaue (Cr)'!$C:$FB,97)</f>
        <v>-13</v>
      </c>
      <c r="M97" s="92">
        <f>VLOOKUP($A97,'Data Vlaue (Cr)'!$C:$FB,98)</f>
        <v>-1.7600000000000001E-2</v>
      </c>
      <c r="N97" s="91">
        <f>VLOOKUP($A97,'Data Vlaue (Cr)'!$C:$FB,79)</f>
        <v>3663</v>
      </c>
      <c r="O97" s="92">
        <f>VLOOKUP($A97,'Data Vlaue (Cr)'!$C:$FB,82)</f>
        <v>-0.1762</v>
      </c>
    </row>
    <row r="98" spans="1:15" x14ac:dyDescent="0.25">
      <c r="A98" s="97" t="str">
        <f>'Data Vlaue (Cr)'!C93</f>
        <v>IDFCFIRSTB</v>
      </c>
      <c r="B98" s="142">
        <f>VLOOKUP(A98,'Data Vlaue (Cr)'!C93:CW311,99,0)</f>
        <v>4394</v>
      </c>
      <c r="C98" s="90">
        <f>VLOOKUP(A98,'Data Vlaue (Cr)'!C93:CY311,101,0)</f>
        <v>-40</v>
      </c>
      <c r="D98" s="139">
        <f>VLOOKUP(A98,'Data Vlaue (Cr)'!C93:CZ311,102,0)</f>
        <v>-9.1000000000000004E-3</v>
      </c>
      <c r="E98" s="91">
        <f>VLOOKUP($A98,'Data Vlaue (Cr)'!$C:$FB,75)</f>
        <v>2728</v>
      </c>
      <c r="F98" s="91">
        <f>VLOOKUP($A98,'Data Vlaue (Cr)'!$C:$FB,77)</f>
        <v>-39</v>
      </c>
      <c r="G98" s="92">
        <f>VLOOKUP(A98,'Data Vlaue (Cr)'!C93:CB311,78,0)</f>
        <v>-1.4200000000000001E-2</v>
      </c>
      <c r="H98" s="91">
        <f>VLOOKUP($A98,'Data Vlaue (Cr)'!$C:$FB,91)</f>
        <v>867</v>
      </c>
      <c r="I98" s="91">
        <f>VLOOKUP($A98,'Data Vlaue (Cr)'!$C:$FB,93)</f>
        <v>15</v>
      </c>
      <c r="J98" s="92">
        <f>VLOOKUP($A98,'Data Vlaue (Cr)'!$C:$FB,94)</f>
        <v>1.7399999999999999E-2</v>
      </c>
      <c r="K98" s="91">
        <f>VLOOKUP($A98,'Data Vlaue (Cr)'!$C:$FB,95)</f>
        <v>799</v>
      </c>
      <c r="L98" s="91">
        <f>VLOOKUP($A98,'Data Vlaue (Cr)'!$C:$FB,97)</f>
        <v>-16</v>
      </c>
      <c r="M98" s="92">
        <f>VLOOKUP($A98,'Data Vlaue (Cr)'!$C:$FB,98)</f>
        <v>-1.9099999999999999E-2</v>
      </c>
      <c r="N98" s="91">
        <f>VLOOKUP($A98,'Data Vlaue (Cr)'!$C:$FB,79)</f>
        <v>1303</v>
      </c>
      <c r="O98" s="92">
        <f>VLOOKUP($A98,'Data Vlaue (Cr)'!$C:$FB,82)</f>
        <v>-0.30299999999999999</v>
      </c>
    </row>
    <row r="99" spans="1:15" x14ac:dyDescent="0.25">
      <c r="A99" s="97" t="str">
        <f>'Data Vlaue (Cr)'!C94</f>
        <v>IEX</v>
      </c>
      <c r="B99" s="142">
        <f>VLOOKUP(A99,'Data Vlaue (Cr)'!C94:CW312,99,0)</f>
        <v>2317</v>
      </c>
      <c r="C99" s="90">
        <f>VLOOKUP(A99,'Data Vlaue (Cr)'!C94:CY312,101,0)</f>
        <v>36</v>
      </c>
      <c r="D99" s="139">
        <f>VLOOKUP(A99,'Data Vlaue (Cr)'!C94:CZ312,102,0)</f>
        <v>1.5599999999999999E-2</v>
      </c>
      <c r="E99" s="91">
        <f>VLOOKUP($A99,'Data Vlaue (Cr)'!$C:$FB,75)</f>
        <v>957</v>
      </c>
      <c r="F99" s="91">
        <f>VLOOKUP($A99,'Data Vlaue (Cr)'!$C:$FB,77)</f>
        <v>-109</v>
      </c>
      <c r="G99" s="92">
        <f>VLOOKUP(A99,'Data Vlaue (Cr)'!C94:CB312,78,0)</f>
        <v>-0.1021</v>
      </c>
      <c r="H99" s="91">
        <f>VLOOKUP($A99,'Data Vlaue (Cr)'!$C:$FB,91)</f>
        <v>774</v>
      </c>
      <c r="I99" s="91">
        <f>VLOOKUP($A99,'Data Vlaue (Cr)'!$C:$FB,93)</f>
        <v>75</v>
      </c>
      <c r="J99" s="92">
        <f>VLOOKUP($A99,'Data Vlaue (Cr)'!$C:$FB,94)</f>
        <v>0.1066</v>
      </c>
      <c r="K99" s="91">
        <f>VLOOKUP($A99,'Data Vlaue (Cr)'!$C:$FB,95)</f>
        <v>586</v>
      </c>
      <c r="L99" s="91">
        <f>VLOOKUP($A99,'Data Vlaue (Cr)'!$C:$FB,97)</f>
        <v>70</v>
      </c>
      <c r="M99" s="92">
        <f>VLOOKUP($A99,'Data Vlaue (Cr)'!$C:$FB,98)</f>
        <v>0.1356</v>
      </c>
      <c r="N99" s="91">
        <f>VLOOKUP($A99,'Data Vlaue (Cr)'!$C:$FB,79)</f>
        <v>621</v>
      </c>
      <c r="O99" s="92">
        <f>VLOOKUP($A99,'Data Vlaue (Cr)'!$C:$FB,82)</f>
        <v>-0.2195</v>
      </c>
    </row>
    <row r="100" spans="1:15" x14ac:dyDescent="0.25">
      <c r="A100" s="97" t="str">
        <f>'Data Vlaue (Cr)'!C95</f>
        <v>INDHOTEL</v>
      </c>
      <c r="B100" s="142">
        <f>VLOOKUP(A100,'Data Vlaue (Cr)'!C95:CW313,99,0)</f>
        <v>2256</v>
      </c>
      <c r="C100" s="90">
        <f>VLOOKUP(A100,'Data Vlaue (Cr)'!C95:CY313,101,0)</f>
        <v>70</v>
      </c>
      <c r="D100" s="139">
        <f>VLOOKUP(A100,'Data Vlaue (Cr)'!C95:CZ313,102,0)</f>
        <v>3.2199999999999999E-2</v>
      </c>
      <c r="E100" s="91">
        <f>VLOOKUP($A100,'Data Vlaue (Cr)'!$C:$FB,75)</f>
        <v>1472</v>
      </c>
      <c r="F100" s="91">
        <f>VLOOKUP($A100,'Data Vlaue (Cr)'!$C:$FB,77)</f>
        <v>78</v>
      </c>
      <c r="G100" s="92">
        <f>VLOOKUP(A100,'Data Vlaue (Cr)'!C95:CB313,78,0)</f>
        <v>5.5899999999999998E-2</v>
      </c>
      <c r="H100" s="91">
        <f>VLOOKUP($A100,'Data Vlaue (Cr)'!$C:$FB,91)</f>
        <v>399</v>
      </c>
      <c r="I100" s="91">
        <f>VLOOKUP($A100,'Data Vlaue (Cr)'!$C:$FB,93)</f>
        <v>-9</v>
      </c>
      <c r="J100" s="92">
        <f>VLOOKUP($A100,'Data Vlaue (Cr)'!$C:$FB,94)</f>
        <v>-2.12E-2</v>
      </c>
      <c r="K100" s="91">
        <f>VLOOKUP($A100,'Data Vlaue (Cr)'!$C:$FB,95)</f>
        <v>385</v>
      </c>
      <c r="L100" s="91">
        <f>VLOOKUP($A100,'Data Vlaue (Cr)'!$C:$FB,97)</f>
        <v>1</v>
      </c>
      <c r="M100" s="92">
        <f>VLOOKUP($A100,'Data Vlaue (Cr)'!$C:$FB,98)</f>
        <v>3.0000000000000001E-3</v>
      </c>
      <c r="N100" s="91">
        <f>VLOOKUP($A100,'Data Vlaue (Cr)'!$C:$FB,79)</f>
        <v>945</v>
      </c>
      <c r="O100" s="92">
        <f>VLOOKUP($A100,'Data Vlaue (Cr)'!$C:$FB,82)</f>
        <v>-0.1842</v>
      </c>
    </row>
    <row r="101" spans="1:15" x14ac:dyDescent="0.25">
      <c r="A101" s="97" t="str">
        <f>'Data Vlaue (Cr)'!C96</f>
        <v>INDIANB</v>
      </c>
      <c r="B101" s="142">
        <f>VLOOKUP(A101,'Data Vlaue (Cr)'!C96:CW314,99,0)</f>
        <v>1935</v>
      </c>
      <c r="C101" s="90">
        <f>VLOOKUP(A101,'Data Vlaue (Cr)'!C96:CY314,101,0)</f>
        <v>-70</v>
      </c>
      <c r="D101" s="139">
        <f>VLOOKUP(A101,'Data Vlaue (Cr)'!C96:CZ314,102,0)</f>
        <v>-3.49E-2</v>
      </c>
      <c r="E101" s="91">
        <f>VLOOKUP($A101,'Data Vlaue (Cr)'!$C:$FB,75)</f>
        <v>955</v>
      </c>
      <c r="F101" s="91">
        <f>VLOOKUP($A101,'Data Vlaue (Cr)'!$C:$FB,77)</f>
        <v>-70</v>
      </c>
      <c r="G101" s="92">
        <f>VLOOKUP(A101,'Data Vlaue (Cr)'!C96:CB314,78,0)</f>
        <v>-6.8000000000000005E-2</v>
      </c>
      <c r="H101" s="91">
        <f>VLOOKUP($A101,'Data Vlaue (Cr)'!$C:$FB,91)</f>
        <v>630</v>
      </c>
      <c r="I101" s="91">
        <f>VLOOKUP($A101,'Data Vlaue (Cr)'!$C:$FB,93)</f>
        <v>-12</v>
      </c>
      <c r="J101" s="92">
        <f>VLOOKUP($A101,'Data Vlaue (Cr)'!$C:$FB,94)</f>
        <v>-1.8100000000000002E-2</v>
      </c>
      <c r="K101" s="91">
        <f>VLOOKUP($A101,'Data Vlaue (Cr)'!$C:$FB,95)</f>
        <v>351</v>
      </c>
      <c r="L101" s="91">
        <f>VLOOKUP($A101,'Data Vlaue (Cr)'!$C:$FB,97)</f>
        <v>11</v>
      </c>
      <c r="M101" s="92">
        <f>VLOOKUP($A101,'Data Vlaue (Cr)'!$C:$FB,98)</f>
        <v>3.3500000000000002E-2</v>
      </c>
      <c r="N101" s="91">
        <f>VLOOKUP($A101,'Data Vlaue (Cr)'!$C:$FB,79)</f>
        <v>699</v>
      </c>
      <c r="O101" s="92">
        <f>VLOOKUP($A101,'Data Vlaue (Cr)'!$C:$FB,82)</f>
        <v>-0.21440000000000001</v>
      </c>
    </row>
    <row r="102" spans="1:15" x14ac:dyDescent="0.25">
      <c r="A102" s="97" t="str">
        <f>'Data Vlaue (Cr)'!C97</f>
        <v>INDIAVIX</v>
      </c>
      <c r="B102" s="142">
        <f>VLOOKUP(A102,'Data Vlaue (Cr)'!C97:CW315,99,0)</f>
        <v>0</v>
      </c>
      <c r="C102" s="90">
        <f>VLOOKUP(A102,'Data Vlaue (Cr)'!C97:CY315,101,0)</f>
        <v>0</v>
      </c>
      <c r="D102" s="139">
        <f>VLOOKUP(A102,'Data Vlaue (Cr)'!C97:CZ315,102,0)</f>
        <v>0</v>
      </c>
      <c r="E102" s="91">
        <f>VLOOKUP($A102,'Data Vlaue (Cr)'!$C:$FB,75)</f>
        <v>0</v>
      </c>
      <c r="F102" s="91">
        <f>VLOOKUP($A102,'Data Vlaue (Cr)'!$C:$FB,77)</f>
        <v>0</v>
      </c>
      <c r="G102" s="92">
        <f>VLOOKUP(A102,'Data Vlaue (Cr)'!C97:CB315,78,0)</f>
        <v>0</v>
      </c>
      <c r="H102" s="91">
        <f>VLOOKUP($A102,'Data Vlaue (Cr)'!$C:$FB,91)</f>
        <v>0</v>
      </c>
      <c r="I102" s="91">
        <f>VLOOKUP($A102,'Data Vlaue (Cr)'!$C:$FB,93)</f>
        <v>0</v>
      </c>
      <c r="J102" s="92">
        <f>VLOOKUP($A102,'Data Vlaue (Cr)'!$C:$FB,94)</f>
        <v>0</v>
      </c>
      <c r="K102" s="91">
        <f>VLOOKUP($A102,'Data Vlaue (Cr)'!$C:$FB,95)</f>
        <v>0</v>
      </c>
      <c r="L102" s="91">
        <f>VLOOKUP($A102,'Data Vlaue (Cr)'!$C:$FB,97)</f>
        <v>0</v>
      </c>
      <c r="M102" s="92">
        <f>VLOOKUP($A102,'Data Vlaue (Cr)'!$C:$FB,98)</f>
        <v>0</v>
      </c>
      <c r="N102" s="91">
        <f>VLOOKUP($A102,'Data Vlaue (Cr)'!$C:$FB,79)</f>
        <v>0</v>
      </c>
      <c r="O102" s="92">
        <f>VLOOKUP($A102,'Data Vlaue (Cr)'!$C:$FB,82)</f>
        <v>0</v>
      </c>
    </row>
    <row r="103" spans="1:15" x14ac:dyDescent="0.25">
      <c r="A103" s="97" t="str">
        <f>'Data Vlaue (Cr)'!C98</f>
        <v>INDIGO</v>
      </c>
      <c r="B103" s="142">
        <f>VLOOKUP(A103,'Data Vlaue (Cr)'!C98:CW316,99,0)</f>
        <v>8274</v>
      </c>
      <c r="C103" s="90">
        <f>VLOOKUP(A103,'Data Vlaue (Cr)'!C98:CY316,101,0)</f>
        <v>20</v>
      </c>
      <c r="D103" s="139">
        <f>VLOOKUP(A103,'Data Vlaue (Cr)'!C98:CZ316,102,0)</f>
        <v>2.3999999999999998E-3</v>
      </c>
      <c r="E103" s="91">
        <f>VLOOKUP($A103,'Data Vlaue (Cr)'!$C:$FB,75)</f>
        <v>3323</v>
      </c>
      <c r="F103" s="91">
        <f>VLOOKUP($A103,'Data Vlaue (Cr)'!$C:$FB,77)</f>
        <v>93</v>
      </c>
      <c r="G103" s="92">
        <f>VLOOKUP(A103,'Data Vlaue (Cr)'!C98:CB316,78,0)</f>
        <v>2.8799999999999999E-2</v>
      </c>
      <c r="H103" s="91">
        <f>VLOOKUP($A103,'Data Vlaue (Cr)'!$C:$FB,91)</f>
        <v>2980</v>
      </c>
      <c r="I103" s="91">
        <f>VLOOKUP($A103,'Data Vlaue (Cr)'!$C:$FB,93)</f>
        <v>14</v>
      </c>
      <c r="J103" s="92">
        <f>VLOOKUP($A103,'Data Vlaue (Cr)'!$C:$FB,94)</f>
        <v>4.7999999999999996E-3</v>
      </c>
      <c r="K103" s="91">
        <f>VLOOKUP($A103,'Data Vlaue (Cr)'!$C:$FB,95)</f>
        <v>1971</v>
      </c>
      <c r="L103" s="91">
        <f>VLOOKUP($A103,'Data Vlaue (Cr)'!$C:$FB,97)</f>
        <v>-87</v>
      </c>
      <c r="M103" s="92">
        <f>VLOOKUP($A103,'Data Vlaue (Cr)'!$C:$FB,98)</f>
        <v>-4.2299999999999997E-2</v>
      </c>
      <c r="N103" s="91">
        <f>VLOOKUP($A103,'Data Vlaue (Cr)'!$C:$FB,79)</f>
        <v>2251</v>
      </c>
      <c r="O103" s="92">
        <f>VLOOKUP($A103,'Data Vlaue (Cr)'!$C:$FB,82)</f>
        <v>-0.23150000000000001</v>
      </c>
    </row>
    <row r="104" spans="1:15" x14ac:dyDescent="0.25">
      <c r="A104" s="97" t="str">
        <f>'Data Vlaue (Cr)'!C99</f>
        <v>INDUSINDBK</v>
      </c>
      <c r="B104" s="142">
        <f>VLOOKUP(A104,'Data Vlaue (Cr)'!C99:CW317,99,0)</f>
        <v>4668</v>
      </c>
      <c r="C104" s="90">
        <f>VLOOKUP(A104,'Data Vlaue (Cr)'!C99:CY317,101,0)</f>
        <v>140</v>
      </c>
      <c r="D104" s="139">
        <f>VLOOKUP(A104,'Data Vlaue (Cr)'!C99:CZ317,102,0)</f>
        <v>3.0800000000000001E-2</v>
      </c>
      <c r="E104" s="91">
        <f>VLOOKUP($A104,'Data Vlaue (Cr)'!$C:$FB,75)</f>
        <v>3345</v>
      </c>
      <c r="F104" s="91">
        <f>VLOOKUP($A104,'Data Vlaue (Cr)'!$C:$FB,77)</f>
        <v>85</v>
      </c>
      <c r="G104" s="92">
        <f>VLOOKUP(A104,'Data Vlaue (Cr)'!C99:CB317,78,0)</f>
        <v>2.6100000000000002E-2</v>
      </c>
      <c r="H104" s="91">
        <f>VLOOKUP($A104,'Data Vlaue (Cr)'!$C:$FB,91)</f>
        <v>747</v>
      </c>
      <c r="I104" s="91">
        <f>VLOOKUP($A104,'Data Vlaue (Cr)'!$C:$FB,93)</f>
        <v>58</v>
      </c>
      <c r="J104" s="92">
        <f>VLOOKUP($A104,'Data Vlaue (Cr)'!$C:$FB,94)</f>
        <v>8.4099999999999994E-2</v>
      </c>
      <c r="K104" s="91">
        <f>VLOOKUP($A104,'Data Vlaue (Cr)'!$C:$FB,95)</f>
        <v>575</v>
      </c>
      <c r="L104" s="91">
        <f>VLOOKUP($A104,'Data Vlaue (Cr)'!$C:$FB,97)</f>
        <v>-4</v>
      </c>
      <c r="M104" s="92">
        <f>VLOOKUP($A104,'Data Vlaue (Cr)'!$C:$FB,98)</f>
        <v>-6.1999999999999998E-3</v>
      </c>
      <c r="N104" s="91">
        <f>VLOOKUP($A104,'Data Vlaue (Cr)'!$C:$FB,79)</f>
        <v>2084</v>
      </c>
      <c r="O104" s="92">
        <f>VLOOKUP($A104,'Data Vlaue (Cr)'!$C:$FB,82)</f>
        <v>-0.2581</v>
      </c>
    </row>
    <row r="105" spans="1:15" x14ac:dyDescent="0.25">
      <c r="A105" s="97" t="str">
        <f>'Data Vlaue (Cr)'!C100</f>
        <v>INDUSTOWER</v>
      </c>
      <c r="B105" s="142">
        <f>VLOOKUP(A105,'Data Vlaue (Cr)'!C100:CW318,99,0)</f>
        <v>4856</v>
      </c>
      <c r="C105" s="90">
        <f>VLOOKUP(A105,'Data Vlaue (Cr)'!C100:CY318,101,0)</f>
        <v>76</v>
      </c>
      <c r="D105" s="139">
        <f>VLOOKUP(A105,'Data Vlaue (Cr)'!C100:CZ318,102,0)</f>
        <v>1.5900000000000001E-2</v>
      </c>
      <c r="E105" s="91">
        <f>VLOOKUP($A105,'Data Vlaue (Cr)'!$C:$FB,75)</f>
        <v>3230</v>
      </c>
      <c r="F105" s="91">
        <f>VLOOKUP($A105,'Data Vlaue (Cr)'!$C:$FB,77)</f>
        <v>125</v>
      </c>
      <c r="G105" s="92">
        <f>VLOOKUP(A105,'Data Vlaue (Cr)'!C100:CB318,78,0)</f>
        <v>4.02E-2</v>
      </c>
      <c r="H105" s="91">
        <f>VLOOKUP($A105,'Data Vlaue (Cr)'!$C:$FB,91)</f>
        <v>1060</v>
      </c>
      <c r="I105" s="91">
        <f>VLOOKUP($A105,'Data Vlaue (Cr)'!$C:$FB,93)</f>
        <v>-19</v>
      </c>
      <c r="J105" s="92">
        <f>VLOOKUP($A105,'Data Vlaue (Cr)'!$C:$FB,94)</f>
        <v>-1.7999999999999999E-2</v>
      </c>
      <c r="K105" s="91">
        <f>VLOOKUP($A105,'Data Vlaue (Cr)'!$C:$FB,95)</f>
        <v>566</v>
      </c>
      <c r="L105" s="91">
        <f>VLOOKUP($A105,'Data Vlaue (Cr)'!$C:$FB,97)</f>
        <v>-29</v>
      </c>
      <c r="M105" s="92">
        <f>VLOOKUP($A105,'Data Vlaue (Cr)'!$C:$FB,98)</f>
        <v>-4.8899999999999999E-2</v>
      </c>
      <c r="N105" s="91">
        <f>VLOOKUP($A105,'Data Vlaue (Cr)'!$C:$FB,79)</f>
        <v>1978</v>
      </c>
      <c r="O105" s="92">
        <f>VLOOKUP($A105,'Data Vlaue (Cr)'!$C:$FB,82)</f>
        <v>-0.15759999999999999</v>
      </c>
    </row>
    <row r="106" spans="1:15" x14ac:dyDescent="0.25">
      <c r="A106" s="97" t="str">
        <f>'Data Vlaue (Cr)'!C101</f>
        <v>INFY</v>
      </c>
      <c r="B106" s="142">
        <f>VLOOKUP(A106,'Data Vlaue (Cr)'!C101:CW319,99,0)</f>
        <v>19680</v>
      </c>
      <c r="C106" s="90">
        <f>VLOOKUP(A106,'Data Vlaue (Cr)'!C101:CY319,101,0)</f>
        <v>2436</v>
      </c>
      <c r="D106" s="139">
        <f>VLOOKUP(A106,'Data Vlaue (Cr)'!C101:CZ319,102,0)</f>
        <v>0.14119999999999999</v>
      </c>
      <c r="E106" s="91">
        <f>VLOOKUP($A106,'Data Vlaue (Cr)'!$C:$FB,75)</f>
        <v>10492</v>
      </c>
      <c r="F106" s="91">
        <f>VLOOKUP($A106,'Data Vlaue (Cr)'!$C:$FB,77)</f>
        <v>680</v>
      </c>
      <c r="G106" s="92">
        <f>VLOOKUP(A106,'Data Vlaue (Cr)'!C101:CB319,78,0)</f>
        <v>6.93E-2</v>
      </c>
      <c r="H106" s="91">
        <f>VLOOKUP($A106,'Data Vlaue (Cr)'!$C:$FB,91)</f>
        <v>5157</v>
      </c>
      <c r="I106" s="91">
        <f>VLOOKUP($A106,'Data Vlaue (Cr)'!$C:$FB,93)</f>
        <v>986</v>
      </c>
      <c r="J106" s="92">
        <f>VLOOKUP($A106,'Data Vlaue (Cr)'!$C:$FB,94)</f>
        <v>0.2364</v>
      </c>
      <c r="K106" s="91">
        <f>VLOOKUP($A106,'Data Vlaue (Cr)'!$C:$FB,95)</f>
        <v>4032</v>
      </c>
      <c r="L106" s="91">
        <f>VLOOKUP($A106,'Data Vlaue (Cr)'!$C:$FB,97)</f>
        <v>770</v>
      </c>
      <c r="M106" s="92">
        <f>VLOOKUP($A106,'Data Vlaue (Cr)'!$C:$FB,98)</f>
        <v>0.23619999999999999</v>
      </c>
      <c r="N106" s="91">
        <f>VLOOKUP($A106,'Data Vlaue (Cr)'!$C:$FB,79)</f>
        <v>6539</v>
      </c>
      <c r="O106" s="92">
        <f>VLOOKUP($A106,'Data Vlaue (Cr)'!$C:$FB,82)</f>
        <v>-0.21049999999999999</v>
      </c>
    </row>
    <row r="107" spans="1:15" x14ac:dyDescent="0.25">
      <c r="A107" s="97" t="str">
        <f>'Data Vlaue (Cr)'!C102</f>
        <v>INOXWIND</v>
      </c>
      <c r="B107" s="142">
        <f>VLOOKUP(A107,'Data Vlaue (Cr)'!C102:CW320,99,0)</f>
        <v>1489</v>
      </c>
      <c r="C107" s="90">
        <f>VLOOKUP(A107,'Data Vlaue (Cr)'!C102:CY320,101,0)</f>
        <v>1</v>
      </c>
      <c r="D107" s="139">
        <f>VLOOKUP(A107,'Data Vlaue (Cr)'!C102:CZ320,102,0)</f>
        <v>1E-3</v>
      </c>
      <c r="E107" s="91">
        <f>VLOOKUP($A107,'Data Vlaue (Cr)'!$C:$FB,75)</f>
        <v>981</v>
      </c>
      <c r="F107" s="91">
        <f>VLOOKUP($A107,'Data Vlaue (Cr)'!$C:$FB,77)</f>
        <v>-6</v>
      </c>
      <c r="G107" s="92">
        <f>VLOOKUP(A107,'Data Vlaue (Cr)'!C102:CB320,78,0)</f>
        <v>-6.1999999999999998E-3</v>
      </c>
      <c r="H107" s="91">
        <f>VLOOKUP($A107,'Data Vlaue (Cr)'!$C:$FB,91)</f>
        <v>267</v>
      </c>
      <c r="I107" s="91">
        <f>VLOOKUP($A107,'Data Vlaue (Cr)'!$C:$FB,93)</f>
        <v>3</v>
      </c>
      <c r="J107" s="92">
        <f>VLOOKUP($A107,'Data Vlaue (Cr)'!$C:$FB,94)</f>
        <v>1.12E-2</v>
      </c>
      <c r="K107" s="91">
        <f>VLOOKUP($A107,'Data Vlaue (Cr)'!$C:$FB,95)</f>
        <v>241</v>
      </c>
      <c r="L107" s="91">
        <f>VLOOKUP($A107,'Data Vlaue (Cr)'!$C:$FB,97)</f>
        <v>5</v>
      </c>
      <c r="M107" s="92">
        <f>VLOOKUP($A107,'Data Vlaue (Cr)'!$C:$FB,98)</f>
        <v>1.9400000000000001E-2</v>
      </c>
      <c r="N107" s="91">
        <f>VLOOKUP($A107,'Data Vlaue (Cr)'!$C:$FB,79)</f>
        <v>545</v>
      </c>
      <c r="O107" s="92">
        <f>VLOOKUP($A107,'Data Vlaue (Cr)'!$C:$FB,82)</f>
        <v>-0.23180000000000001</v>
      </c>
    </row>
    <row r="108" spans="1:15" x14ac:dyDescent="0.25">
      <c r="A108" s="97" t="str">
        <f>'Data Vlaue (Cr)'!C103</f>
        <v>IOC</v>
      </c>
      <c r="B108" s="142">
        <f>VLOOKUP(A108,'Data Vlaue (Cr)'!C103:CW321,99,0)</f>
        <v>3197</v>
      </c>
      <c r="C108" s="90">
        <f>VLOOKUP(A108,'Data Vlaue (Cr)'!C103:CY321,101,0)</f>
        <v>-28</v>
      </c>
      <c r="D108" s="139">
        <f>VLOOKUP(A108,'Data Vlaue (Cr)'!C103:CZ321,102,0)</f>
        <v>-8.8000000000000005E-3</v>
      </c>
      <c r="E108" s="91">
        <f>VLOOKUP($A108,'Data Vlaue (Cr)'!$C:$FB,75)</f>
        <v>1509</v>
      </c>
      <c r="F108" s="91">
        <f>VLOOKUP($A108,'Data Vlaue (Cr)'!$C:$FB,77)</f>
        <v>2</v>
      </c>
      <c r="G108" s="92">
        <f>VLOOKUP(A108,'Data Vlaue (Cr)'!C103:CB321,78,0)</f>
        <v>1.1999999999999999E-3</v>
      </c>
      <c r="H108" s="91">
        <f>VLOOKUP($A108,'Data Vlaue (Cr)'!$C:$FB,91)</f>
        <v>969</v>
      </c>
      <c r="I108" s="91">
        <f>VLOOKUP($A108,'Data Vlaue (Cr)'!$C:$FB,93)</f>
        <v>-24</v>
      </c>
      <c r="J108" s="92">
        <f>VLOOKUP($A108,'Data Vlaue (Cr)'!$C:$FB,94)</f>
        <v>-2.4500000000000001E-2</v>
      </c>
      <c r="K108" s="91">
        <f>VLOOKUP($A108,'Data Vlaue (Cr)'!$C:$FB,95)</f>
        <v>718</v>
      </c>
      <c r="L108" s="91">
        <f>VLOOKUP($A108,'Data Vlaue (Cr)'!$C:$FB,97)</f>
        <v>-6</v>
      </c>
      <c r="M108" s="92">
        <f>VLOOKUP($A108,'Data Vlaue (Cr)'!$C:$FB,98)</f>
        <v>-7.9000000000000008E-3</v>
      </c>
      <c r="N108" s="91">
        <f>VLOOKUP($A108,'Data Vlaue (Cr)'!$C:$FB,79)</f>
        <v>895</v>
      </c>
      <c r="O108" s="92">
        <f>VLOOKUP($A108,'Data Vlaue (Cr)'!$C:$FB,82)</f>
        <v>-0.27560000000000001</v>
      </c>
    </row>
    <row r="109" spans="1:15" x14ac:dyDescent="0.25">
      <c r="A109" s="97" t="str">
        <f>'Data Vlaue (Cr)'!C104</f>
        <v>IREDA</v>
      </c>
      <c r="B109" s="142">
        <f>VLOOKUP(A109,'Data Vlaue (Cr)'!C104:CW322,99,0)</f>
        <v>1667</v>
      </c>
      <c r="C109" s="90">
        <f>VLOOKUP(A109,'Data Vlaue (Cr)'!C104:CY322,101,0)</f>
        <v>-130</v>
      </c>
      <c r="D109" s="139">
        <f>VLOOKUP(A109,'Data Vlaue (Cr)'!C104:CZ322,102,0)</f>
        <v>-7.2099999999999997E-2</v>
      </c>
      <c r="E109" s="91">
        <f>VLOOKUP($A109,'Data Vlaue (Cr)'!$C:$FB,75)</f>
        <v>773</v>
      </c>
      <c r="F109" s="91">
        <f>VLOOKUP($A109,'Data Vlaue (Cr)'!$C:$FB,77)</f>
        <v>-116</v>
      </c>
      <c r="G109" s="92">
        <f>VLOOKUP(A109,'Data Vlaue (Cr)'!C104:CB322,78,0)</f>
        <v>-0.13009999999999999</v>
      </c>
      <c r="H109" s="91">
        <f>VLOOKUP($A109,'Data Vlaue (Cr)'!$C:$FB,91)</f>
        <v>472</v>
      </c>
      <c r="I109" s="91">
        <f>VLOOKUP($A109,'Data Vlaue (Cr)'!$C:$FB,93)</f>
        <v>20</v>
      </c>
      <c r="J109" s="92">
        <f>VLOOKUP($A109,'Data Vlaue (Cr)'!$C:$FB,94)</f>
        <v>4.4400000000000002E-2</v>
      </c>
      <c r="K109" s="91">
        <f>VLOOKUP($A109,'Data Vlaue (Cr)'!$C:$FB,95)</f>
        <v>422</v>
      </c>
      <c r="L109" s="91">
        <f>VLOOKUP($A109,'Data Vlaue (Cr)'!$C:$FB,97)</f>
        <v>-34</v>
      </c>
      <c r="M109" s="92">
        <f>VLOOKUP($A109,'Data Vlaue (Cr)'!$C:$FB,98)</f>
        <v>-7.46E-2</v>
      </c>
      <c r="N109" s="91">
        <f>VLOOKUP($A109,'Data Vlaue (Cr)'!$C:$FB,79)</f>
        <v>371</v>
      </c>
      <c r="O109" s="92">
        <f>VLOOKUP($A109,'Data Vlaue (Cr)'!$C:$FB,82)</f>
        <v>-0.33889999999999998</v>
      </c>
    </row>
    <row r="110" spans="1:15" x14ac:dyDescent="0.25">
      <c r="A110" s="97" t="str">
        <f>'Data Vlaue (Cr)'!C105</f>
        <v>IRFC</v>
      </c>
      <c r="B110" s="142">
        <f>VLOOKUP(A110,'Data Vlaue (Cr)'!C105:CW323,99,0)</f>
        <v>1596</v>
      </c>
      <c r="C110" s="90">
        <f>VLOOKUP(A110,'Data Vlaue (Cr)'!C105:CY323,101,0)</f>
        <v>161</v>
      </c>
      <c r="D110" s="139">
        <f>VLOOKUP(A110,'Data Vlaue (Cr)'!C105:CZ323,102,0)</f>
        <v>0.1125</v>
      </c>
      <c r="E110" s="91">
        <f>VLOOKUP($A110,'Data Vlaue (Cr)'!$C:$FB,75)</f>
        <v>683</v>
      </c>
      <c r="F110" s="91">
        <f>VLOOKUP($A110,'Data Vlaue (Cr)'!$C:$FB,77)</f>
        <v>24</v>
      </c>
      <c r="G110" s="92">
        <f>VLOOKUP(A110,'Data Vlaue (Cr)'!C105:CB323,78,0)</f>
        <v>3.6400000000000002E-2</v>
      </c>
      <c r="H110" s="91">
        <f>VLOOKUP($A110,'Data Vlaue (Cr)'!$C:$FB,91)</f>
        <v>575</v>
      </c>
      <c r="I110" s="91">
        <f>VLOOKUP($A110,'Data Vlaue (Cr)'!$C:$FB,93)</f>
        <v>120</v>
      </c>
      <c r="J110" s="92">
        <f>VLOOKUP($A110,'Data Vlaue (Cr)'!$C:$FB,94)</f>
        <v>0.26350000000000001</v>
      </c>
      <c r="K110" s="91">
        <f>VLOOKUP($A110,'Data Vlaue (Cr)'!$C:$FB,95)</f>
        <v>338</v>
      </c>
      <c r="L110" s="91">
        <f>VLOOKUP($A110,'Data Vlaue (Cr)'!$C:$FB,97)</f>
        <v>18</v>
      </c>
      <c r="M110" s="92">
        <f>VLOOKUP($A110,'Data Vlaue (Cr)'!$C:$FB,98)</f>
        <v>5.4800000000000001E-2</v>
      </c>
      <c r="N110" s="91">
        <f>VLOOKUP($A110,'Data Vlaue (Cr)'!$C:$FB,79)</f>
        <v>334</v>
      </c>
      <c r="O110" s="92">
        <f>VLOOKUP($A110,'Data Vlaue (Cr)'!$C:$FB,82)</f>
        <v>-0.25080000000000002</v>
      </c>
    </row>
    <row r="111" spans="1:15" x14ac:dyDescent="0.25">
      <c r="A111" s="97" t="str">
        <f>'Data Vlaue (Cr)'!C106</f>
        <v>ITC</v>
      </c>
      <c r="B111" s="142">
        <f>VLOOKUP(A111,'Data Vlaue (Cr)'!C106:CW324,99,0)</f>
        <v>11158</v>
      </c>
      <c r="C111" s="90">
        <f>VLOOKUP(A111,'Data Vlaue (Cr)'!C106:CY324,101,0)</f>
        <v>43</v>
      </c>
      <c r="D111" s="139">
        <f>VLOOKUP(A111,'Data Vlaue (Cr)'!C106:CZ324,102,0)</f>
        <v>3.8E-3</v>
      </c>
      <c r="E111" s="91">
        <f>VLOOKUP($A111,'Data Vlaue (Cr)'!$C:$FB,75)</f>
        <v>5386</v>
      </c>
      <c r="F111" s="91">
        <f>VLOOKUP($A111,'Data Vlaue (Cr)'!$C:$FB,77)</f>
        <v>53</v>
      </c>
      <c r="G111" s="92">
        <f>VLOOKUP(A111,'Data Vlaue (Cr)'!C106:CB324,78,0)</f>
        <v>9.9000000000000008E-3</v>
      </c>
      <c r="H111" s="91">
        <f>VLOOKUP($A111,'Data Vlaue (Cr)'!$C:$FB,91)</f>
        <v>3837</v>
      </c>
      <c r="I111" s="91">
        <f>VLOOKUP($A111,'Data Vlaue (Cr)'!$C:$FB,93)</f>
        <v>-25</v>
      </c>
      <c r="J111" s="92">
        <f>VLOOKUP($A111,'Data Vlaue (Cr)'!$C:$FB,94)</f>
        <v>-6.6E-3</v>
      </c>
      <c r="K111" s="91">
        <f>VLOOKUP($A111,'Data Vlaue (Cr)'!$C:$FB,95)</f>
        <v>1935</v>
      </c>
      <c r="L111" s="91">
        <f>VLOOKUP($A111,'Data Vlaue (Cr)'!$C:$FB,97)</f>
        <v>15</v>
      </c>
      <c r="M111" s="92">
        <f>VLOOKUP($A111,'Data Vlaue (Cr)'!$C:$FB,98)</f>
        <v>7.7999999999999996E-3</v>
      </c>
      <c r="N111" s="91">
        <f>VLOOKUP($A111,'Data Vlaue (Cr)'!$C:$FB,79)</f>
        <v>3244</v>
      </c>
      <c r="O111" s="92">
        <f>VLOOKUP($A111,'Data Vlaue (Cr)'!$C:$FB,82)</f>
        <v>-0.1953</v>
      </c>
    </row>
    <row r="112" spans="1:15" x14ac:dyDescent="0.25">
      <c r="A112" s="97" t="str">
        <f>'Data Vlaue (Cr)'!C107</f>
        <v>JINDALSTEL</v>
      </c>
      <c r="B112" s="142">
        <f>VLOOKUP(A112,'Data Vlaue (Cr)'!C107:CW325,99,0)</f>
        <v>2776</v>
      </c>
      <c r="C112" s="90">
        <f>VLOOKUP(A112,'Data Vlaue (Cr)'!C107:CY325,101,0)</f>
        <v>-51</v>
      </c>
      <c r="D112" s="139">
        <f>VLOOKUP(A112,'Data Vlaue (Cr)'!C107:CZ325,102,0)</f>
        <v>-1.8100000000000002E-2</v>
      </c>
      <c r="E112" s="91">
        <f>VLOOKUP($A112,'Data Vlaue (Cr)'!$C:$FB,75)</f>
        <v>1731</v>
      </c>
      <c r="F112" s="91">
        <f>VLOOKUP($A112,'Data Vlaue (Cr)'!$C:$FB,77)</f>
        <v>-19</v>
      </c>
      <c r="G112" s="92">
        <f>VLOOKUP(A112,'Data Vlaue (Cr)'!C107:CB325,78,0)</f>
        <v>-1.11E-2</v>
      </c>
      <c r="H112" s="91">
        <f>VLOOKUP($A112,'Data Vlaue (Cr)'!$C:$FB,91)</f>
        <v>510</v>
      </c>
      <c r="I112" s="91">
        <f>VLOOKUP($A112,'Data Vlaue (Cr)'!$C:$FB,93)</f>
        <v>1</v>
      </c>
      <c r="J112" s="92">
        <f>VLOOKUP($A112,'Data Vlaue (Cr)'!$C:$FB,94)</f>
        <v>2.2000000000000001E-3</v>
      </c>
      <c r="K112" s="91">
        <f>VLOOKUP($A112,'Data Vlaue (Cr)'!$C:$FB,95)</f>
        <v>535</v>
      </c>
      <c r="L112" s="91">
        <f>VLOOKUP($A112,'Data Vlaue (Cr)'!$C:$FB,97)</f>
        <v>-33</v>
      </c>
      <c r="M112" s="92">
        <f>VLOOKUP($A112,'Data Vlaue (Cr)'!$C:$FB,98)</f>
        <v>-5.7700000000000001E-2</v>
      </c>
      <c r="N112" s="91">
        <f>VLOOKUP($A112,'Data Vlaue (Cr)'!$C:$FB,79)</f>
        <v>1039</v>
      </c>
      <c r="O112" s="92">
        <f>VLOOKUP($A112,'Data Vlaue (Cr)'!$C:$FB,82)</f>
        <v>-0.28849999999999998</v>
      </c>
    </row>
    <row r="113" spans="1:15" x14ac:dyDescent="0.25">
      <c r="A113" s="97" t="str">
        <f>'Data Vlaue (Cr)'!C108</f>
        <v>JIOFIN</v>
      </c>
      <c r="B113" s="142">
        <f>VLOOKUP(A113,'Data Vlaue (Cr)'!C108:CW326,99,0)</f>
        <v>7889</v>
      </c>
      <c r="C113" s="90">
        <f>VLOOKUP(A113,'Data Vlaue (Cr)'!C108:CY326,101,0)</f>
        <v>49</v>
      </c>
      <c r="D113" s="139">
        <f>VLOOKUP(A113,'Data Vlaue (Cr)'!C108:CZ326,102,0)</f>
        <v>6.1999999999999998E-3</v>
      </c>
      <c r="E113" s="91">
        <f>VLOOKUP($A113,'Data Vlaue (Cr)'!$C:$FB,75)</f>
        <v>4804</v>
      </c>
      <c r="F113" s="91">
        <f>VLOOKUP($A113,'Data Vlaue (Cr)'!$C:$FB,77)</f>
        <v>270</v>
      </c>
      <c r="G113" s="92">
        <f>VLOOKUP(A113,'Data Vlaue (Cr)'!C108:CB326,78,0)</f>
        <v>5.9700000000000003E-2</v>
      </c>
      <c r="H113" s="91">
        <f>VLOOKUP($A113,'Data Vlaue (Cr)'!$C:$FB,91)</f>
        <v>1802</v>
      </c>
      <c r="I113" s="91">
        <f>VLOOKUP($A113,'Data Vlaue (Cr)'!$C:$FB,93)</f>
        <v>-181</v>
      </c>
      <c r="J113" s="92">
        <f>VLOOKUP($A113,'Data Vlaue (Cr)'!$C:$FB,94)</f>
        <v>-9.1200000000000003E-2</v>
      </c>
      <c r="K113" s="91">
        <f>VLOOKUP($A113,'Data Vlaue (Cr)'!$C:$FB,95)</f>
        <v>1283</v>
      </c>
      <c r="L113" s="91">
        <f>VLOOKUP($A113,'Data Vlaue (Cr)'!$C:$FB,97)</f>
        <v>-41</v>
      </c>
      <c r="M113" s="92">
        <f>VLOOKUP($A113,'Data Vlaue (Cr)'!$C:$FB,98)</f>
        <v>-3.1E-2</v>
      </c>
      <c r="N113" s="91">
        <f>VLOOKUP($A113,'Data Vlaue (Cr)'!$C:$FB,79)</f>
        <v>2316</v>
      </c>
      <c r="O113" s="92">
        <f>VLOOKUP($A113,'Data Vlaue (Cr)'!$C:$FB,82)</f>
        <v>-0.20430000000000001</v>
      </c>
    </row>
    <row r="114" spans="1:15" x14ac:dyDescent="0.25">
      <c r="A114" s="97" t="str">
        <f>'Data Vlaue (Cr)'!C109</f>
        <v>JSWENERGY</v>
      </c>
      <c r="B114" s="142">
        <f>VLOOKUP(A114,'Data Vlaue (Cr)'!C109:CW327,99,0)</f>
        <v>2254</v>
      </c>
      <c r="C114" s="90">
        <f>VLOOKUP(A114,'Data Vlaue (Cr)'!C109:CY327,101,0)</f>
        <v>-43</v>
      </c>
      <c r="D114" s="139">
        <f>VLOOKUP(A114,'Data Vlaue (Cr)'!C109:CZ327,102,0)</f>
        <v>-1.8700000000000001E-2</v>
      </c>
      <c r="E114" s="91">
        <f>VLOOKUP($A114,'Data Vlaue (Cr)'!$C:$FB,75)</f>
        <v>1466</v>
      </c>
      <c r="F114" s="91">
        <f>VLOOKUP($A114,'Data Vlaue (Cr)'!$C:$FB,77)</f>
        <v>-50</v>
      </c>
      <c r="G114" s="92">
        <f>VLOOKUP(A114,'Data Vlaue (Cr)'!C109:CB327,78,0)</f>
        <v>-3.3000000000000002E-2</v>
      </c>
      <c r="H114" s="91">
        <f>VLOOKUP($A114,'Data Vlaue (Cr)'!$C:$FB,91)</f>
        <v>449</v>
      </c>
      <c r="I114" s="91">
        <f>VLOOKUP($A114,'Data Vlaue (Cr)'!$C:$FB,93)</f>
        <v>-9</v>
      </c>
      <c r="J114" s="92">
        <f>VLOOKUP($A114,'Data Vlaue (Cr)'!$C:$FB,94)</f>
        <v>-2.0500000000000001E-2</v>
      </c>
      <c r="K114" s="91">
        <f>VLOOKUP($A114,'Data Vlaue (Cr)'!$C:$FB,95)</f>
        <v>339</v>
      </c>
      <c r="L114" s="91">
        <f>VLOOKUP($A114,'Data Vlaue (Cr)'!$C:$FB,97)</f>
        <v>17</v>
      </c>
      <c r="M114" s="92">
        <f>VLOOKUP($A114,'Data Vlaue (Cr)'!$C:$FB,98)</f>
        <v>5.1299999999999998E-2</v>
      </c>
      <c r="N114" s="91">
        <f>VLOOKUP($A114,'Data Vlaue (Cr)'!$C:$FB,79)</f>
        <v>765</v>
      </c>
      <c r="O114" s="92">
        <f>VLOOKUP($A114,'Data Vlaue (Cr)'!$C:$FB,82)</f>
        <v>-0.31740000000000002</v>
      </c>
    </row>
    <row r="115" spans="1:15" x14ac:dyDescent="0.25">
      <c r="A115" s="97" t="str">
        <f>'Data Vlaue (Cr)'!C110</f>
        <v>JSWSTEEL</v>
      </c>
      <c r="B115" s="142">
        <f>VLOOKUP(A115,'Data Vlaue (Cr)'!C110:CW328,99,0)</f>
        <v>7860</v>
      </c>
      <c r="C115" s="90">
        <f>VLOOKUP(A115,'Data Vlaue (Cr)'!C110:CY328,101,0)</f>
        <v>-26</v>
      </c>
      <c r="D115" s="139">
        <f>VLOOKUP(A115,'Data Vlaue (Cr)'!C110:CZ328,102,0)</f>
        <v>-3.3E-3</v>
      </c>
      <c r="E115" s="91">
        <f>VLOOKUP($A115,'Data Vlaue (Cr)'!$C:$FB,75)</f>
        <v>6253</v>
      </c>
      <c r="F115" s="91">
        <f>VLOOKUP($A115,'Data Vlaue (Cr)'!$C:$FB,77)</f>
        <v>-1</v>
      </c>
      <c r="G115" s="92">
        <f>VLOOKUP(A115,'Data Vlaue (Cr)'!C110:CB328,78,0)</f>
        <v>-2.0000000000000001E-4</v>
      </c>
      <c r="H115" s="91">
        <f>VLOOKUP($A115,'Data Vlaue (Cr)'!$C:$FB,91)</f>
        <v>851</v>
      </c>
      <c r="I115" s="91">
        <f>VLOOKUP($A115,'Data Vlaue (Cr)'!$C:$FB,93)</f>
        <v>-9</v>
      </c>
      <c r="J115" s="92">
        <f>VLOOKUP($A115,'Data Vlaue (Cr)'!$C:$FB,94)</f>
        <v>-1.09E-2</v>
      </c>
      <c r="K115" s="91">
        <f>VLOOKUP($A115,'Data Vlaue (Cr)'!$C:$FB,95)</f>
        <v>756</v>
      </c>
      <c r="L115" s="91">
        <f>VLOOKUP($A115,'Data Vlaue (Cr)'!$C:$FB,97)</f>
        <v>-15</v>
      </c>
      <c r="M115" s="92">
        <f>VLOOKUP($A115,'Data Vlaue (Cr)'!$C:$FB,98)</f>
        <v>-1.9800000000000002E-2</v>
      </c>
      <c r="N115" s="91">
        <f>VLOOKUP($A115,'Data Vlaue (Cr)'!$C:$FB,79)</f>
        <v>2897</v>
      </c>
      <c r="O115" s="92">
        <f>VLOOKUP($A115,'Data Vlaue (Cr)'!$C:$FB,82)</f>
        <v>-0.33410000000000001</v>
      </c>
    </row>
    <row r="116" spans="1:15" x14ac:dyDescent="0.25">
      <c r="A116" s="97" t="str">
        <f>'Data Vlaue (Cr)'!C111</f>
        <v>JUBLFOOD</v>
      </c>
      <c r="B116" s="142">
        <f>VLOOKUP(A116,'Data Vlaue (Cr)'!C111:CW329,99,0)</f>
        <v>3678</v>
      </c>
      <c r="C116" s="90">
        <f>VLOOKUP(A116,'Data Vlaue (Cr)'!C111:CY329,101,0)</f>
        <v>-270</v>
      </c>
      <c r="D116" s="139">
        <f>VLOOKUP(A116,'Data Vlaue (Cr)'!C111:CZ329,102,0)</f>
        <v>-6.8400000000000002E-2</v>
      </c>
      <c r="E116" s="91">
        <f>VLOOKUP($A116,'Data Vlaue (Cr)'!$C:$FB,75)</f>
        <v>2462</v>
      </c>
      <c r="F116" s="91">
        <f>VLOOKUP($A116,'Data Vlaue (Cr)'!$C:$FB,77)</f>
        <v>-235</v>
      </c>
      <c r="G116" s="92">
        <f>VLOOKUP(A116,'Data Vlaue (Cr)'!C111:CB329,78,0)</f>
        <v>-8.72E-2</v>
      </c>
      <c r="H116" s="91">
        <f>VLOOKUP($A116,'Data Vlaue (Cr)'!$C:$FB,91)</f>
        <v>653</v>
      </c>
      <c r="I116" s="91">
        <f>VLOOKUP($A116,'Data Vlaue (Cr)'!$C:$FB,93)</f>
        <v>-16</v>
      </c>
      <c r="J116" s="92">
        <f>VLOOKUP($A116,'Data Vlaue (Cr)'!$C:$FB,94)</f>
        <v>-2.3800000000000002E-2</v>
      </c>
      <c r="K116" s="91">
        <f>VLOOKUP($A116,'Data Vlaue (Cr)'!$C:$FB,95)</f>
        <v>563</v>
      </c>
      <c r="L116" s="91">
        <f>VLOOKUP($A116,'Data Vlaue (Cr)'!$C:$FB,97)</f>
        <v>-19</v>
      </c>
      <c r="M116" s="92">
        <f>VLOOKUP($A116,'Data Vlaue (Cr)'!$C:$FB,98)</f>
        <v>-3.2300000000000002E-2</v>
      </c>
      <c r="N116" s="91">
        <f>VLOOKUP($A116,'Data Vlaue (Cr)'!$C:$FB,79)</f>
        <v>1250</v>
      </c>
      <c r="O116" s="92">
        <f>VLOOKUP($A116,'Data Vlaue (Cr)'!$C:$FB,82)</f>
        <v>-0.29709999999999998</v>
      </c>
    </row>
    <row r="117" spans="1:15" x14ac:dyDescent="0.25">
      <c r="A117" s="97" t="str">
        <f>'Data Vlaue (Cr)'!C112</f>
        <v>KALYANKJIL</v>
      </c>
      <c r="B117" s="142">
        <f>VLOOKUP(A117,'Data Vlaue (Cr)'!C112:CW330,99,0)</f>
        <v>1999</v>
      </c>
      <c r="C117" s="90">
        <f>VLOOKUP(A117,'Data Vlaue (Cr)'!C112:CY330,101,0)</f>
        <v>-85</v>
      </c>
      <c r="D117" s="139">
        <f>VLOOKUP(A117,'Data Vlaue (Cr)'!C112:CZ330,102,0)</f>
        <v>-4.0800000000000003E-2</v>
      </c>
      <c r="E117" s="91">
        <f>VLOOKUP($A117,'Data Vlaue (Cr)'!$C:$FB,75)</f>
        <v>1133</v>
      </c>
      <c r="F117" s="91">
        <f>VLOOKUP($A117,'Data Vlaue (Cr)'!$C:$FB,77)</f>
        <v>8</v>
      </c>
      <c r="G117" s="92">
        <f>VLOOKUP(A117,'Data Vlaue (Cr)'!C112:CB330,78,0)</f>
        <v>7.0000000000000001E-3</v>
      </c>
      <c r="H117" s="91">
        <f>VLOOKUP($A117,'Data Vlaue (Cr)'!$C:$FB,91)</f>
        <v>592</v>
      </c>
      <c r="I117" s="91">
        <f>VLOOKUP($A117,'Data Vlaue (Cr)'!$C:$FB,93)</f>
        <v>-82</v>
      </c>
      <c r="J117" s="92">
        <f>VLOOKUP($A117,'Data Vlaue (Cr)'!$C:$FB,94)</f>
        <v>-0.12139999999999999</v>
      </c>
      <c r="K117" s="91">
        <f>VLOOKUP($A117,'Data Vlaue (Cr)'!$C:$FB,95)</f>
        <v>274</v>
      </c>
      <c r="L117" s="91">
        <f>VLOOKUP($A117,'Data Vlaue (Cr)'!$C:$FB,97)</f>
        <v>-11</v>
      </c>
      <c r="M117" s="92">
        <f>VLOOKUP($A117,'Data Vlaue (Cr)'!$C:$FB,98)</f>
        <v>-3.8399999999999997E-2</v>
      </c>
      <c r="N117" s="91">
        <f>VLOOKUP($A117,'Data Vlaue (Cr)'!$C:$FB,79)</f>
        <v>787</v>
      </c>
      <c r="O117" s="92">
        <f>VLOOKUP($A117,'Data Vlaue (Cr)'!$C:$FB,82)</f>
        <v>-0.21360000000000001</v>
      </c>
    </row>
    <row r="118" spans="1:15" x14ac:dyDescent="0.25">
      <c r="A118" s="97" t="str">
        <f>'Data Vlaue (Cr)'!C113</f>
        <v>KAYNES</v>
      </c>
      <c r="B118" s="142">
        <f>VLOOKUP(A118,'Data Vlaue (Cr)'!C113:CW331,99,0)</f>
        <v>2773</v>
      </c>
      <c r="C118" s="90">
        <f>VLOOKUP(A118,'Data Vlaue (Cr)'!C113:CY331,101,0)</f>
        <v>-211</v>
      </c>
      <c r="D118" s="139">
        <f>VLOOKUP(A118,'Data Vlaue (Cr)'!C113:CZ331,102,0)</f>
        <v>-7.0699999999999999E-2</v>
      </c>
      <c r="E118" s="91">
        <f>VLOOKUP($A118,'Data Vlaue (Cr)'!$C:$FB,75)</f>
        <v>1398</v>
      </c>
      <c r="F118" s="91">
        <f>VLOOKUP($A118,'Data Vlaue (Cr)'!$C:$FB,77)</f>
        <v>-196</v>
      </c>
      <c r="G118" s="92">
        <f>VLOOKUP(A118,'Data Vlaue (Cr)'!C113:CB331,78,0)</f>
        <v>-0.1229</v>
      </c>
      <c r="H118" s="91">
        <f>VLOOKUP($A118,'Data Vlaue (Cr)'!$C:$FB,91)</f>
        <v>745</v>
      </c>
      <c r="I118" s="91">
        <f>VLOOKUP($A118,'Data Vlaue (Cr)'!$C:$FB,93)</f>
        <v>36</v>
      </c>
      <c r="J118" s="92">
        <f>VLOOKUP($A118,'Data Vlaue (Cr)'!$C:$FB,94)</f>
        <v>5.0299999999999997E-2</v>
      </c>
      <c r="K118" s="91">
        <f>VLOOKUP($A118,'Data Vlaue (Cr)'!$C:$FB,95)</f>
        <v>629</v>
      </c>
      <c r="L118" s="91">
        <f>VLOOKUP($A118,'Data Vlaue (Cr)'!$C:$FB,97)</f>
        <v>-51</v>
      </c>
      <c r="M118" s="92">
        <f>VLOOKUP($A118,'Data Vlaue (Cr)'!$C:$FB,98)</f>
        <v>-7.4499999999999997E-2</v>
      </c>
      <c r="N118" s="91">
        <f>VLOOKUP($A118,'Data Vlaue (Cr)'!$C:$FB,79)</f>
        <v>794</v>
      </c>
      <c r="O118" s="92">
        <f>VLOOKUP($A118,'Data Vlaue (Cr)'!$C:$FB,82)</f>
        <v>-0.3271</v>
      </c>
    </row>
    <row r="119" spans="1:15" x14ac:dyDescent="0.25">
      <c r="A119" s="97" t="str">
        <f>'Data Vlaue (Cr)'!C114</f>
        <v>KEI</v>
      </c>
      <c r="B119" s="142">
        <f>VLOOKUP(A119,'Data Vlaue (Cr)'!C114:CW332,99,0)</f>
        <v>1777</v>
      </c>
      <c r="C119" s="90">
        <f>VLOOKUP(A119,'Data Vlaue (Cr)'!C114:CY332,101,0)</f>
        <v>-153</v>
      </c>
      <c r="D119" s="139">
        <f>VLOOKUP(A119,'Data Vlaue (Cr)'!C114:CZ332,102,0)</f>
        <v>-7.9100000000000004E-2</v>
      </c>
      <c r="E119" s="91">
        <f>VLOOKUP($A119,'Data Vlaue (Cr)'!$C:$FB,75)</f>
        <v>1101</v>
      </c>
      <c r="F119" s="91">
        <f>VLOOKUP($A119,'Data Vlaue (Cr)'!$C:$FB,77)</f>
        <v>-163</v>
      </c>
      <c r="G119" s="92">
        <f>VLOOKUP(A119,'Data Vlaue (Cr)'!C114:CB332,78,0)</f>
        <v>-0.12909999999999999</v>
      </c>
      <c r="H119" s="91">
        <f>VLOOKUP($A119,'Data Vlaue (Cr)'!$C:$FB,91)</f>
        <v>395</v>
      </c>
      <c r="I119" s="91">
        <f>VLOOKUP($A119,'Data Vlaue (Cr)'!$C:$FB,93)</f>
        <v>16</v>
      </c>
      <c r="J119" s="92">
        <f>VLOOKUP($A119,'Data Vlaue (Cr)'!$C:$FB,94)</f>
        <v>4.1700000000000001E-2</v>
      </c>
      <c r="K119" s="91">
        <f>VLOOKUP($A119,'Data Vlaue (Cr)'!$C:$FB,95)</f>
        <v>280</v>
      </c>
      <c r="L119" s="91">
        <f>VLOOKUP($A119,'Data Vlaue (Cr)'!$C:$FB,97)</f>
        <v>-5</v>
      </c>
      <c r="M119" s="92">
        <f>VLOOKUP($A119,'Data Vlaue (Cr)'!$C:$FB,98)</f>
        <v>-1.7899999999999999E-2</v>
      </c>
      <c r="N119" s="91">
        <f>VLOOKUP($A119,'Data Vlaue (Cr)'!$C:$FB,79)</f>
        <v>520</v>
      </c>
      <c r="O119" s="92">
        <f>VLOOKUP($A119,'Data Vlaue (Cr)'!$C:$FB,82)</f>
        <v>-0.34050000000000002</v>
      </c>
    </row>
    <row r="120" spans="1:15" x14ac:dyDescent="0.25">
      <c r="A120" s="97" t="str">
        <f>'Data Vlaue (Cr)'!C115</f>
        <v>KFINTECH</v>
      </c>
      <c r="B120" s="142">
        <f>VLOOKUP(A120,'Data Vlaue (Cr)'!C115:CW333,99,0)</f>
        <v>757</v>
      </c>
      <c r="C120" s="90">
        <f>VLOOKUP(A120,'Data Vlaue (Cr)'!C115:CY333,101,0)</f>
        <v>-69</v>
      </c>
      <c r="D120" s="139">
        <f>VLOOKUP(A120,'Data Vlaue (Cr)'!C115:CZ333,102,0)</f>
        <v>-8.3699999999999997E-2</v>
      </c>
      <c r="E120" s="91">
        <f>VLOOKUP($A120,'Data Vlaue (Cr)'!$C:$FB,75)</f>
        <v>402</v>
      </c>
      <c r="F120" s="91">
        <f>VLOOKUP($A120,'Data Vlaue (Cr)'!$C:$FB,77)</f>
        <v>-32</v>
      </c>
      <c r="G120" s="92">
        <f>VLOOKUP(A120,'Data Vlaue (Cr)'!C115:CB333,78,0)</f>
        <v>-7.4300000000000005E-2</v>
      </c>
      <c r="H120" s="91">
        <f>VLOOKUP($A120,'Data Vlaue (Cr)'!$C:$FB,91)</f>
        <v>213</v>
      </c>
      <c r="I120" s="91">
        <f>VLOOKUP($A120,'Data Vlaue (Cr)'!$C:$FB,93)</f>
        <v>-30</v>
      </c>
      <c r="J120" s="92">
        <f>VLOOKUP($A120,'Data Vlaue (Cr)'!$C:$FB,94)</f>
        <v>-0.122</v>
      </c>
      <c r="K120" s="91">
        <f>VLOOKUP($A120,'Data Vlaue (Cr)'!$C:$FB,95)</f>
        <v>142</v>
      </c>
      <c r="L120" s="91">
        <f>VLOOKUP($A120,'Data Vlaue (Cr)'!$C:$FB,97)</f>
        <v>-7</v>
      </c>
      <c r="M120" s="92">
        <f>VLOOKUP($A120,'Data Vlaue (Cr)'!$C:$FB,98)</f>
        <v>-4.8500000000000001E-2</v>
      </c>
      <c r="N120" s="91">
        <f>VLOOKUP($A120,'Data Vlaue (Cr)'!$C:$FB,79)</f>
        <v>225</v>
      </c>
      <c r="O120" s="92">
        <f>VLOOKUP($A120,'Data Vlaue (Cr)'!$C:$FB,82)</f>
        <v>-0.2455</v>
      </c>
    </row>
    <row r="121" spans="1:15" x14ac:dyDescent="0.25">
      <c r="A121" s="97" t="str">
        <f>'Data Vlaue (Cr)'!C116</f>
        <v>KOTAKBANK</v>
      </c>
      <c r="B121" s="142">
        <f>VLOOKUP(A121,'Data Vlaue (Cr)'!C116:CW334,99,0)</f>
        <v>11195</v>
      </c>
      <c r="C121" s="90">
        <f>VLOOKUP(A121,'Data Vlaue (Cr)'!C116:CY334,101,0)</f>
        <v>458</v>
      </c>
      <c r="D121" s="139">
        <f>VLOOKUP(A121,'Data Vlaue (Cr)'!C116:CZ334,102,0)</f>
        <v>4.2700000000000002E-2</v>
      </c>
      <c r="E121" s="91">
        <f>VLOOKUP($A121,'Data Vlaue (Cr)'!$C:$FB,75)</f>
        <v>8710</v>
      </c>
      <c r="F121" s="91">
        <f>VLOOKUP($A121,'Data Vlaue (Cr)'!$C:$FB,77)</f>
        <v>377</v>
      </c>
      <c r="G121" s="92">
        <f>VLOOKUP(A121,'Data Vlaue (Cr)'!C116:CB334,78,0)</f>
        <v>4.5199999999999997E-2</v>
      </c>
      <c r="H121" s="91">
        <f>VLOOKUP($A121,'Data Vlaue (Cr)'!$C:$FB,91)</f>
        <v>1378</v>
      </c>
      <c r="I121" s="91">
        <f>VLOOKUP($A121,'Data Vlaue (Cr)'!$C:$FB,93)</f>
        <v>54</v>
      </c>
      <c r="J121" s="92">
        <f>VLOOKUP($A121,'Data Vlaue (Cr)'!$C:$FB,94)</f>
        <v>4.0399999999999998E-2</v>
      </c>
      <c r="K121" s="91">
        <f>VLOOKUP($A121,'Data Vlaue (Cr)'!$C:$FB,95)</f>
        <v>1107</v>
      </c>
      <c r="L121" s="91">
        <f>VLOOKUP($A121,'Data Vlaue (Cr)'!$C:$FB,97)</f>
        <v>28</v>
      </c>
      <c r="M121" s="92">
        <f>VLOOKUP($A121,'Data Vlaue (Cr)'!$C:$FB,98)</f>
        <v>2.58E-2</v>
      </c>
      <c r="N121" s="91">
        <f>VLOOKUP($A121,'Data Vlaue (Cr)'!$C:$FB,79)</f>
        <v>3461</v>
      </c>
      <c r="O121" s="92">
        <f>VLOOKUP($A121,'Data Vlaue (Cr)'!$C:$FB,82)</f>
        <v>-0.25719999999999998</v>
      </c>
    </row>
    <row r="122" spans="1:15" x14ac:dyDescent="0.25">
      <c r="A122" s="97" t="str">
        <f>'Data Vlaue (Cr)'!C117</f>
        <v>KPITTECH</v>
      </c>
      <c r="B122" s="142">
        <f>VLOOKUP(A122,'Data Vlaue (Cr)'!C117:CW335,99,0)</f>
        <v>928</v>
      </c>
      <c r="C122" s="90">
        <f>VLOOKUP(A122,'Data Vlaue (Cr)'!C117:CY335,101,0)</f>
        <v>-11</v>
      </c>
      <c r="D122" s="139">
        <f>VLOOKUP(A122,'Data Vlaue (Cr)'!C117:CZ335,102,0)</f>
        <v>-1.2200000000000001E-2</v>
      </c>
      <c r="E122" s="91">
        <f>VLOOKUP($A122,'Data Vlaue (Cr)'!$C:$FB,75)</f>
        <v>502</v>
      </c>
      <c r="F122" s="91">
        <f>VLOOKUP($A122,'Data Vlaue (Cr)'!$C:$FB,77)</f>
        <v>-11</v>
      </c>
      <c r="G122" s="92">
        <f>VLOOKUP(A122,'Data Vlaue (Cr)'!C117:CB335,78,0)</f>
        <v>-2.1700000000000001E-2</v>
      </c>
      <c r="H122" s="91">
        <f>VLOOKUP($A122,'Data Vlaue (Cr)'!$C:$FB,91)</f>
        <v>269</v>
      </c>
      <c r="I122" s="91">
        <f>VLOOKUP($A122,'Data Vlaue (Cr)'!$C:$FB,93)</f>
        <v>2</v>
      </c>
      <c r="J122" s="92">
        <f>VLOOKUP($A122,'Data Vlaue (Cr)'!$C:$FB,94)</f>
        <v>8.3999999999999995E-3</v>
      </c>
      <c r="K122" s="91">
        <f>VLOOKUP($A122,'Data Vlaue (Cr)'!$C:$FB,95)</f>
        <v>157</v>
      </c>
      <c r="L122" s="91">
        <f>VLOOKUP($A122,'Data Vlaue (Cr)'!$C:$FB,97)</f>
        <v>-3</v>
      </c>
      <c r="M122" s="92">
        <f>VLOOKUP($A122,'Data Vlaue (Cr)'!$C:$FB,98)</f>
        <v>-1.6E-2</v>
      </c>
      <c r="N122" s="91">
        <f>VLOOKUP($A122,'Data Vlaue (Cr)'!$C:$FB,79)</f>
        <v>331</v>
      </c>
      <c r="O122" s="92">
        <f>VLOOKUP($A122,'Data Vlaue (Cr)'!$C:$FB,82)</f>
        <v>-0.25690000000000002</v>
      </c>
    </row>
    <row r="123" spans="1:15" x14ac:dyDescent="0.25">
      <c r="A123" s="97" t="str">
        <f>'Data Vlaue (Cr)'!C118</f>
        <v>LAURUSLABS</v>
      </c>
      <c r="B123" s="142">
        <f>VLOOKUP(A123,'Data Vlaue (Cr)'!C118:CW336,99,0)</f>
        <v>3268</v>
      </c>
      <c r="C123" s="90">
        <f>VLOOKUP(A123,'Data Vlaue (Cr)'!C118:CY336,101,0)</f>
        <v>10</v>
      </c>
      <c r="D123" s="139">
        <f>VLOOKUP(A123,'Data Vlaue (Cr)'!C118:CZ336,102,0)</f>
        <v>3.0000000000000001E-3</v>
      </c>
      <c r="E123" s="91">
        <f>VLOOKUP($A123,'Data Vlaue (Cr)'!$C:$FB,75)</f>
        <v>2052</v>
      </c>
      <c r="F123" s="91">
        <f>VLOOKUP($A123,'Data Vlaue (Cr)'!$C:$FB,77)</f>
        <v>-12</v>
      </c>
      <c r="G123" s="92">
        <f>VLOOKUP(A123,'Data Vlaue (Cr)'!C118:CB336,78,0)</f>
        <v>-5.7000000000000002E-3</v>
      </c>
      <c r="H123" s="91">
        <f>VLOOKUP($A123,'Data Vlaue (Cr)'!$C:$FB,91)</f>
        <v>678</v>
      </c>
      <c r="I123" s="91">
        <f>VLOOKUP($A123,'Data Vlaue (Cr)'!$C:$FB,93)</f>
        <v>16</v>
      </c>
      <c r="J123" s="92">
        <f>VLOOKUP($A123,'Data Vlaue (Cr)'!$C:$FB,94)</f>
        <v>2.41E-2</v>
      </c>
      <c r="K123" s="91">
        <f>VLOOKUP($A123,'Data Vlaue (Cr)'!$C:$FB,95)</f>
        <v>538</v>
      </c>
      <c r="L123" s="91">
        <f>VLOOKUP($A123,'Data Vlaue (Cr)'!$C:$FB,97)</f>
        <v>6</v>
      </c>
      <c r="M123" s="92">
        <f>VLOOKUP($A123,'Data Vlaue (Cr)'!$C:$FB,98)</f>
        <v>1.0500000000000001E-2</v>
      </c>
      <c r="N123" s="91">
        <f>VLOOKUP($A123,'Data Vlaue (Cr)'!$C:$FB,79)</f>
        <v>1239</v>
      </c>
      <c r="O123" s="92">
        <f>VLOOKUP($A123,'Data Vlaue (Cr)'!$C:$FB,82)</f>
        <v>-0.26090000000000002</v>
      </c>
    </row>
    <row r="124" spans="1:15" x14ac:dyDescent="0.25">
      <c r="A124" s="97" t="str">
        <f>'Data Vlaue (Cr)'!C119</f>
        <v>LICHSGFIN</v>
      </c>
      <c r="B124" s="142">
        <f>VLOOKUP(A124,'Data Vlaue (Cr)'!C119:CW337,99,0)</f>
        <v>2519</v>
      </c>
      <c r="C124" s="90">
        <f>VLOOKUP(A124,'Data Vlaue (Cr)'!C119:CY337,101,0)</f>
        <v>-32</v>
      </c>
      <c r="D124" s="139">
        <f>VLOOKUP(A124,'Data Vlaue (Cr)'!C119:CZ337,102,0)</f>
        <v>-1.2699999999999999E-2</v>
      </c>
      <c r="E124" s="91">
        <f>VLOOKUP($A124,'Data Vlaue (Cr)'!$C:$FB,75)</f>
        <v>1681</v>
      </c>
      <c r="F124" s="91">
        <f>VLOOKUP($A124,'Data Vlaue (Cr)'!$C:$FB,77)</f>
        <v>-38</v>
      </c>
      <c r="G124" s="92">
        <f>VLOOKUP(A124,'Data Vlaue (Cr)'!C119:CB337,78,0)</f>
        <v>-2.1999999999999999E-2</v>
      </c>
      <c r="H124" s="91">
        <f>VLOOKUP($A124,'Data Vlaue (Cr)'!$C:$FB,91)</f>
        <v>458</v>
      </c>
      <c r="I124" s="91">
        <f>VLOOKUP($A124,'Data Vlaue (Cr)'!$C:$FB,93)</f>
        <v>16</v>
      </c>
      <c r="J124" s="92">
        <f>VLOOKUP($A124,'Data Vlaue (Cr)'!$C:$FB,94)</f>
        <v>3.6299999999999999E-2</v>
      </c>
      <c r="K124" s="91">
        <f>VLOOKUP($A124,'Data Vlaue (Cr)'!$C:$FB,95)</f>
        <v>379</v>
      </c>
      <c r="L124" s="91">
        <f>VLOOKUP($A124,'Data Vlaue (Cr)'!$C:$FB,97)</f>
        <v>-11</v>
      </c>
      <c r="M124" s="92">
        <f>VLOOKUP($A124,'Data Vlaue (Cr)'!$C:$FB,98)</f>
        <v>-2.7400000000000001E-2</v>
      </c>
      <c r="N124" s="91">
        <f>VLOOKUP($A124,'Data Vlaue (Cr)'!$C:$FB,79)</f>
        <v>1147</v>
      </c>
      <c r="O124" s="92">
        <f>VLOOKUP($A124,'Data Vlaue (Cr)'!$C:$FB,82)</f>
        <v>-0.17150000000000001</v>
      </c>
    </row>
    <row r="125" spans="1:15" x14ac:dyDescent="0.25">
      <c r="A125" s="97" t="str">
        <f>'Data Vlaue (Cr)'!C120</f>
        <v>LICI</v>
      </c>
      <c r="B125" s="142">
        <f>VLOOKUP(A125,'Data Vlaue (Cr)'!C120:CW338,99,0)</f>
        <v>1763</v>
      </c>
      <c r="C125" s="90">
        <f>VLOOKUP(A125,'Data Vlaue (Cr)'!C120:CY338,101,0)</f>
        <v>-150</v>
      </c>
      <c r="D125" s="139">
        <f>VLOOKUP(A125,'Data Vlaue (Cr)'!C120:CZ338,102,0)</f>
        <v>-7.8299999999999995E-2</v>
      </c>
      <c r="E125" s="91">
        <f>VLOOKUP($A125,'Data Vlaue (Cr)'!$C:$FB,75)</f>
        <v>823</v>
      </c>
      <c r="F125" s="91">
        <f>VLOOKUP($A125,'Data Vlaue (Cr)'!$C:$FB,77)</f>
        <v>-130</v>
      </c>
      <c r="G125" s="92">
        <f>VLOOKUP(A125,'Data Vlaue (Cr)'!C120:CB338,78,0)</f>
        <v>-0.1366</v>
      </c>
      <c r="H125" s="91">
        <f>VLOOKUP($A125,'Data Vlaue (Cr)'!$C:$FB,91)</f>
        <v>553</v>
      </c>
      <c r="I125" s="91">
        <f>VLOOKUP($A125,'Data Vlaue (Cr)'!$C:$FB,93)</f>
        <v>-31</v>
      </c>
      <c r="J125" s="92">
        <f>VLOOKUP($A125,'Data Vlaue (Cr)'!$C:$FB,94)</f>
        <v>-5.2900000000000003E-2</v>
      </c>
      <c r="K125" s="91">
        <f>VLOOKUP($A125,'Data Vlaue (Cr)'!$C:$FB,95)</f>
        <v>388</v>
      </c>
      <c r="L125" s="91">
        <f>VLOOKUP($A125,'Data Vlaue (Cr)'!$C:$FB,97)</f>
        <v>11</v>
      </c>
      <c r="M125" s="92">
        <f>VLOOKUP($A125,'Data Vlaue (Cr)'!$C:$FB,98)</f>
        <v>0.03</v>
      </c>
      <c r="N125" s="91">
        <f>VLOOKUP($A125,'Data Vlaue (Cr)'!$C:$FB,79)</f>
        <v>448</v>
      </c>
      <c r="O125" s="92">
        <f>VLOOKUP($A125,'Data Vlaue (Cr)'!$C:$FB,82)</f>
        <v>-0.3392</v>
      </c>
    </row>
    <row r="126" spans="1:15" x14ac:dyDescent="0.25">
      <c r="A126" s="97" t="str">
        <f>'Data Vlaue (Cr)'!C121</f>
        <v>LODHA</v>
      </c>
      <c r="B126" s="142">
        <f>VLOOKUP(A126,'Data Vlaue (Cr)'!C121:CW339,99,0)</f>
        <v>2527</v>
      </c>
      <c r="C126" s="90">
        <f>VLOOKUP(A126,'Data Vlaue (Cr)'!C121:CY339,101,0)</f>
        <v>26</v>
      </c>
      <c r="D126" s="139">
        <f>VLOOKUP(A126,'Data Vlaue (Cr)'!C121:CZ339,102,0)</f>
        <v>1.04E-2</v>
      </c>
      <c r="E126" s="91">
        <f>VLOOKUP($A126,'Data Vlaue (Cr)'!$C:$FB,75)</f>
        <v>1558</v>
      </c>
      <c r="F126" s="91">
        <f>VLOOKUP($A126,'Data Vlaue (Cr)'!$C:$FB,77)</f>
        <v>-1</v>
      </c>
      <c r="G126" s="92">
        <f>VLOOKUP(A126,'Data Vlaue (Cr)'!C121:CB339,78,0)</f>
        <v>-4.0000000000000002E-4</v>
      </c>
      <c r="H126" s="91">
        <f>VLOOKUP($A126,'Data Vlaue (Cr)'!$C:$FB,91)</f>
        <v>521</v>
      </c>
      <c r="I126" s="91">
        <f>VLOOKUP($A126,'Data Vlaue (Cr)'!$C:$FB,93)</f>
        <v>7</v>
      </c>
      <c r="J126" s="92">
        <f>VLOOKUP($A126,'Data Vlaue (Cr)'!$C:$FB,94)</f>
        <v>1.4200000000000001E-2</v>
      </c>
      <c r="K126" s="91">
        <f>VLOOKUP($A126,'Data Vlaue (Cr)'!$C:$FB,95)</f>
        <v>448</v>
      </c>
      <c r="L126" s="91">
        <f>VLOOKUP($A126,'Data Vlaue (Cr)'!$C:$FB,97)</f>
        <v>19</v>
      </c>
      <c r="M126" s="92">
        <f>VLOOKUP($A126,'Data Vlaue (Cr)'!$C:$FB,98)</f>
        <v>4.5199999999999997E-2</v>
      </c>
      <c r="N126" s="91">
        <f>VLOOKUP($A126,'Data Vlaue (Cr)'!$C:$FB,79)</f>
        <v>1050</v>
      </c>
      <c r="O126" s="92">
        <f>VLOOKUP($A126,'Data Vlaue (Cr)'!$C:$FB,82)</f>
        <v>-0.22109999999999999</v>
      </c>
    </row>
    <row r="127" spans="1:15" x14ac:dyDescent="0.25">
      <c r="A127" s="97" t="str">
        <f>'Data Vlaue (Cr)'!C122</f>
        <v>LT</v>
      </c>
      <c r="B127" s="142">
        <f>VLOOKUP(A127,'Data Vlaue (Cr)'!C122:CW340,99,0)</f>
        <v>13627</v>
      </c>
      <c r="C127" s="90">
        <f>VLOOKUP(A127,'Data Vlaue (Cr)'!C122:CY340,101,0)</f>
        <v>29</v>
      </c>
      <c r="D127" s="139">
        <f>VLOOKUP(A127,'Data Vlaue (Cr)'!C122:CZ340,102,0)</f>
        <v>2.2000000000000001E-3</v>
      </c>
      <c r="E127" s="91">
        <f>VLOOKUP($A127,'Data Vlaue (Cr)'!$C:$FB,75)</f>
        <v>6298</v>
      </c>
      <c r="F127" s="91">
        <f>VLOOKUP($A127,'Data Vlaue (Cr)'!$C:$FB,77)</f>
        <v>126</v>
      </c>
      <c r="G127" s="92">
        <f>VLOOKUP(A127,'Data Vlaue (Cr)'!C122:CB340,78,0)</f>
        <v>2.0400000000000001E-2</v>
      </c>
      <c r="H127" s="91">
        <f>VLOOKUP($A127,'Data Vlaue (Cr)'!$C:$FB,91)</f>
        <v>4058</v>
      </c>
      <c r="I127" s="91">
        <f>VLOOKUP($A127,'Data Vlaue (Cr)'!$C:$FB,93)</f>
        <v>-143</v>
      </c>
      <c r="J127" s="92">
        <f>VLOOKUP($A127,'Data Vlaue (Cr)'!$C:$FB,94)</f>
        <v>-3.4000000000000002E-2</v>
      </c>
      <c r="K127" s="91">
        <f>VLOOKUP($A127,'Data Vlaue (Cr)'!$C:$FB,95)</f>
        <v>3271</v>
      </c>
      <c r="L127" s="91">
        <f>VLOOKUP($A127,'Data Vlaue (Cr)'!$C:$FB,97)</f>
        <v>46</v>
      </c>
      <c r="M127" s="92">
        <f>VLOOKUP($A127,'Data Vlaue (Cr)'!$C:$FB,98)</f>
        <v>1.44E-2</v>
      </c>
      <c r="N127" s="91">
        <f>VLOOKUP($A127,'Data Vlaue (Cr)'!$C:$FB,79)</f>
        <v>3468</v>
      </c>
      <c r="O127" s="92">
        <f>VLOOKUP($A127,'Data Vlaue (Cr)'!$C:$FB,82)</f>
        <v>-0.18529999999999999</v>
      </c>
    </row>
    <row r="128" spans="1:15" x14ac:dyDescent="0.25">
      <c r="A128" s="97" t="str">
        <f>'Data Vlaue (Cr)'!C123</f>
        <v>LTF</v>
      </c>
      <c r="B128" s="142">
        <f>VLOOKUP(A128,'Data Vlaue (Cr)'!C123:CW341,99,0)</f>
        <v>2531</v>
      </c>
      <c r="C128" s="90">
        <f>VLOOKUP(A128,'Data Vlaue (Cr)'!C123:CY341,101,0)</f>
        <v>-24</v>
      </c>
      <c r="D128" s="139">
        <f>VLOOKUP(A128,'Data Vlaue (Cr)'!C123:CZ341,102,0)</f>
        <v>-9.4000000000000004E-3</v>
      </c>
      <c r="E128" s="91">
        <f>VLOOKUP($A128,'Data Vlaue (Cr)'!$C:$FB,75)</f>
        <v>1388</v>
      </c>
      <c r="F128" s="91">
        <f>VLOOKUP($A128,'Data Vlaue (Cr)'!$C:$FB,77)</f>
        <v>-59</v>
      </c>
      <c r="G128" s="92">
        <f>VLOOKUP(A128,'Data Vlaue (Cr)'!C123:CB341,78,0)</f>
        <v>-4.0800000000000003E-2</v>
      </c>
      <c r="H128" s="91">
        <f>VLOOKUP($A128,'Data Vlaue (Cr)'!$C:$FB,91)</f>
        <v>612</v>
      </c>
      <c r="I128" s="91">
        <f>VLOOKUP($A128,'Data Vlaue (Cr)'!$C:$FB,93)</f>
        <v>21</v>
      </c>
      <c r="J128" s="92">
        <f>VLOOKUP($A128,'Data Vlaue (Cr)'!$C:$FB,94)</f>
        <v>3.5000000000000003E-2</v>
      </c>
      <c r="K128" s="91">
        <f>VLOOKUP($A128,'Data Vlaue (Cr)'!$C:$FB,95)</f>
        <v>531</v>
      </c>
      <c r="L128" s="91">
        <f>VLOOKUP($A128,'Data Vlaue (Cr)'!$C:$FB,97)</f>
        <v>14</v>
      </c>
      <c r="M128" s="92">
        <f>VLOOKUP($A128,'Data Vlaue (Cr)'!$C:$FB,98)</f>
        <v>2.7799999999999998E-2</v>
      </c>
      <c r="N128" s="91">
        <f>VLOOKUP($A128,'Data Vlaue (Cr)'!$C:$FB,79)</f>
        <v>860</v>
      </c>
      <c r="O128" s="92">
        <f>VLOOKUP($A128,'Data Vlaue (Cr)'!$C:$FB,82)</f>
        <v>-0.2964</v>
      </c>
    </row>
    <row r="129" spans="1:15" x14ac:dyDescent="0.25">
      <c r="A129" s="97" t="str">
        <f>'Data Vlaue (Cr)'!C124</f>
        <v>LTM</v>
      </c>
      <c r="B129" s="142">
        <f>VLOOKUP(A129,'Data Vlaue (Cr)'!C124:CW342,99,0)</f>
        <v>3262</v>
      </c>
      <c r="C129" s="90">
        <f>VLOOKUP(A129,'Data Vlaue (Cr)'!C124:CY342,101,0)</f>
        <v>-10</v>
      </c>
      <c r="D129" s="139">
        <f>VLOOKUP(A129,'Data Vlaue (Cr)'!C124:CZ342,102,0)</f>
        <v>-3.0000000000000001E-3</v>
      </c>
      <c r="E129" s="91">
        <f>VLOOKUP($A129,'Data Vlaue (Cr)'!$C:$FB,75)</f>
        <v>2038</v>
      </c>
      <c r="F129" s="91">
        <f>VLOOKUP($A129,'Data Vlaue (Cr)'!$C:$FB,77)</f>
        <v>-200</v>
      </c>
      <c r="G129" s="92">
        <f>VLOOKUP(A129,'Data Vlaue (Cr)'!C124:CB342,78,0)</f>
        <v>-8.9399999999999993E-2</v>
      </c>
      <c r="H129" s="91">
        <f>VLOOKUP($A129,'Data Vlaue (Cr)'!$C:$FB,91)</f>
        <v>617</v>
      </c>
      <c r="I129" s="91">
        <f>VLOOKUP($A129,'Data Vlaue (Cr)'!$C:$FB,93)</f>
        <v>87</v>
      </c>
      <c r="J129" s="92">
        <f>VLOOKUP($A129,'Data Vlaue (Cr)'!$C:$FB,94)</f>
        <v>0.1641</v>
      </c>
      <c r="K129" s="91">
        <f>VLOOKUP($A129,'Data Vlaue (Cr)'!$C:$FB,95)</f>
        <v>607</v>
      </c>
      <c r="L129" s="91">
        <f>VLOOKUP($A129,'Data Vlaue (Cr)'!$C:$FB,97)</f>
        <v>103</v>
      </c>
      <c r="M129" s="92">
        <f>VLOOKUP($A129,'Data Vlaue (Cr)'!$C:$FB,98)</f>
        <v>0.20480000000000001</v>
      </c>
      <c r="N129" s="91">
        <f>VLOOKUP($A129,'Data Vlaue (Cr)'!$C:$FB,79)</f>
        <v>1071</v>
      </c>
      <c r="O129" s="92">
        <f>VLOOKUP($A129,'Data Vlaue (Cr)'!$C:$FB,82)</f>
        <v>-0.31369999999999998</v>
      </c>
    </row>
    <row r="130" spans="1:15" x14ac:dyDescent="0.25">
      <c r="A130" s="97" t="str">
        <f>'Data Vlaue (Cr)'!C125</f>
        <v>LUPIN</v>
      </c>
      <c r="B130" s="142">
        <f>VLOOKUP(A130,'Data Vlaue (Cr)'!C125:CW343,99,0)</f>
        <v>2821</v>
      </c>
      <c r="C130" s="90">
        <f>VLOOKUP(A130,'Data Vlaue (Cr)'!C125:CY343,101,0)</f>
        <v>251</v>
      </c>
      <c r="D130" s="139">
        <f>VLOOKUP(A130,'Data Vlaue (Cr)'!C125:CZ343,102,0)</f>
        <v>9.7799999999999998E-2</v>
      </c>
      <c r="E130" s="91">
        <f>VLOOKUP($A130,'Data Vlaue (Cr)'!$C:$FB,75)</f>
        <v>1720</v>
      </c>
      <c r="F130" s="91">
        <f>VLOOKUP($A130,'Data Vlaue (Cr)'!$C:$FB,77)</f>
        <v>110</v>
      </c>
      <c r="G130" s="92">
        <f>VLOOKUP(A130,'Data Vlaue (Cr)'!C125:CB343,78,0)</f>
        <v>6.8500000000000005E-2</v>
      </c>
      <c r="H130" s="91">
        <f>VLOOKUP($A130,'Data Vlaue (Cr)'!$C:$FB,91)</f>
        <v>650</v>
      </c>
      <c r="I130" s="91">
        <f>VLOOKUP($A130,'Data Vlaue (Cr)'!$C:$FB,93)</f>
        <v>101</v>
      </c>
      <c r="J130" s="92">
        <f>VLOOKUP($A130,'Data Vlaue (Cr)'!$C:$FB,94)</f>
        <v>0.18340000000000001</v>
      </c>
      <c r="K130" s="91">
        <f>VLOOKUP($A130,'Data Vlaue (Cr)'!$C:$FB,95)</f>
        <v>451</v>
      </c>
      <c r="L130" s="91">
        <f>VLOOKUP($A130,'Data Vlaue (Cr)'!$C:$FB,97)</f>
        <v>40</v>
      </c>
      <c r="M130" s="92">
        <f>VLOOKUP($A130,'Data Vlaue (Cr)'!$C:$FB,98)</f>
        <v>9.8199999999999996E-2</v>
      </c>
      <c r="N130" s="91">
        <f>VLOOKUP($A130,'Data Vlaue (Cr)'!$C:$FB,79)</f>
        <v>1205</v>
      </c>
      <c r="O130" s="92">
        <f>VLOOKUP($A130,'Data Vlaue (Cr)'!$C:$FB,82)</f>
        <v>-0.18840000000000001</v>
      </c>
    </row>
    <row r="131" spans="1:15" x14ac:dyDescent="0.25">
      <c r="A131" s="97" t="str">
        <f>'Data Vlaue (Cr)'!C126</f>
        <v>M&amp;M</v>
      </c>
      <c r="B131" s="142">
        <f>VLOOKUP(A131,'Data Vlaue (Cr)'!C126:CW344,99,0)</f>
        <v>9131</v>
      </c>
      <c r="C131" s="90">
        <f>VLOOKUP(A131,'Data Vlaue (Cr)'!C126:CY344,101,0)</f>
        <v>260</v>
      </c>
      <c r="D131" s="139">
        <f>VLOOKUP(A131,'Data Vlaue (Cr)'!C126:CZ344,102,0)</f>
        <v>2.93E-2</v>
      </c>
      <c r="E131" s="91">
        <f>VLOOKUP($A131,'Data Vlaue (Cr)'!$C:$FB,75)</f>
        <v>6234</v>
      </c>
      <c r="F131" s="91">
        <f>VLOOKUP($A131,'Data Vlaue (Cr)'!$C:$FB,77)</f>
        <v>131</v>
      </c>
      <c r="G131" s="92">
        <f>VLOOKUP(A131,'Data Vlaue (Cr)'!C126:CB344,78,0)</f>
        <v>2.1499999999999998E-2</v>
      </c>
      <c r="H131" s="91">
        <f>VLOOKUP($A131,'Data Vlaue (Cr)'!$C:$FB,91)</f>
        <v>1763</v>
      </c>
      <c r="I131" s="91">
        <f>VLOOKUP($A131,'Data Vlaue (Cr)'!$C:$FB,93)</f>
        <v>109</v>
      </c>
      <c r="J131" s="92">
        <f>VLOOKUP($A131,'Data Vlaue (Cr)'!$C:$FB,94)</f>
        <v>6.59E-2</v>
      </c>
      <c r="K131" s="91">
        <f>VLOOKUP($A131,'Data Vlaue (Cr)'!$C:$FB,95)</f>
        <v>1134</v>
      </c>
      <c r="L131" s="91">
        <f>VLOOKUP($A131,'Data Vlaue (Cr)'!$C:$FB,97)</f>
        <v>20</v>
      </c>
      <c r="M131" s="92">
        <f>VLOOKUP($A131,'Data Vlaue (Cr)'!$C:$FB,98)</f>
        <v>1.77E-2</v>
      </c>
      <c r="N131" s="91">
        <f>VLOOKUP($A131,'Data Vlaue (Cr)'!$C:$FB,79)</f>
        <v>2985</v>
      </c>
      <c r="O131" s="92">
        <f>VLOOKUP($A131,'Data Vlaue (Cr)'!$C:$FB,82)</f>
        <v>-0.30299999999999999</v>
      </c>
    </row>
    <row r="132" spans="1:15" x14ac:dyDescent="0.25">
      <c r="A132" s="97" t="str">
        <f>'Data Vlaue (Cr)'!C127</f>
        <v>MANAPPURAM</v>
      </c>
      <c r="B132" s="142">
        <f>VLOOKUP(A132,'Data Vlaue (Cr)'!C127:CW345,99,0)</f>
        <v>2643</v>
      </c>
      <c r="C132" s="90">
        <f>VLOOKUP(A132,'Data Vlaue (Cr)'!C127:CY345,101,0)</f>
        <v>-66</v>
      </c>
      <c r="D132" s="139">
        <f>VLOOKUP(A132,'Data Vlaue (Cr)'!C127:CZ345,102,0)</f>
        <v>-2.4400000000000002E-2</v>
      </c>
      <c r="E132" s="91">
        <f>VLOOKUP($A132,'Data Vlaue (Cr)'!$C:$FB,75)</f>
        <v>1673</v>
      </c>
      <c r="F132" s="91">
        <f>VLOOKUP($A132,'Data Vlaue (Cr)'!$C:$FB,77)</f>
        <v>-36</v>
      </c>
      <c r="G132" s="92">
        <f>VLOOKUP(A132,'Data Vlaue (Cr)'!C127:CB345,78,0)</f>
        <v>-2.1100000000000001E-2</v>
      </c>
      <c r="H132" s="91">
        <f>VLOOKUP($A132,'Data Vlaue (Cr)'!$C:$FB,91)</f>
        <v>518</v>
      </c>
      <c r="I132" s="91">
        <f>VLOOKUP($A132,'Data Vlaue (Cr)'!$C:$FB,93)</f>
        <v>-11</v>
      </c>
      <c r="J132" s="92">
        <f>VLOOKUP($A132,'Data Vlaue (Cr)'!$C:$FB,94)</f>
        <v>-2.1100000000000001E-2</v>
      </c>
      <c r="K132" s="91">
        <f>VLOOKUP($A132,'Data Vlaue (Cr)'!$C:$FB,95)</f>
        <v>451</v>
      </c>
      <c r="L132" s="91">
        <f>VLOOKUP($A132,'Data Vlaue (Cr)'!$C:$FB,97)</f>
        <v>-19</v>
      </c>
      <c r="M132" s="92">
        <f>VLOOKUP($A132,'Data Vlaue (Cr)'!$C:$FB,98)</f>
        <v>-3.9899999999999998E-2</v>
      </c>
      <c r="N132" s="91">
        <f>VLOOKUP($A132,'Data Vlaue (Cr)'!$C:$FB,79)</f>
        <v>948</v>
      </c>
      <c r="O132" s="92">
        <f>VLOOKUP($A132,'Data Vlaue (Cr)'!$C:$FB,82)</f>
        <v>-0.20610000000000001</v>
      </c>
    </row>
    <row r="133" spans="1:15" x14ac:dyDescent="0.25">
      <c r="A133" s="97" t="str">
        <f>'Data Vlaue (Cr)'!C128</f>
        <v>MANKIND</v>
      </c>
      <c r="B133" s="142">
        <f>VLOOKUP(A133,'Data Vlaue (Cr)'!C128:CW346,99,0)</f>
        <v>1143</v>
      </c>
      <c r="C133" s="90">
        <f>VLOOKUP(A133,'Data Vlaue (Cr)'!C128:CY346,101,0)</f>
        <v>91</v>
      </c>
      <c r="D133" s="139">
        <f>VLOOKUP(A133,'Data Vlaue (Cr)'!C128:CZ346,102,0)</f>
        <v>8.6900000000000005E-2</v>
      </c>
      <c r="E133" s="91">
        <f>VLOOKUP($A133,'Data Vlaue (Cr)'!$C:$FB,75)</f>
        <v>752</v>
      </c>
      <c r="F133" s="91">
        <f>VLOOKUP($A133,'Data Vlaue (Cr)'!$C:$FB,77)</f>
        <v>5</v>
      </c>
      <c r="G133" s="92">
        <f>VLOOKUP(A133,'Data Vlaue (Cr)'!C128:CB346,78,0)</f>
        <v>6.7000000000000002E-3</v>
      </c>
      <c r="H133" s="91">
        <f>VLOOKUP($A133,'Data Vlaue (Cr)'!$C:$FB,91)</f>
        <v>197</v>
      </c>
      <c r="I133" s="91">
        <f>VLOOKUP($A133,'Data Vlaue (Cr)'!$C:$FB,93)</f>
        <v>26</v>
      </c>
      <c r="J133" s="92">
        <f>VLOOKUP($A133,'Data Vlaue (Cr)'!$C:$FB,94)</f>
        <v>0.1555</v>
      </c>
      <c r="K133" s="91">
        <f>VLOOKUP($A133,'Data Vlaue (Cr)'!$C:$FB,95)</f>
        <v>195</v>
      </c>
      <c r="L133" s="91">
        <f>VLOOKUP($A133,'Data Vlaue (Cr)'!$C:$FB,97)</f>
        <v>60</v>
      </c>
      <c r="M133" s="92">
        <f>VLOOKUP($A133,'Data Vlaue (Cr)'!$C:$FB,98)</f>
        <v>0.44490000000000002</v>
      </c>
      <c r="N133" s="91">
        <f>VLOOKUP($A133,'Data Vlaue (Cr)'!$C:$FB,79)</f>
        <v>365</v>
      </c>
      <c r="O133" s="92">
        <f>VLOOKUP($A133,'Data Vlaue (Cr)'!$C:$FB,82)</f>
        <v>-0.43769999999999998</v>
      </c>
    </row>
    <row r="134" spans="1:15" x14ac:dyDescent="0.25">
      <c r="A134" s="97" t="str">
        <f>'Data Vlaue (Cr)'!C129</f>
        <v>MARICO</v>
      </c>
      <c r="B134" s="142">
        <f>VLOOKUP(A134,'Data Vlaue (Cr)'!C129:CW347,99,0)</f>
        <v>2514</v>
      </c>
      <c r="C134" s="90">
        <f>VLOOKUP(A134,'Data Vlaue (Cr)'!C129:CY347,101,0)</f>
        <v>-48</v>
      </c>
      <c r="D134" s="139">
        <f>VLOOKUP(A134,'Data Vlaue (Cr)'!C129:CZ347,102,0)</f>
        <v>-1.8700000000000001E-2</v>
      </c>
      <c r="E134" s="91">
        <f>VLOOKUP($A134,'Data Vlaue (Cr)'!$C:$FB,75)</f>
        <v>1815</v>
      </c>
      <c r="F134" s="91">
        <f>VLOOKUP($A134,'Data Vlaue (Cr)'!$C:$FB,77)</f>
        <v>-77</v>
      </c>
      <c r="G134" s="92">
        <f>VLOOKUP(A134,'Data Vlaue (Cr)'!C129:CB347,78,0)</f>
        <v>-4.07E-2</v>
      </c>
      <c r="H134" s="91">
        <f>VLOOKUP($A134,'Data Vlaue (Cr)'!$C:$FB,91)</f>
        <v>347</v>
      </c>
      <c r="I134" s="91">
        <f>VLOOKUP($A134,'Data Vlaue (Cr)'!$C:$FB,93)</f>
        <v>22</v>
      </c>
      <c r="J134" s="92">
        <f>VLOOKUP($A134,'Data Vlaue (Cr)'!$C:$FB,94)</f>
        <v>6.6600000000000006E-2</v>
      </c>
      <c r="K134" s="91">
        <f>VLOOKUP($A134,'Data Vlaue (Cr)'!$C:$FB,95)</f>
        <v>352</v>
      </c>
      <c r="L134" s="91">
        <f>VLOOKUP($A134,'Data Vlaue (Cr)'!$C:$FB,97)</f>
        <v>7</v>
      </c>
      <c r="M134" s="92">
        <f>VLOOKUP($A134,'Data Vlaue (Cr)'!$C:$FB,98)</f>
        <v>2.1399999999999999E-2</v>
      </c>
      <c r="N134" s="91">
        <f>VLOOKUP($A134,'Data Vlaue (Cr)'!$C:$FB,79)</f>
        <v>1111</v>
      </c>
      <c r="O134" s="92">
        <f>VLOOKUP($A134,'Data Vlaue (Cr)'!$C:$FB,82)</f>
        <v>-0.35709999999999997</v>
      </c>
    </row>
    <row r="135" spans="1:15" x14ac:dyDescent="0.25">
      <c r="A135" s="97" t="str">
        <f>'Data Vlaue (Cr)'!C130</f>
        <v>MARUTI</v>
      </c>
      <c r="B135" s="142">
        <f>VLOOKUP(A135,'Data Vlaue (Cr)'!C130:CW348,99,0)</f>
        <v>9334</v>
      </c>
      <c r="C135" s="90">
        <f>VLOOKUP(A135,'Data Vlaue (Cr)'!C130:CY348,101,0)</f>
        <v>59</v>
      </c>
      <c r="D135" s="139">
        <f>VLOOKUP(A135,'Data Vlaue (Cr)'!C130:CZ348,102,0)</f>
        <v>6.4000000000000003E-3</v>
      </c>
      <c r="E135" s="91">
        <f>VLOOKUP($A135,'Data Vlaue (Cr)'!$C:$FB,75)</f>
        <v>4874</v>
      </c>
      <c r="F135" s="91">
        <f>VLOOKUP($A135,'Data Vlaue (Cr)'!$C:$FB,77)</f>
        <v>-66</v>
      </c>
      <c r="G135" s="92">
        <f>VLOOKUP(A135,'Data Vlaue (Cr)'!C130:CB348,78,0)</f>
        <v>-1.34E-2</v>
      </c>
      <c r="H135" s="91">
        <f>VLOOKUP($A135,'Data Vlaue (Cr)'!$C:$FB,91)</f>
        <v>2968</v>
      </c>
      <c r="I135" s="91">
        <f>VLOOKUP($A135,'Data Vlaue (Cr)'!$C:$FB,93)</f>
        <v>146</v>
      </c>
      <c r="J135" s="92">
        <f>VLOOKUP($A135,'Data Vlaue (Cr)'!$C:$FB,94)</f>
        <v>5.16E-2</v>
      </c>
      <c r="K135" s="91">
        <f>VLOOKUP($A135,'Data Vlaue (Cr)'!$C:$FB,95)</f>
        <v>1492</v>
      </c>
      <c r="L135" s="91">
        <f>VLOOKUP($A135,'Data Vlaue (Cr)'!$C:$FB,97)</f>
        <v>-20</v>
      </c>
      <c r="M135" s="92">
        <f>VLOOKUP($A135,'Data Vlaue (Cr)'!$C:$FB,98)</f>
        <v>-1.32E-2</v>
      </c>
      <c r="N135" s="91">
        <f>VLOOKUP($A135,'Data Vlaue (Cr)'!$C:$FB,79)</f>
        <v>2440</v>
      </c>
      <c r="O135" s="92">
        <f>VLOOKUP($A135,'Data Vlaue (Cr)'!$C:$FB,82)</f>
        <v>-0.31390000000000001</v>
      </c>
    </row>
    <row r="136" spans="1:15" x14ac:dyDescent="0.25">
      <c r="A136" s="97" t="str">
        <f>'Data Vlaue (Cr)'!C131</f>
        <v>MAXHEALTH</v>
      </c>
      <c r="B136" s="142">
        <f>VLOOKUP(A136,'Data Vlaue (Cr)'!C131:CW349,99,0)</f>
        <v>2059</v>
      </c>
      <c r="C136" s="90">
        <f>VLOOKUP(A136,'Data Vlaue (Cr)'!C131:CY349,101,0)</f>
        <v>-7</v>
      </c>
      <c r="D136" s="139">
        <f>VLOOKUP(A136,'Data Vlaue (Cr)'!C131:CZ349,102,0)</f>
        <v>-3.5999999999999999E-3</v>
      </c>
      <c r="E136" s="91">
        <f>VLOOKUP($A136,'Data Vlaue (Cr)'!$C:$FB,75)</f>
        <v>1395</v>
      </c>
      <c r="F136" s="91">
        <f>VLOOKUP($A136,'Data Vlaue (Cr)'!$C:$FB,77)</f>
        <v>-9</v>
      </c>
      <c r="G136" s="92">
        <f>VLOOKUP(A136,'Data Vlaue (Cr)'!C131:CB349,78,0)</f>
        <v>-6.1000000000000004E-3</v>
      </c>
      <c r="H136" s="91">
        <f>VLOOKUP($A136,'Data Vlaue (Cr)'!$C:$FB,91)</f>
        <v>409</v>
      </c>
      <c r="I136" s="91">
        <f>VLOOKUP($A136,'Data Vlaue (Cr)'!$C:$FB,93)</f>
        <v>1</v>
      </c>
      <c r="J136" s="92">
        <f>VLOOKUP($A136,'Data Vlaue (Cr)'!$C:$FB,94)</f>
        <v>2.0999999999999999E-3</v>
      </c>
      <c r="K136" s="91">
        <f>VLOOKUP($A136,'Data Vlaue (Cr)'!$C:$FB,95)</f>
        <v>255</v>
      </c>
      <c r="L136" s="91">
        <f>VLOOKUP($A136,'Data Vlaue (Cr)'!$C:$FB,97)</f>
        <v>0</v>
      </c>
      <c r="M136" s="92">
        <f>VLOOKUP($A136,'Data Vlaue (Cr)'!$C:$FB,98)</f>
        <v>1.5E-3</v>
      </c>
      <c r="N136" s="91">
        <f>VLOOKUP($A136,'Data Vlaue (Cr)'!$C:$FB,79)</f>
        <v>782</v>
      </c>
      <c r="O136" s="92">
        <f>VLOOKUP($A136,'Data Vlaue (Cr)'!$C:$FB,82)</f>
        <v>-0.35199999999999998</v>
      </c>
    </row>
    <row r="137" spans="1:15" x14ac:dyDescent="0.25">
      <c r="A137" s="97" t="str">
        <f>'Data Vlaue (Cr)'!C132</f>
        <v>MAZDOCK</v>
      </c>
      <c r="B137" s="142">
        <f>VLOOKUP(A137,'Data Vlaue (Cr)'!C132:CW350,99,0)</f>
        <v>3224</v>
      </c>
      <c r="C137" s="90">
        <f>VLOOKUP(A137,'Data Vlaue (Cr)'!C132:CY350,101,0)</f>
        <v>-28</v>
      </c>
      <c r="D137" s="139">
        <f>VLOOKUP(A137,'Data Vlaue (Cr)'!C132:CZ350,102,0)</f>
        <v>-8.5000000000000006E-3</v>
      </c>
      <c r="E137" s="91">
        <f>VLOOKUP($A137,'Data Vlaue (Cr)'!$C:$FB,75)</f>
        <v>1322</v>
      </c>
      <c r="F137" s="91">
        <f>VLOOKUP($A137,'Data Vlaue (Cr)'!$C:$FB,77)</f>
        <v>-36</v>
      </c>
      <c r="G137" s="92">
        <f>VLOOKUP(A137,'Data Vlaue (Cr)'!C132:CB350,78,0)</f>
        <v>-2.6200000000000001E-2</v>
      </c>
      <c r="H137" s="91">
        <f>VLOOKUP($A137,'Data Vlaue (Cr)'!$C:$FB,91)</f>
        <v>1030</v>
      </c>
      <c r="I137" s="91">
        <f>VLOOKUP($A137,'Data Vlaue (Cr)'!$C:$FB,93)</f>
        <v>-14</v>
      </c>
      <c r="J137" s="92">
        <f>VLOOKUP($A137,'Data Vlaue (Cr)'!$C:$FB,94)</f>
        <v>-1.3100000000000001E-2</v>
      </c>
      <c r="K137" s="91">
        <f>VLOOKUP($A137,'Data Vlaue (Cr)'!$C:$FB,95)</f>
        <v>873</v>
      </c>
      <c r="L137" s="91">
        <f>VLOOKUP($A137,'Data Vlaue (Cr)'!$C:$FB,97)</f>
        <v>21</v>
      </c>
      <c r="M137" s="92">
        <f>VLOOKUP($A137,'Data Vlaue (Cr)'!$C:$FB,98)</f>
        <v>2.52E-2</v>
      </c>
      <c r="N137" s="91">
        <f>VLOOKUP($A137,'Data Vlaue (Cr)'!$C:$FB,79)</f>
        <v>917</v>
      </c>
      <c r="O137" s="92">
        <f>VLOOKUP($A137,'Data Vlaue (Cr)'!$C:$FB,82)</f>
        <v>-0.20449999999999999</v>
      </c>
    </row>
    <row r="138" spans="1:15" x14ac:dyDescent="0.25">
      <c r="A138" s="97" t="str">
        <f>'Data Vlaue (Cr)'!C133</f>
        <v>MCX</v>
      </c>
      <c r="B138" s="142">
        <f>VLOOKUP(A138,'Data Vlaue (Cr)'!C133:CW351,99,0)</f>
        <v>8673</v>
      </c>
      <c r="C138" s="90">
        <f>VLOOKUP(A138,'Data Vlaue (Cr)'!C133:CY351,101,0)</f>
        <v>-129</v>
      </c>
      <c r="D138" s="139">
        <f>VLOOKUP(A138,'Data Vlaue (Cr)'!C133:CZ351,102,0)</f>
        <v>-1.47E-2</v>
      </c>
      <c r="E138" s="91">
        <f>VLOOKUP($A138,'Data Vlaue (Cr)'!$C:$FB,75)</f>
        <v>3826</v>
      </c>
      <c r="F138" s="91">
        <f>VLOOKUP($A138,'Data Vlaue (Cr)'!$C:$FB,77)</f>
        <v>20</v>
      </c>
      <c r="G138" s="92">
        <f>VLOOKUP(A138,'Data Vlaue (Cr)'!C133:CB351,78,0)</f>
        <v>5.1999999999999998E-3</v>
      </c>
      <c r="H138" s="91">
        <f>VLOOKUP($A138,'Data Vlaue (Cr)'!$C:$FB,91)</f>
        <v>2765</v>
      </c>
      <c r="I138" s="91">
        <f>VLOOKUP($A138,'Data Vlaue (Cr)'!$C:$FB,93)</f>
        <v>-33</v>
      </c>
      <c r="J138" s="92">
        <f>VLOOKUP($A138,'Data Vlaue (Cr)'!$C:$FB,94)</f>
        <v>-1.17E-2</v>
      </c>
      <c r="K138" s="91">
        <f>VLOOKUP($A138,'Data Vlaue (Cr)'!$C:$FB,95)</f>
        <v>2082</v>
      </c>
      <c r="L138" s="91">
        <f>VLOOKUP($A138,'Data Vlaue (Cr)'!$C:$FB,97)</f>
        <v>-116</v>
      </c>
      <c r="M138" s="92">
        <f>VLOOKUP($A138,'Data Vlaue (Cr)'!$C:$FB,98)</f>
        <v>-5.28E-2</v>
      </c>
      <c r="N138" s="91">
        <f>VLOOKUP($A138,'Data Vlaue (Cr)'!$C:$FB,79)</f>
        <v>2416</v>
      </c>
      <c r="O138" s="92">
        <f>VLOOKUP($A138,'Data Vlaue (Cr)'!$C:$FB,82)</f>
        <v>-0.28299999999999997</v>
      </c>
    </row>
    <row r="139" spans="1:15" x14ac:dyDescent="0.25">
      <c r="A139" s="97" t="str">
        <f>'Data Vlaue (Cr)'!C134</f>
        <v>MFSL</v>
      </c>
      <c r="B139" s="142">
        <f>VLOOKUP(A139,'Data Vlaue (Cr)'!C134:CW352,99,0)</f>
        <v>1715</v>
      </c>
      <c r="C139" s="90">
        <f>VLOOKUP(A139,'Data Vlaue (Cr)'!C134:CY352,101,0)</f>
        <v>-19</v>
      </c>
      <c r="D139" s="139">
        <f>VLOOKUP(A139,'Data Vlaue (Cr)'!C134:CZ352,102,0)</f>
        <v>-1.0699999999999999E-2</v>
      </c>
      <c r="E139" s="91">
        <f>VLOOKUP($A139,'Data Vlaue (Cr)'!$C:$FB,75)</f>
        <v>1455</v>
      </c>
      <c r="F139" s="91">
        <f>VLOOKUP($A139,'Data Vlaue (Cr)'!$C:$FB,77)</f>
        <v>-15</v>
      </c>
      <c r="G139" s="92">
        <f>VLOOKUP(A139,'Data Vlaue (Cr)'!C134:CB352,78,0)</f>
        <v>-0.01</v>
      </c>
      <c r="H139" s="91">
        <f>VLOOKUP($A139,'Data Vlaue (Cr)'!$C:$FB,91)</f>
        <v>151</v>
      </c>
      <c r="I139" s="91">
        <f>VLOOKUP($A139,'Data Vlaue (Cr)'!$C:$FB,93)</f>
        <v>-9</v>
      </c>
      <c r="J139" s="92">
        <f>VLOOKUP($A139,'Data Vlaue (Cr)'!$C:$FB,94)</f>
        <v>-5.4800000000000001E-2</v>
      </c>
      <c r="K139" s="91">
        <f>VLOOKUP($A139,'Data Vlaue (Cr)'!$C:$FB,95)</f>
        <v>110</v>
      </c>
      <c r="L139" s="91">
        <f>VLOOKUP($A139,'Data Vlaue (Cr)'!$C:$FB,97)</f>
        <v>5</v>
      </c>
      <c r="M139" s="92">
        <f>VLOOKUP($A139,'Data Vlaue (Cr)'!$C:$FB,98)</f>
        <v>4.6199999999999998E-2</v>
      </c>
      <c r="N139" s="91">
        <f>VLOOKUP($A139,'Data Vlaue (Cr)'!$C:$FB,79)</f>
        <v>1059</v>
      </c>
      <c r="O139" s="92">
        <f>VLOOKUP($A139,'Data Vlaue (Cr)'!$C:$FB,82)</f>
        <v>-0.2412</v>
      </c>
    </row>
    <row r="140" spans="1:15" x14ac:dyDescent="0.25">
      <c r="A140" s="97" t="str">
        <f>'Data Vlaue (Cr)'!C135</f>
        <v>MIDCPNIFTY</v>
      </c>
      <c r="B140" s="142">
        <f>VLOOKUP(A140,'Data Vlaue (Cr)'!C135:CW353,99,0)</f>
        <v>27292</v>
      </c>
      <c r="C140" s="90">
        <f>VLOOKUP(A140,'Data Vlaue (Cr)'!C135:CY353,101,0)</f>
        <v>951</v>
      </c>
      <c r="D140" s="139">
        <f>VLOOKUP(A140,'Data Vlaue (Cr)'!C135:CZ353,102,0)</f>
        <v>3.61E-2</v>
      </c>
      <c r="E140" s="91">
        <f>VLOOKUP($A140,'Data Vlaue (Cr)'!$C:$FB,75)</f>
        <v>3463</v>
      </c>
      <c r="F140" s="91">
        <f>VLOOKUP($A140,'Data Vlaue (Cr)'!$C:$FB,77)</f>
        <v>-124</v>
      </c>
      <c r="G140" s="92">
        <f>VLOOKUP(A140,'Data Vlaue (Cr)'!C135:CB353,78,0)</f>
        <v>-3.4599999999999999E-2</v>
      </c>
      <c r="H140" s="91">
        <f>VLOOKUP($A140,'Data Vlaue (Cr)'!$C:$FB,91)</f>
        <v>11348</v>
      </c>
      <c r="I140" s="91">
        <f>VLOOKUP($A140,'Data Vlaue (Cr)'!$C:$FB,93)</f>
        <v>642</v>
      </c>
      <c r="J140" s="92">
        <f>VLOOKUP($A140,'Data Vlaue (Cr)'!$C:$FB,94)</f>
        <v>0.06</v>
      </c>
      <c r="K140" s="91">
        <f>VLOOKUP($A140,'Data Vlaue (Cr)'!$C:$FB,95)</f>
        <v>12482</v>
      </c>
      <c r="L140" s="91">
        <f>VLOOKUP($A140,'Data Vlaue (Cr)'!$C:$FB,97)</f>
        <v>433</v>
      </c>
      <c r="M140" s="92">
        <f>VLOOKUP($A140,'Data Vlaue (Cr)'!$C:$FB,98)</f>
        <v>3.5900000000000001E-2</v>
      </c>
      <c r="N140" s="91">
        <f>VLOOKUP($A140,'Data Vlaue (Cr)'!$C:$FB,79)</f>
        <v>2626</v>
      </c>
      <c r="O140" s="92">
        <f>VLOOKUP($A140,'Data Vlaue (Cr)'!$C:$FB,82)</f>
        <v>-0.1512</v>
      </c>
    </row>
    <row r="141" spans="1:15" x14ac:dyDescent="0.25">
      <c r="A141" s="97" t="str">
        <f>'Data Vlaue (Cr)'!C136</f>
        <v>MOTHERSON</v>
      </c>
      <c r="B141" s="142">
        <f>VLOOKUP(A141,'Data Vlaue (Cr)'!C136:CW354,99,0)</f>
        <v>2919</v>
      </c>
      <c r="C141" s="90">
        <f>VLOOKUP(A141,'Data Vlaue (Cr)'!C136:CY354,101,0)</f>
        <v>25</v>
      </c>
      <c r="D141" s="139">
        <f>VLOOKUP(A141,'Data Vlaue (Cr)'!C136:CZ354,102,0)</f>
        <v>8.6E-3</v>
      </c>
      <c r="E141" s="91">
        <f>VLOOKUP($A141,'Data Vlaue (Cr)'!$C:$FB,75)</f>
        <v>1719</v>
      </c>
      <c r="F141" s="91">
        <f>VLOOKUP($A141,'Data Vlaue (Cr)'!$C:$FB,77)</f>
        <v>61</v>
      </c>
      <c r="G141" s="92">
        <f>VLOOKUP(A141,'Data Vlaue (Cr)'!C136:CB354,78,0)</f>
        <v>3.6799999999999999E-2</v>
      </c>
      <c r="H141" s="91">
        <f>VLOOKUP($A141,'Data Vlaue (Cr)'!$C:$FB,91)</f>
        <v>627</v>
      </c>
      <c r="I141" s="91">
        <f>VLOOKUP($A141,'Data Vlaue (Cr)'!$C:$FB,93)</f>
        <v>-14</v>
      </c>
      <c r="J141" s="92">
        <f>VLOOKUP($A141,'Data Vlaue (Cr)'!$C:$FB,94)</f>
        <v>-2.2100000000000002E-2</v>
      </c>
      <c r="K141" s="91">
        <f>VLOOKUP($A141,'Data Vlaue (Cr)'!$C:$FB,95)</f>
        <v>573</v>
      </c>
      <c r="L141" s="91">
        <f>VLOOKUP($A141,'Data Vlaue (Cr)'!$C:$FB,97)</f>
        <v>-22</v>
      </c>
      <c r="M141" s="92">
        <f>VLOOKUP($A141,'Data Vlaue (Cr)'!$C:$FB,98)</f>
        <v>-3.6999999999999998E-2</v>
      </c>
      <c r="N141" s="91">
        <f>VLOOKUP($A141,'Data Vlaue (Cr)'!$C:$FB,79)</f>
        <v>1040</v>
      </c>
      <c r="O141" s="92">
        <f>VLOOKUP($A141,'Data Vlaue (Cr)'!$C:$FB,82)</f>
        <v>-0.24970000000000001</v>
      </c>
    </row>
    <row r="142" spans="1:15" x14ac:dyDescent="0.25">
      <c r="A142" s="97" t="str">
        <f>'Data Vlaue (Cr)'!C137</f>
        <v>MOTILALOFS</v>
      </c>
      <c r="B142" s="142">
        <f>VLOOKUP(A142,'Data Vlaue (Cr)'!C137:CW355,99,0)</f>
        <v>478</v>
      </c>
      <c r="C142" s="90">
        <f>VLOOKUP(A142,'Data Vlaue (Cr)'!C137:CY355,101,0)</f>
        <v>19</v>
      </c>
      <c r="D142" s="139">
        <f>VLOOKUP(A142,'Data Vlaue (Cr)'!C137:CZ355,102,0)</f>
        <v>4.2099999999999999E-2</v>
      </c>
      <c r="E142" s="91">
        <f>VLOOKUP($A142,'Data Vlaue (Cr)'!$C:$FB,75)</f>
        <v>240</v>
      </c>
      <c r="F142" s="91">
        <f>VLOOKUP($A142,'Data Vlaue (Cr)'!$C:$FB,77)</f>
        <v>23</v>
      </c>
      <c r="G142" s="92">
        <f>VLOOKUP(A142,'Data Vlaue (Cr)'!C137:CB355,78,0)</f>
        <v>0.10639999999999999</v>
      </c>
      <c r="H142" s="91">
        <f>VLOOKUP($A142,'Data Vlaue (Cr)'!$C:$FB,91)</f>
        <v>124</v>
      </c>
      <c r="I142" s="91">
        <f>VLOOKUP($A142,'Data Vlaue (Cr)'!$C:$FB,93)</f>
        <v>-1</v>
      </c>
      <c r="J142" s="92">
        <f>VLOOKUP($A142,'Data Vlaue (Cr)'!$C:$FB,94)</f>
        <v>-1.03E-2</v>
      </c>
      <c r="K142" s="91">
        <f>VLOOKUP($A142,'Data Vlaue (Cr)'!$C:$FB,95)</f>
        <v>115</v>
      </c>
      <c r="L142" s="91">
        <f>VLOOKUP($A142,'Data Vlaue (Cr)'!$C:$FB,97)</f>
        <v>-2</v>
      </c>
      <c r="M142" s="92">
        <f>VLOOKUP($A142,'Data Vlaue (Cr)'!$C:$FB,98)</f>
        <v>-2.1000000000000001E-2</v>
      </c>
      <c r="N142" s="91">
        <f>VLOOKUP($A142,'Data Vlaue (Cr)'!$C:$FB,79)</f>
        <v>155</v>
      </c>
      <c r="O142" s="92">
        <f>VLOOKUP($A142,'Data Vlaue (Cr)'!$C:$FB,82)</f>
        <v>-0.22559999999999999</v>
      </c>
    </row>
    <row r="143" spans="1:15" x14ac:dyDescent="0.25">
      <c r="A143" s="97" t="str">
        <f>'Data Vlaue (Cr)'!C138</f>
        <v>MPHASIS</v>
      </c>
      <c r="B143" s="142">
        <f>VLOOKUP(A143,'Data Vlaue (Cr)'!C138:CW356,99,0)</f>
        <v>1766</v>
      </c>
      <c r="C143" s="90">
        <f>VLOOKUP(A143,'Data Vlaue (Cr)'!C138:CY356,101,0)</f>
        <v>187</v>
      </c>
      <c r="D143" s="139">
        <f>VLOOKUP(A143,'Data Vlaue (Cr)'!C138:CZ356,102,0)</f>
        <v>0.1186</v>
      </c>
      <c r="E143" s="91">
        <f>VLOOKUP($A143,'Data Vlaue (Cr)'!$C:$FB,75)</f>
        <v>1196</v>
      </c>
      <c r="F143" s="91">
        <f>VLOOKUP($A143,'Data Vlaue (Cr)'!$C:$FB,77)</f>
        <v>129</v>
      </c>
      <c r="G143" s="92">
        <f>VLOOKUP(A143,'Data Vlaue (Cr)'!C138:CB356,78,0)</f>
        <v>0.1205</v>
      </c>
      <c r="H143" s="91">
        <f>VLOOKUP($A143,'Data Vlaue (Cr)'!$C:$FB,91)</f>
        <v>338</v>
      </c>
      <c r="I143" s="91">
        <f>VLOOKUP($A143,'Data Vlaue (Cr)'!$C:$FB,93)</f>
        <v>42</v>
      </c>
      <c r="J143" s="92">
        <f>VLOOKUP($A143,'Data Vlaue (Cr)'!$C:$FB,94)</f>
        <v>0.1434</v>
      </c>
      <c r="K143" s="91">
        <f>VLOOKUP($A143,'Data Vlaue (Cr)'!$C:$FB,95)</f>
        <v>231</v>
      </c>
      <c r="L143" s="91">
        <f>VLOOKUP($A143,'Data Vlaue (Cr)'!$C:$FB,97)</f>
        <v>16</v>
      </c>
      <c r="M143" s="92">
        <f>VLOOKUP($A143,'Data Vlaue (Cr)'!$C:$FB,98)</f>
        <v>7.4800000000000005E-2</v>
      </c>
      <c r="N143" s="91">
        <f>VLOOKUP($A143,'Data Vlaue (Cr)'!$C:$FB,79)</f>
        <v>798</v>
      </c>
      <c r="O143" s="92">
        <f>VLOOKUP($A143,'Data Vlaue (Cr)'!$C:$FB,82)</f>
        <v>-0.15970000000000001</v>
      </c>
    </row>
    <row r="144" spans="1:15" x14ac:dyDescent="0.25">
      <c r="A144" s="97" t="str">
        <f>'Data Vlaue (Cr)'!C139</f>
        <v>MUTHOOTFIN</v>
      </c>
      <c r="B144" s="142">
        <f>VLOOKUP(A144,'Data Vlaue (Cr)'!C139:CW357,99,0)</f>
        <v>2715</v>
      </c>
      <c r="C144" s="90">
        <f>VLOOKUP(A144,'Data Vlaue (Cr)'!C139:CY357,101,0)</f>
        <v>-161</v>
      </c>
      <c r="D144" s="139">
        <f>VLOOKUP(A144,'Data Vlaue (Cr)'!C139:CZ357,102,0)</f>
        <v>-5.6099999999999997E-2</v>
      </c>
      <c r="E144" s="91">
        <f>VLOOKUP($A144,'Data Vlaue (Cr)'!$C:$FB,75)</f>
        <v>1357</v>
      </c>
      <c r="F144" s="91">
        <f>VLOOKUP($A144,'Data Vlaue (Cr)'!$C:$FB,77)</f>
        <v>-74</v>
      </c>
      <c r="G144" s="92">
        <f>VLOOKUP(A144,'Data Vlaue (Cr)'!C139:CB357,78,0)</f>
        <v>-5.16E-2</v>
      </c>
      <c r="H144" s="91">
        <f>VLOOKUP($A144,'Data Vlaue (Cr)'!$C:$FB,91)</f>
        <v>851</v>
      </c>
      <c r="I144" s="91">
        <f>VLOOKUP($A144,'Data Vlaue (Cr)'!$C:$FB,93)</f>
        <v>-82</v>
      </c>
      <c r="J144" s="92">
        <f>VLOOKUP($A144,'Data Vlaue (Cr)'!$C:$FB,94)</f>
        <v>-8.7599999999999997E-2</v>
      </c>
      <c r="K144" s="91">
        <f>VLOOKUP($A144,'Data Vlaue (Cr)'!$C:$FB,95)</f>
        <v>507</v>
      </c>
      <c r="L144" s="91">
        <f>VLOOKUP($A144,'Data Vlaue (Cr)'!$C:$FB,97)</f>
        <v>-6</v>
      </c>
      <c r="M144" s="92">
        <f>VLOOKUP($A144,'Data Vlaue (Cr)'!$C:$FB,98)</f>
        <v>-1.17E-2</v>
      </c>
      <c r="N144" s="91">
        <f>VLOOKUP($A144,'Data Vlaue (Cr)'!$C:$FB,79)</f>
        <v>946</v>
      </c>
      <c r="O144" s="92">
        <f>VLOOKUP($A144,'Data Vlaue (Cr)'!$C:$FB,82)</f>
        <v>-0.27250000000000002</v>
      </c>
    </row>
    <row r="145" spans="1:15" x14ac:dyDescent="0.25">
      <c r="A145" s="97" t="str">
        <f>'Data Vlaue (Cr)'!C140</f>
        <v>NAM-INDIA</v>
      </c>
      <c r="B145" s="142">
        <f>VLOOKUP(A145,'Data Vlaue (Cr)'!C140:CW358,99,0)</f>
        <v>546</v>
      </c>
      <c r="C145" s="90">
        <f>VLOOKUP(A145,'Data Vlaue (Cr)'!C140:CY358,101,0)</f>
        <v>-33</v>
      </c>
      <c r="D145" s="139">
        <f>VLOOKUP(A145,'Data Vlaue (Cr)'!C140:CZ358,102,0)</f>
        <v>-5.6300000000000003E-2</v>
      </c>
      <c r="E145" s="91">
        <f>VLOOKUP($A145,'Data Vlaue (Cr)'!$C:$FB,75)</f>
        <v>366</v>
      </c>
      <c r="F145" s="91">
        <f>VLOOKUP($A145,'Data Vlaue (Cr)'!$C:$FB,77)</f>
        <v>-21</v>
      </c>
      <c r="G145" s="92">
        <f>VLOOKUP(A145,'Data Vlaue (Cr)'!C140:CB358,78,0)</f>
        <v>-5.4800000000000001E-2</v>
      </c>
      <c r="H145" s="91">
        <f>VLOOKUP($A145,'Data Vlaue (Cr)'!$C:$FB,91)</f>
        <v>120</v>
      </c>
      <c r="I145" s="91">
        <f>VLOOKUP($A145,'Data Vlaue (Cr)'!$C:$FB,93)</f>
        <v>-4</v>
      </c>
      <c r="J145" s="92">
        <f>VLOOKUP($A145,'Data Vlaue (Cr)'!$C:$FB,94)</f>
        <v>-3.5299999999999998E-2</v>
      </c>
      <c r="K145" s="91">
        <f>VLOOKUP($A145,'Data Vlaue (Cr)'!$C:$FB,95)</f>
        <v>60</v>
      </c>
      <c r="L145" s="91">
        <f>VLOOKUP($A145,'Data Vlaue (Cr)'!$C:$FB,97)</f>
        <v>-7</v>
      </c>
      <c r="M145" s="92">
        <f>VLOOKUP($A145,'Data Vlaue (Cr)'!$C:$FB,98)</f>
        <v>-0.1037</v>
      </c>
      <c r="N145" s="91">
        <f>VLOOKUP($A145,'Data Vlaue (Cr)'!$C:$FB,79)</f>
        <v>216</v>
      </c>
      <c r="O145" s="92">
        <f>VLOOKUP($A145,'Data Vlaue (Cr)'!$C:$FB,82)</f>
        <v>-0.30409999999999998</v>
      </c>
    </row>
    <row r="146" spans="1:15" x14ac:dyDescent="0.25">
      <c r="A146" s="97" t="str">
        <f>'Data Vlaue (Cr)'!C141</f>
        <v>NATIONALUM</v>
      </c>
      <c r="B146" s="142">
        <f>VLOOKUP(A146,'Data Vlaue (Cr)'!C141:CW359,99,0)</f>
        <v>5635</v>
      </c>
      <c r="C146" s="90">
        <f>VLOOKUP(A146,'Data Vlaue (Cr)'!C141:CY359,101,0)</f>
        <v>30</v>
      </c>
      <c r="D146" s="139">
        <f>VLOOKUP(A146,'Data Vlaue (Cr)'!C141:CZ359,102,0)</f>
        <v>5.3E-3</v>
      </c>
      <c r="E146" s="91">
        <f>VLOOKUP($A146,'Data Vlaue (Cr)'!$C:$FB,75)</f>
        <v>2474</v>
      </c>
      <c r="F146" s="91">
        <f>VLOOKUP($A146,'Data Vlaue (Cr)'!$C:$FB,77)</f>
        <v>36</v>
      </c>
      <c r="G146" s="92">
        <f>VLOOKUP(A146,'Data Vlaue (Cr)'!C141:CB359,78,0)</f>
        <v>1.49E-2</v>
      </c>
      <c r="H146" s="91">
        <f>VLOOKUP($A146,'Data Vlaue (Cr)'!$C:$FB,91)</f>
        <v>1741</v>
      </c>
      <c r="I146" s="91">
        <f>VLOOKUP($A146,'Data Vlaue (Cr)'!$C:$FB,93)</f>
        <v>13</v>
      </c>
      <c r="J146" s="92">
        <f>VLOOKUP($A146,'Data Vlaue (Cr)'!$C:$FB,94)</f>
        <v>7.6E-3</v>
      </c>
      <c r="K146" s="91">
        <f>VLOOKUP($A146,'Data Vlaue (Cr)'!$C:$FB,95)</f>
        <v>1420</v>
      </c>
      <c r="L146" s="91">
        <f>VLOOKUP($A146,'Data Vlaue (Cr)'!$C:$FB,97)</f>
        <v>-20</v>
      </c>
      <c r="M146" s="92">
        <f>VLOOKUP($A146,'Data Vlaue (Cr)'!$C:$FB,98)</f>
        <v>-1.3899999999999999E-2</v>
      </c>
      <c r="N146" s="91">
        <f>VLOOKUP($A146,'Data Vlaue (Cr)'!$C:$FB,79)</f>
        <v>1651</v>
      </c>
      <c r="O146" s="92">
        <f>VLOOKUP($A146,'Data Vlaue (Cr)'!$C:$FB,82)</f>
        <v>-0.2306</v>
      </c>
    </row>
    <row r="147" spans="1:15" x14ac:dyDescent="0.25">
      <c r="A147" s="97" t="str">
        <f>'Data Vlaue (Cr)'!C142</f>
        <v>NAUKRI</v>
      </c>
      <c r="B147" s="142">
        <f>VLOOKUP(A147,'Data Vlaue (Cr)'!C142:CW360,99,0)</f>
        <v>1634</v>
      </c>
      <c r="C147" s="90">
        <f>VLOOKUP(A147,'Data Vlaue (Cr)'!C142:CY360,101,0)</f>
        <v>90</v>
      </c>
      <c r="D147" s="139">
        <f>VLOOKUP(A147,'Data Vlaue (Cr)'!C142:CZ360,102,0)</f>
        <v>5.8400000000000001E-2</v>
      </c>
      <c r="E147" s="91">
        <f>VLOOKUP($A147,'Data Vlaue (Cr)'!$C:$FB,75)</f>
        <v>1040</v>
      </c>
      <c r="F147" s="91">
        <f>VLOOKUP($A147,'Data Vlaue (Cr)'!$C:$FB,77)</f>
        <v>14</v>
      </c>
      <c r="G147" s="92">
        <f>VLOOKUP(A147,'Data Vlaue (Cr)'!C142:CB360,78,0)</f>
        <v>1.32E-2</v>
      </c>
      <c r="H147" s="91">
        <f>VLOOKUP($A147,'Data Vlaue (Cr)'!$C:$FB,91)</f>
        <v>386</v>
      </c>
      <c r="I147" s="91">
        <f>VLOOKUP($A147,'Data Vlaue (Cr)'!$C:$FB,93)</f>
        <v>37</v>
      </c>
      <c r="J147" s="92">
        <f>VLOOKUP($A147,'Data Vlaue (Cr)'!$C:$FB,94)</f>
        <v>0.1053</v>
      </c>
      <c r="K147" s="91">
        <f>VLOOKUP($A147,'Data Vlaue (Cr)'!$C:$FB,95)</f>
        <v>208</v>
      </c>
      <c r="L147" s="91">
        <f>VLOOKUP($A147,'Data Vlaue (Cr)'!$C:$FB,97)</f>
        <v>40</v>
      </c>
      <c r="M147" s="92">
        <f>VLOOKUP($A147,'Data Vlaue (Cr)'!$C:$FB,98)</f>
        <v>0.23710000000000001</v>
      </c>
      <c r="N147" s="91">
        <f>VLOOKUP($A147,'Data Vlaue (Cr)'!$C:$FB,79)</f>
        <v>510</v>
      </c>
      <c r="O147" s="92">
        <f>VLOOKUP($A147,'Data Vlaue (Cr)'!$C:$FB,82)</f>
        <v>-0.38600000000000001</v>
      </c>
    </row>
    <row r="148" spans="1:15" x14ac:dyDescent="0.25">
      <c r="A148" s="97" t="str">
        <f>'Data Vlaue (Cr)'!C143</f>
        <v>NBCC</v>
      </c>
      <c r="B148" s="142">
        <f>VLOOKUP(A148,'Data Vlaue (Cr)'!C143:CW361,99,0)</f>
        <v>1103</v>
      </c>
      <c r="C148" s="90">
        <f>VLOOKUP(A148,'Data Vlaue (Cr)'!C143:CY361,101,0)</f>
        <v>24</v>
      </c>
      <c r="D148" s="139">
        <f>VLOOKUP(A148,'Data Vlaue (Cr)'!C143:CZ361,102,0)</f>
        <v>2.2200000000000001E-2</v>
      </c>
      <c r="E148" s="91">
        <f>VLOOKUP($A148,'Data Vlaue (Cr)'!$C:$FB,75)</f>
        <v>763</v>
      </c>
      <c r="F148" s="91">
        <f>VLOOKUP($A148,'Data Vlaue (Cr)'!$C:$FB,77)</f>
        <v>16</v>
      </c>
      <c r="G148" s="92">
        <f>VLOOKUP(A148,'Data Vlaue (Cr)'!C143:CB361,78,0)</f>
        <v>2.12E-2</v>
      </c>
      <c r="H148" s="91">
        <f>VLOOKUP($A148,'Data Vlaue (Cr)'!$C:$FB,91)</f>
        <v>211</v>
      </c>
      <c r="I148" s="91">
        <f>VLOOKUP($A148,'Data Vlaue (Cr)'!$C:$FB,93)</f>
        <v>8</v>
      </c>
      <c r="J148" s="92">
        <f>VLOOKUP($A148,'Data Vlaue (Cr)'!$C:$FB,94)</f>
        <v>4.0099999999999997E-2</v>
      </c>
      <c r="K148" s="91">
        <f>VLOOKUP($A148,'Data Vlaue (Cr)'!$C:$FB,95)</f>
        <v>130</v>
      </c>
      <c r="L148" s="91">
        <f>VLOOKUP($A148,'Data Vlaue (Cr)'!$C:$FB,97)</f>
        <v>0</v>
      </c>
      <c r="M148" s="92">
        <f>VLOOKUP($A148,'Data Vlaue (Cr)'!$C:$FB,98)</f>
        <v>0</v>
      </c>
      <c r="N148" s="91">
        <f>VLOOKUP($A148,'Data Vlaue (Cr)'!$C:$FB,79)</f>
        <v>398</v>
      </c>
      <c r="O148" s="92">
        <f>VLOOKUP($A148,'Data Vlaue (Cr)'!$C:$FB,82)</f>
        <v>-0.36630000000000001</v>
      </c>
    </row>
    <row r="149" spans="1:15" x14ac:dyDescent="0.25">
      <c r="A149" s="97" t="str">
        <f>'Data Vlaue (Cr)'!C144</f>
        <v>NESTLEIND</v>
      </c>
      <c r="B149" s="142">
        <f>VLOOKUP(A149,'Data Vlaue (Cr)'!C144:CW362,99,0)</f>
        <v>5005</v>
      </c>
      <c r="C149" s="90">
        <f>VLOOKUP(A149,'Data Vlaue (Cr)'!C144:CY362,101,0)</f>
        <v>-334</v>
      </c>
      <c r="D149" s="139">
        <f>VLOOKUP(A149,'Data Vlaue (Cr)'!C144:CZ362,102,0)</f>
        <v>-6.2600000000000003E-2</v>
      </c>
      <c r="E149" s="91">
        <f>VLOOKUP($A149,'Data Vlaue (Cr)'!$C:$FB,75)</f>
        <v>2419</v>
      </c>
      <c r="F149" s="91">
        <f>VLOOKUP($A149,'Data Vlaue (Cr)'!$C:$FB,77)</f>
        <v>-19</v>
      </c>
      <c r="G149" s="92">
        <f>VLOOKUP(A149,'Data Vlaue (Cr)'!C144:CB362,78,0)</f>
        <v>-7.9000000000000008E-3</v>
      </c>
      <c r="H149" s="91">
        <f>VLOOKUP($A149,'Data Vlaue (Cr)'!$C:$FB,91)</f>
        <v>1526</v>
      </c>
      <c r="I149" s="91">
        <f>VLOOKUP($A149,'Data Vlaue (Cr)'!$C:$FB,93)</f>
        <v>-259</v>
      </c>
      <c r="J149" s="92">
        <f>VLOOKUP($A149,'Data Vlaue (Cr)'!$C:$FB,94)</f>
        <v>-0.14499999999999999</v>
      </c>
      <c r="K149" s="91">
        <f>VLOOKUP($A149,'Data Vlaue (Cr)'!$C:$FB,95)</f>
        <v>1060</v>
      </c>
      <c r="L149" s="91">
        <f>VLOOKUP($A149,'Data Vlaue (Cr)'!$C:$FB,97)</f>
        <v>-56</v>
      </c>
      <c r="M149" s="92">
        <f>VLOOKUP($A149,'Data Vlaue (Cr)'!$C:$FB,98)</f>
        <v>-0.05</v>
      </c>
      <c r="N149" s="91">
        <f>VLOOKUP($A149,'Data Vlaue (Cr)'!$C:$FB,79)</f>
        <v>1361</v>
      </c>
      <c r="O149" s="92">
        <f>VLOOKUP($A149,'Data Vlaue (Cr)'!$C:$FB,82)</f>
        <v>-0.31790000000000002</v>
      </c>
    </row>
    <row r="150" spans="1:15" x14ac:dyDescent="0.25">
      <c r="A150" s="97" t="str">
        <f>'Data Vlaue (Cr)'!C145</f>
        <v>NHPC</v>
      </c>
      <c r="B150" s="142">
        <f>VLOOKUP(A150,'Data Vlaue (Cr)'!C145:CW363,99,0)</f>
        <v>1283</v>
      </c>
      <c r="C150" s="90">
        <f>VLOOKUP(A150,'Data Vlaue (Cr)'!C145:CY363,101,0)</f>
        <v>-3</v>
      </c>
      <c r="D150" s="139">
        <f>VLOOKUP(A150,'Data Vlaue (Cr)'!C145:CZ363,102,0)</f>
        <v>-2.5000000000000001E-3</v>
      </c>
      <c r="E150" s="91">
        <f>VLOOKUP($A150,'Data Vlaue (Cr)'!$C:$FB,75)</f>
        <v>694</v>
      </c>
      <c r="F150" s="91">
        <f>VLOOKUP($A150,'Data Vlaue (Cr)'!$C:$FB,77)</f>
        <v>-45</v>
      </c>
      <c r="G150" s="92">
        <f>VLOOKUP(A150,'Data Vlaue (Cr)'!C145:CB363,78,0)</f>
        <v>-6.0900000000000003E-2</v>
      </c>
      <c r="H150" s="91">
        <f>VLOOKUP($A150,'Data Vlaue (Cr)'!$C:$FB,91)</f>
        <v>323</v>
      </c>
      <c r="I150" s="91">
        <f>VLOOKUP($A150,'Data Vlaue (Cr)'!$C:$FB,93)</f>
        <v>21</v>
      </c>
      <c r="J150" s="92">
        <f>VLOOKUP($A150,'Data Vlaue (Cr)'!$C:$FB,94)</f>
        <v>7.1300000000000002E-2</v>
      </c>
      <c r="K150" s="91">
        <f>VLOOKUP($A150,'Data Vlaue (Cr)'!$C:$FB,95)</f>
        <v>266</v>
      </c>
      <c r="L150" s="91">
        <f>VLOOKUP($A150,'Data Vlaue (Cr)'!$C:$FB,97)</f>
        <v>20</v>
      </c>
      <c r="M150" s="92">
        <f>VLOOKUP($A150,'Data Vlaue (Cr)'!$C:$FB,98)</f>
        <v>8.2900000000000001E-2</v>
      </c>
      <c r="N150" s="91">
        <f>VLOOKUP($A150,'Data Vlaue (Cr)'!$C:$FB,79)</f>
        <v>364</v>
      </c>
      <c r="O150" s="92">
        <f>VLOOKUP($A150,'Data Vlaue (Cr)'!$C:$FB,82)</f>
        <v>-0.42709999999999998</v>
      </c>
    </row>
    <row r="151" spans="1:15" x14ac:dyDescent="0.25">
      <c r="A151" s="97" t="str">
        <f>'Data Vlaue (Cr)'!C146</f>
        <v>NIFTY</v>
      </c>
      <c r="B151" s="142">
        <f>VLOOKUP(A151,'Data Vlaue (Cr)'!C146:CW364,99,0)</f>
        <v>1105967</v>
      </c>
      <c r="C151" s="90">
        <f>VLOOKUP(A151,'Data Vlaue (Cr)'!C146:CY364,101,0)</f>
        <v>146188</v>
      </c>
      <c r="D151" s="139">
        <f>VLOOKUP(A151,'Data Vlaue (Cr)'!C146:CZ364,102,0)</f>
        <v>0.15229999999999999</v>
      </c>
      <c r="E151" s="91">
        <f>VLOOKUP($A151,'Data Vlaue (Cr)'!$C:$FB,75)</f>
        <v>49101</v>
      </c>
      <c r="F151" s="91">
        <f>VLOOKUP($A151,'Data Vlaue (Cr)'!$C:$FB,77)</f>
        <v>-98</v>
      </c>
      <c r="G151" s="92">
        <f>VLOOKUP(A151,'Data Vlaue (Cr)'!C146:CB364,78,0)</f>
        <v>-2E-3</v>
      </c>
      <c r="H151" s="91">
        <f>VLOOKUP($A151,'Data Vlaue (Cr)'!$C:$FB,91)</f>
        <v>549533</v>
      </c>
      <c r="I151" s="91">
        <f>VLOOKUP($A151,'Data Vlaue (Cr)'!$C:$FB,93)</f>
        <v>98125</v>
      </c>
      <c r="J151" s="92">
        <f>VLOOKUP($A151,'Data Vlaue (Cr)'!$C:$FB,94)</f>
        <v>0.21740000000000001</v>
      </c>
      <c r="K151" s="91">
        <f>VLOOKUP($A151,'Data Vlaue (Cr)'!$C:$FB,95)</f>
        <v>507333</v>
      </c>
      <c r="L151" s="91">
        <f>VLOOKUP($A151,'Data Vlaue (Cr)'!$C:$FB,97)</f>
        <v>48161</v>
      </c>
      <c r="M151" s="92">
        <f>VLOOKUP($A151,'Data Vlaue (Cr)'!$C:$FB,98)</f>
        <v>0.10489999999999999</v>
      </c>
      <c r="N151" s="91">
        <f>VLOOKUP($A151,'Data Vlaue (Cr)'!$C:$FB,79)</f>
        <v>34895</v>
      </c>
      <c r="O151" s="92">
        <f>VLOOKUP($A151,'Data Vlaue (Cr)'!$C:$FB,82)</f>
        <v>-0.1095</v>
      </c>
    </row>
    <row r="152" spans="1:15" x14ac:dyDescent="0.25">
      <c r="A152" s="97" t="str">
        <f>'Data Vlaue (Cr)'!C147</f>
        <v>NIFTYNXT50</v>
      </c>
      <c r="B152" s="142">
        <f>VLOOKUP(A152,'Data Vlaue (Cr)'!C147:CW365,99,0)</f>
        <v>362</v>
      </c>
      <c r="C152" s="90">
        <f>VLOOKUP(A152,'Data Vlaue (Cr)'!C147:CY365,101,0)</f>
        <v>4</v>
      </c>
      <c r="D152" s="139">
        <f>VLOOKUP(A152,'Data Vlaue (Cr)'!C147:CZ365,102,0)</f>
        <v>1.1299999999999999E-2</v>
      </c>
      <c r="E152" s="91">
        <f>VLOOKUP($A152,'Data Vlaue (Cr)'!$C:$FB,75)</f>
        <v>171</v>
      </c>
      <c r="F152" s="91">
        <f>VLOOKUP($A152,'Data Vlaue (Cr)'!$C:$FB,77)</f>
        <v>5</v>
      </c>
      <c r="G152" s="92">
        <f>VLOOKUP(A152,'Data Vlaue (Cr)'!C147:CB365,78,0)</f>
        <v>3.3000000000000002E-2</v>
      </c>
      <c r="H152" s="91">
        <f>VLOOKUP($A152,'Data Vlaue (Cr)'!$C:$FB,91)</f>
        <v>125</v>
      </c>
      <c r="I152" s="91">
        <f>VLOOKUP($A152,'Data Vlaue (Cr)'!$C:$FB,93)</f>
        <v>6</v>
      </c>
      <c r="J152" s="92">
        <f>VLOOKUP($A152,'Data Vlaue (Cr)'!$C:$FB,94)</f>
        <v>5.1799999999999999E-2</v>
      </c>
      <c r="K152" s="91">
        <f>VLOOKUP($A152,'Data Vlaue (Cr)'!$C:$FB,95)</f>
        <v>66</v>
      </c>
      <c r="L152" s="91">
        <f>VLOOKUP($A152,'Data Vlaue (Cr)'!$C:$FB,97)</f>
        <v>-8</v>
      </c>
      <c r="M152" s="92">
        <f>VLOOKUP($A152,'Data Vlaue (Cr)'!$C:$FB,98)</f>
        <v>-0.10290000000000001</v>
      </c>
      <c r="N152" s="91">
        <f>VLOOKUP($A152,'Data Vlaue (Cr)'!$C:$FB,79)</f>
        <v>125</v>
      </c>
      <c r="O152" s="92">
        <f>VLOOKUP($A152,'Data Vlaue (Cr)'!$C:$FB,82)</f>
        <v>-4.9399999999999999E-2</v>
      </c>
    </row>
    <row r="153" spans="1:15" x14ac:dyDescent="0.25">
      <c r="A153" s="97" t="str">
        <f>'Data Vlaue (Cr)'!C148</f>
        <v>NMDC</v>
      </c>
      <c r="B153" s="142">
        <f>VLOOKUP(A153,'Data Vlaue (Cr)'!C148:CW366,99,0)</f>
        <v>4047</v>
      </c>
      <c r="C153" s="90">
        <f>VLOOKUP(A153,'Data Vlaue (Cr)'!C148:CY366,101,0)</f>
        <v>51</v>
      </c>
      <c r="D153" s="139">
        <f>VLOOKUP(A153,'Data Vlaue (Cr)'!C148:CZ366,102,0)</f>
        <v>1.2800000000000001E-2</v>
      </c>
      <c r="E153" s="91">
        <f>VLOOKUP($A153,'Data Vlaue (Cr)'!$C:$FB,75)</f>
        <v>2839</v>
      </c>
      <c r="F153" s="91">
        <f>VLOOKUP($A153,'Data Vlaue (Cr)'!$C:$FB,77)</f>
        <v>18</v>
      </c>
      <c r="G153" s="92">
        <f>VLOOKUP(A153,'Data Vlaue (Cr)'!C148:CB366,78,0)</f>
        <v>6.4999999999999997E-3</v>
      </c>
      <c r="H153" s="91">
        <f>VLOOKUP($A153,'Data Vlaue (Cr)'!$C:$FB,91)</f>
        <v>756</v>
      </c>
      <c r="I153" s="91">
        <f>VLOOKUP($A153,'Data Vlaue (Cr)'!$C:$FB,93)</f>
        <v>23</v>
      </c>
      <c r="J153" s="92">
        <f>VLOOKUP($A153,'Data Vlaue (Cr)'!$C:$FB,94)</f>
        <v>3.1800000000000002E-2</v>
      </c>
      <c r="K153" s="91">
        <f>VLOOKUP($A153,'Data Vlaue (Cr)'!$C:$FB,95)</f>
        <v>452</v>
      </c>
      <c r="L153" s="91">
        <f>VLOOKUP($A153,'Data Vlaue (Cr)'!$C:$FB,97)</f>
        <v>10</v>
      </c>
      <c r="M153" s="92">
        <f>VLOOKUP($A153,'Data Vlaue (Cr)'!$C:$FB,98)</f>
        <v>2.1499999999999998E-2</v>
      </c>
      <c r="N153" s="91">
        <f>VLOOKUP($A153,'Data Vlaue (Cr)'!$C:$FB,79)</f>
        <v>1939</v>
      </c>
      <c r="O153" s="92">
        <f>VLOOKUP($A153,'Data Vlaue (Cr)'!$C:$FB,82)</f>
        <v>-0.14119999999999999</v>
      </c>
    </row>
    <row r="154" spans="1:15" x14ac:dyDescent="0.25">
      <c r="A154" s="97" t="str">
        <f>'Data Vlaue (Cr)'!C149</f>
        <v>NTPC</v>
      </c>
      <c r="B154" s="142">
        <f>VLOOKUP(A154,'Data Vlaue (Cr)'!C149:CW367,99,0)</f>
        <v>9170</v>
      </c>
      <c r="C154" s="90">
        <f>VLOOKUP(A154,'Data Vlaue (Cr)'!C149:CY367,101,0)</f>
        <v>40</v>
      </c>
      <c r="D154" s="139">
        <f>VLOOKUP(A154,'Data Vlaue (Cr)'!C149:CZ367,102,0)</f>
        <v>4.4000000000000003E-3</v>
      </c>
      <c r="E154" s="91">
        <f>VLOOKUP($A154,'Data Vlaue (Cr)'!$C:$FB,75)</f>
        <v>4376</v>
      </c>
      <c r="F154" s="91">
        <f>VLOOKUP($A154,'Data Vlaue (Cr)'!$C:$FB,77)</f>
        <v>32</v>
      </c>
      <c r="G154" s="92">
        <f>VLOOKUP(A154,'Data Vlaue (Cr)'!C149:CB367,78,0)</f>
        <v>7.4000000000000003E-3</v>
      </c>
      <c r="H154" s="91">
        <f>VLOOKUP($A154,'Data Vlaue (Cr)'!$C:$FB,91)</f>
        <v>3058</v>
      </c>
      <c r="I154" s="91">
        <f>VLOOKUP($A154,'Data Vlaue (Cr)'!$C:$FB,93)</f>
        <v>45</v>
      </c>
      <c r="J154" s="92">
        <f>VLOOKUP($A154,'Data Vlaue (Cr)'!$C:$FB,94)</f>
        <v>1.5100000000000001E-2</v>
      </c>
      <c r="K154" s="91">
        <f>VLOOKUP($A154,'Data Vlaue (Cr)'!$C:$FB,95)</f>
        <v>1737</v>
      </c>
      <c r="L154" s="91">
        <f>VLOOKUP($A154,'Data Vlaue (Cr)'!$C:$FB,97)</f>
        <v>-38</v>
      </c>
      <c r="M154" s="92">
        <f>VLOOKUP($A154,'Data Vlaue (Cr)'!$C:$FB,98)</f>
        <v>-2.12E-2</v>
      </c>
      <c r="N154" s="91">
        <f>VLOOKUP($A154,'Data Vlaue (Cr)'!$C:$FB,79)</f>
        <v>2583</v>
      </c>
      <c r="O154" s="92">
        <f>VLOOKUP($A154,'Data Vlaue (Cr)'!$C:$FB,82)</f>
        <v>-0.21970000000000001</v>
      </c>
    </row>
    <row r="155" spans="1:15" x14ac:dyDescent="0.25">
      <c r="A155" s="97" t="str">
        <f>'Data Vlaue (Cr)'!C150</f>
        <v>NUVAMA</v>
      </c>
      <c r="B155" s="142">
        <f>VLOOKUP(A155,'Data Vlaue (Cr)'!C150:CW368,99,0)</f>
        <v>569</v>
      </c>
      <c r="C155" s="90">
        <f>VLOOKUP(A155,'Data Vlaue (Cr)'!C150:CY368,101,0)</f>
        <v>5</v>
      </c>
      <c r="D155" s="139">
        <f>VLOOKUP(A155,'Data Vlaue (Cr)'!C150:CZ368,102,0)</f>
        <v>8.8000000000000005E-3</v>
      </c>
      <c r="E155" s="91">
        <f>VLOOKUP($A155,'Data Vlaue (Cr)'!$C:$FB,75)</f>
        <v>290</v>
      </c>
      <c r="F155" s="91">
        <f>VLOOKUP($A155,'Data Vlaue (Cr)'!$C:$FB,77)</f>
        <v>-4</v>
      </c>
      <c r="G155" s="92">
        <f>VLOOKUP(A155,'Data Vlaue (Cr)'!C150:CB368,78,0)</f>
        <v>-1.2200000000000001E-2</v>
      </c>
      <c r="H155" s="91">
        <f>VLOOKUP($A155,'Data Vlaue (Cr)'!$C:$FB,91)</f>
        <v>160</v>
      </c>
      <c r="I155" s="91">
        <f>VLOOKUP($A155,'Data Vlaue (Cr)'!$C:$FB,93)</f>
        <v>6</v>
      </c>
      <c r="J155" s="92">
        <f>VLOOKUP($A155,'Data Vlaue (Cr)'!$C:$FB,94)</f>
        <v>3.56E-2</v>
      </c>
      <c r="K155" s="91">
        <f>VLOOKUP($A155,'Data Vlaue (Cr)'!$C:$FB,95)</f>
        <v>118</v>
      </c>
      <c r="L155" s="91">
        <f>VLOOKUP($A155,'Data Vlaue (Cr)'!$C:$FB,97)</f>
        <v>3</v>
      </c>
      <c r="M155" s="92">
        <f>VLOOKUP($A155,'Data Vlaue (Cr)'!$C:$FB,98)</f>
        <v>2.63E-2</v>
      </c>
      <c r="N155" s="91">
        <f>VLOOKUP($A155,'Data Vlaue (Cr)'!$C:$FB,79)</f>
        <v>185</v>
      </c>
      <c r="O155" s="92">
        <f>VLOOKUP($A155,'Data Vlaue (Cr)'!$C:$FB,82)</f>
        <v>-0.2631</v>
      </c>
    </row>
    <row r="156" spans="1:15" x14ac:dyDescent="0.25">
      <c r="A156" s="97" t="str">
        <f>'Data Vlaue (Cr)'!C151</f>
        <v>NYKAA</v>
      </c>
      <c r="B156" s="142">
        <f>VLOOKUP(A156,'Data Vlaue (Cr)'!C151:CW369,99,0)</f>
        <v>1815</v>
      </c>
      <c r="C156" s="90">
        <f>VLOOKUP(A156,'Data Vlaue (Cr)'!C151:CY369,101,0)</f>
        <v>77</v>
      </c>
      <c r="D156" s="139">
        <f>VLOOKUP(A156,'Data Vlaue (Cr)'!C151:CZ369,102,0)</f>
        <v>4.3999999999999997E-2</v>
      </c>
      <c r="E156" s="91">
        <f>VLOOKUP($A156,'Data Vlaue (Cr)'!$C:$FB,75)</f>
        <v>1349</v>
      </c>
      <c r="F156" s="91">
        <f>VLOOKUP($A156,'Data Vlaue (Cr)'!$C:$FB,77)</f>
        <v>60</v>
      </c>
      <c r="G156" s="92">
        <f>VLOOKUP(A156,'Data Vlaue (Cr)'!C151:CB369,78,0)</f>
        <v>4.6300000000000001E-2</v>
      </c>
      <c r="H156" s="91">
        <f>VLOOKUP($A156,'Data Vlaue (Cr)'!$C:$FB,91)</f>
        <v>320</v>
      </c>
      <c r="I156" s="91">
        <f>VLOOKUP($A156,'Data Vlaue (Cr)'!$C:$FB,93)</f>
        <v>10</v>
      </c>
      <c r="J156" s="92">
        <f>VLOOKUP($A156,'Data Vlaue (Cr)'!$C:$FB,94)</f>
        <v>3.3500000000000002E-2</v>
      </c>
      <c r="K156" s="91">
        <f>VLOOKUP($A156,'Data Vlaue (Cr)'!$C:$FB,95)</f>
        <v>146</v>
      </c>
      <c r="L156" s="91">
        <f>VLOOKUP($A156,'Data Vlaue (Cr)'!$C:$FB,97)</f>
        <v>6</v>
      </c>
      <c r="M156" s="92">
        <f>VLOOKUP($A156,'Data Vlaue (Cr)'!$C:$FB,98)</f>
        <v>4.6399999999999997E-2</v>
      </c>
      <c r="N156" s="91">
        <f>VLOOKUP($A156,'Data Vlaue (Cr)'!$C:$FB,79)</f>
        <v>944</v>
      </c>
      <c r="O156" s="92">
        <f>VLOOKUP($A156,'Data Vlaue (Cr)'!$C:$FB,82)</f>
        <v>-0.19089999999999999</v>
      </c>
    </row>
    <row r="157" spans="1:15" x14ac:dyDescent="0.25">
      <c r="A157" s="97" t="str">
        <f>'Data Vlaue (Cr)'!C152</f>
        <v>OBEROIRLTY</v>
      </c>
      <c r="B157" s="142">
        <f>VLOOKUP(A157,'Data Vlaue (Cr)'!C152:CW370,99,0)</f>
        <v>1936</v>
      </c>
      <c r="C157" s="90">
        <f>VLOOKUP(A157,'Data Vlaue (Cr)'!C152:CY370,101,0)</f>
        <v>-247</v>
      </c>
      <c r="D157" s="139">
        <f>VLOOKUP(A157,'Data Vlaue (Cr)'!C152:CZ370,102,0)</f>
        <v>-0.1133</v>
      </c>
      <c r="E157" s="91">
        <f>VLOOKUP($A157,'Data Vlaue (Cr)'!$C:$FB,75)</f>
        <v>1450</v>
      </c>
      <c r="F157" s="91">
        <f>VLOOKUP($A157,'Data Vlaue (Cr)'!$C:$FB,77)</f>
        <v>-233</v>
      </c>
      <c r="G157" s="92">
        <f>VLOOKUP(A157,'Data Vlaue (Cr)'!C152:CB370,78,0)</f>
        <v>-0.1384</v>
      </c>
      <c r="H157" s="91">
        <f>VLOOKUP($A157,'Data Vlaue (Cr)'!$C:$FB,91)</f>
        <v>301</v>
      </c>
      <c r="I157" s="91">
        <f>VLOOKUP($A157,'Data Vlaue (Cr)'!$C:$FB,93)</f>
        <v>-8</v>
      </c>
      <c r="J157" s="92">
        <f>VLOOKUP($A157,'Data Vlaue (Cr)'!$C:$FB,94)</f>
        <v>-2.4500000000000001E-2</v>
      </c>
      <c r="K157" s="91">
        <f>VLOOKUP($A157,'Data Vlaue (Cr)'!$C:$FB,95)</f>
        <v>185</v>
      </c>
      <c r="L157" s="91">
        <f>VLOOKUP($A157,'Data Vlaue (Cr)'!$C:$FB,97)</f>
        <v>-7</v>
      </c>
      <c r="M157" s="92">
        <f>VLOOKUP($A157,'Data Vlaue (Cr)'!$C:$FB,98)</f>
        <v>-3.6200000000000003E-2</v>
      </c>
      <c r="N157" s="91">
        <f>VLOOKUP($A157,'Data Vlaue (Cr)'!$C:$FB,79)</f>
        <v>995</v>
      </c>
      <c r="O157" s="92">
        <f>VLOOKUP($A157,'Data Vlaue (Cr)'!$C:$FB,82)</f>
        <v>-0.30259999999999998</v>
      </c>
    </row>
    <row r="158" spans="1:15" x14ac:dyDescent="0.25">
      <c r="A158" s="97" t="str">
        <f>'Data Vlaue (Cr)'!C153</f>
        <v>OFSS</v>
      </c>
      <c r="B158" s="142">
        <f>VLOOKUP(A158,'Data Vlaue (Cr)'!C153:CW371,99,0)</f>
        <v>3910</v>
      </c>
      <c r="C158" s="90">
        <f>VLOOKUP(A158,'Data Vlaue (Cr)'!C153:CY371,101,0)</f>
        <v>489</v>
      </c>
      <c r="D158" s="139">
        <f>VLOOKUP(A158,'Data Vlaue (Cr)'!C153:CZ371,102,0)</f>
        <v>0.14280000000000001</v>
      </c>
      <c r="E158" s="91">
        <f>VLOOKUP($A158,'Data Vlaue (Cr)'!$C:$FB,75)</f>
        <v>1431</v>
      </c>
      <c r="F158" s="91">
        <f>VLOOKUP($A158,'Data Vlaue (Cr)'!$C:$FB,77)</f>
        <v>-65</v>
      </c>
      <c r="G158" s="92">
        <f>VLOOKUP(A158,'Data Vlaue (Cr)'!C153:CB371,78,0)</f>
        <v>-4.3299999999999998E-2</v>
      </c>
      <c r="H158" s="91">
        <f>VLOOKUP($A158,'Data Vlaue (Cr)'!$C:$FB,91)</f>
        <v>1274</v>
      </c>
      <c r="I158" s="91">
        <f>VLOOKUP($A158,'Data Vlaue (Cr)'!$C:$FB,93)</f>
        <v>233</v>
      </c>
      <c r="J158" s="92">
        <f>VLOOKUP($A158,'Data Vlaue (Cr)'!$C:$FB,94)</f>
        <v>0.22339999999999999</v>
      </c>
      <c r="K158" s="91">
        <f>VLOOKUP($A158,'Data Vlaue (Cr)'!$C:$FB,95)</f>
        <v>1205</v>
      </c>
      <c r="L158" s="91">
        <f>VLOOKUP($A158,'Data Vlaue (Cr)'!$C:$FB,97)</f>
        <v>321</v>
      </c>
      <c r="M158" s="92">
        <f>VLOOKUP($A158,'Data Vlaue (Cr)'!$C:$FB,98)</f>
        <v>0.36249999999999999</v>
      </c>
      <c r="N158" s="91">
        <f>VLOOKUP($A158,'Data Vlaue (Cr)'!$C:$FB,79)</f>
        <v>906</v>
      </c>
      <c r="O158" s="92">
        <f>VLOOKUP($A158,'Data Vlaue (Cr)'!$C:$FB,82)</f>
        <v>-0.29799999999999999</v>
      </c>
    </row>
    <row r="159" spans="1:15" x14ac:dyDescent="0.25">
      <c r="A159" s="97" t="str">
        <f>'Data Vlaue (Cr)'!C154</f>
        <v>OIL</v>
      </c>
      <c r="B159" s="142">
        <f>VLOOKUP(A159,'Data Vlaue (Cr)'!C154:CW372,99,0)</f>
        <v>1660</v>
      </c>
      <c r="C159" s="90">
        <f>VLOOKUP(A159,'Data Vlaue (Cr)'!C154:CY372,101,0)</f>
        <v>-17</v>
      </c>
      <c r="D159" s="139">
        <f>VLOOKUP(A159,'Data Vlaue (Cr)'!C154:CZ372,102,0)</f>
        <v>-1.0200000000000001E-2</v>
      </c>
      <c r="E159" s="91">
        <f>VLOOKUP($A159,'Data Vlaue (Cr)'!$C:$FB,75)</f>
        <v>933</v>
      </c>
      <c r="F159" s="91">
        <f>VLOOKUP($A159,'Data Vlaue (Cr)'!$C:$FB,77)</f>
        <v>-37</v>
      </c>
      <c r="G159" s="92">
        <f>VLOOKUP(A159,'Data Vlaue (Cr)'!C154:CB372,78,0)</f>
        <v>-3.8100000000000002E-2</v>
      </c>
      <c r="H159" s="91">
        <f>VLOOKUP($A159,'Data Vlaue (Cr)'!$C:$FB,91)</f>
        <v>494</v>
      </c>
      <c r="I159" s="91">
        <f>VLOOKUP($A159,'Data Vlaue (Cr)'!$C:$FB,93)</f>
        <v>2</v>
      </c>
      <c r="J159" s="92">
        <f>VLOOKUP($A159,'Data Vlaue (Cr)'!$C:$FB,94)</f>
        <v>3.2000000000000002E-3</v>
      </c>
      <c r="K159" s="91">
        <f>VLOOKUP($A159,'Data Vlaue (Cr)'!$C:$FB,95)</f>
        <v>233</v>
      </c>
      <c r="L159" s="91">
        <f>VLOOKUP($A159,'Data Vlaue (Cr)'!$C:$FB,97)</f>
        <v>18</v>
      </c>
      <c r="M159" s="92">
        <f>VLOOKUP($A159,'Data Vlaue (Cr)'!$C:$FB,98)</f>
        <v>8.5199999999999998E-2</v>
      </c>
      <c r="N159" s="91">
        <f>VLOOKUP($A159,'Data Vlaue (Cr)'!$C:$FB,79)</f>
        <v>657</v>
      </c>
      <c r="O159" s="92">
        <f>VLOOKUP($A159,'Data Vlaue (Cr)'!$C:$FB,82)</f>
        <v>-0.255</v>
      </c>
    </row>
    <row r="160" spans="1:15" x14ac:dyDescent="0.25">
      <c r="A160" s="97" t="str">
        <f>'Data Vlaue (Cr)'!C155</f>
        <v>ONGC</v>
      </c>
      <c r="B160" s="142">
        <f>VLOOKUP(A160,'Data Vlaue (Cr)'!C155:CW373,99,0)</f>
        <v>6798</v>
      </c>
      <c r="C160" s="90">
        <f>VLOOKUP(A160,'Data Vlaue (Cr)'!C155:CY373,101,0)</f>
        <v>94</v>
      </c>
      <c r="D160" s="139">
        <f>VLOOKUP(A160,'Data Vlaue (Cr)'!C155:CZ373,102,0)</f>
        <v>1.41E-2</v>
      </c>
      <c r="E160" s="91">
        <f>VLOOKUP($A160,'Data Vlaue (Cr)'!$C:$FB,75)</f>
        <v>2976</v>
      </c>
      <c r="F160" s="91">
        <f>VLOOKUP($A160,'Data Vlaue (Cr)'!$C:$FB,77)</f>
        <v>44</v>
      </c>
      <c r="G160" s="92">
        <f>VLOOKUP(A160,'Data Vlaue (Cr)'!C155:CB373,78,0)</f>
        <v>1.52E-2</v>
      </c>
      <c r="H160" s="91">
        <f>VLOOKUP($A160,'Data Vlaue (Cr)'!$C:$FB,91)</f>
        <v>2757</v>
      </c>
      <c r="I160" s="91">
        <f>VLOOKUP($A160,'Data Vlaue (Cr)'!$C:$FB,93)</f>
        <v>64</v>
      </c>
      <c r="J160" s="92">
        <f>VLOOKUP($A160,'Data Vlaue (Cr)'!$C:$FB,94)</f>
        <v>2.3900000000000001E-2</v>
      </c>
      <c r="K160" s="91">
        <f>VLOOKUP($A160,'Data Vlaue (Cr)'!$C:$FB,95)</f>
        <v>1065</v>
      </c>
      <c r="L160" s="91">
        <f>VLOOKUP($A160,'Data Vlaue (Cr)'!$C:$FB,97)</f>
        <v>-14</v>
      </c>
      <c r="M160" s="92">
        <f>VLOOKUP($A160,'Data Vlaue (Cr)'!$C:$FB,98)</f>
        <v>-1.32E-2</v>
      </c>
      <c r="N160" s="91">
        <f>VLOOKUP($A160,'Data Vlaue (Cr)'!$C:$FB,79)</f>
        <v>1876</v>
      </c>
      <c r="O160" s="92">
        <f>VLOOKUP($A160,'Data Vlaue (Cr)'!$C:$FB,82)</f>
        <v>-0.24210000000000001</v>
      </c>
    </row>
    <row r="161" spans="1:15" x14ac:dyDescent="0.25">
      <c r="A161" s="97" t="str">
        <f>'Data Vlaue (Cr)'!C156</f>
        <v>PAGEIND</v>
      </c>
      <c r="B161" s="142">
        <f>VLOOKUP(A161,'Data Vlaue (Cr)'!C156:CW374,99,0)</f>
        <v>1863</v>
      </c>
      <c r="C161" s="90">
        <f>VLOOKUP(A161,'Data Vlaue (Cr)'!C156:CY374,101,0)</f>
        <v>-32</v>
      </c>
      <c r="D161" s="139">
        <f>VLOOKUP(A161,'Data Vlaue (Cr)'!C156:CZ374,102,0)</f>
        <v>-1.7000000000000001E-2</v>
      </c>
      <c r="E161" s="91">
        <f>VLOOKUP($A161,'Data Vlaue (Cr)'!$C:$FB,75)</f>
        <v>1361</v>
      </c>
      <c r="F161" s="91">
        <f>VLOOKUP($A161,'Data Vlaue (Cr)'!$C:$FB,77)</f>
        <v>12</v>
      </c>
      <c r="G161" s="92">
        <f>VLOOKUP(A161,'Data Vlaue (Cr)'!C156:CB374,78,0)</f>
        <v>8.6999999999999994E-3</v>
      </c>
      <c r="H161" s="91">
        <f>VLOOKUP($A161,'Data Vlaue (Cr)'!$C:$FB,91)</f>
        <v>259</v>
      </c>
      <c r="I161" s="91">
        <f>VLOOKUP($A161,'Data Vlaue (Cr)'!$C:$FB,93)</f>
        <v>-3</v>
      </c>
      <c r="J161" s="92">
        <f>VLOOKUP($A161,'Data Vlaue (Cr)'!$C:$FB,94)</f>
        <v>-1.2999999999999999E-2</v>
      </c>
      <c r="K161" s="91">
        <f>VLOOKUP($A161,'Data Vlaue (Cr)'!$C:$FB,95)</f>
        <v>242</v>
      </c>
      <c r="L161" s="91">
        <f>VLOOKUP($A161,'Data Vlaue (Cr)'!$C:$FB,97)</f>
        <v>-41</v>
      </c>
      <c r="M161" s="92">
        <f>VLOOKUP($A161,'Data Vlaue (Cr)'!$C:$FB,98)</f>
        <v>-0.14360000000000001</v>
      </c>
      <c r="N161" s="91">
        <f>VLOOKUP($A161,'Data Vlaue (Cr)'!$C:$FB,79)</f>
        <v>880</v>
      </c>
      <c r="O161" s="92">
        <f>VLOOKUP($A161,'Data Vlaue (Cr)'!$C:$FB,82)</f>
        <v>-0.30249999999999999</v>
      </c>
    </row>
    <row r="162" spans="1:15" x14ac:dyDescent="0.25">
      <c r="A162" s="97" t="str">
        <f>'Data Vlaue (Cr)'!C157</f>
        <v>PATANJALI</v>
      </c>
      <c r="B162" s="142">
        <f>VLOOKUP(A162,'Data Vlaue (Cr)'!C157:CW375,99,0)</f>
        <v>2139</v>
      </c>
      <c r="C162" s="90">
        <f>VLOOKUP(A162,'Data Vlaue (Cr)'!C157:CY375,101,0)</f>
        <v>-50</v>
      </c>
      <c r="D162" s="139">
        <f>VLOOKUP(A162,'Data Vlaue (Cr)'!C157:CZ375,102,0)</f>
        <v>-2.29E-2</v>
      </c>
      <c r="E162" s="91">
        <f>VLOOKUP($A162,'Data Vlaue (Cr)'!$C:$FB,75)</f>
        <v>1694</v>
      </c>
      <c r="F162" s="91">
        <f>VLOOKUP($A162,'Data Vlaue (Cr)'!$C:$FB,77)</f>
        <v>-15</v>
      </c>
      <c r="G162" s="92">
        <f>VLOOKUP(A162,'Data Vlaue (Cr)'!C157:CB375,78,0)</f>
        <v>-8.5000000000000006E-3</v>
      </c>
      <c r="H162" s="91">
        <f>VLOOKUP($A162,'Data Vlaue (Cr)'!$C:$FB,91)</f>
        <v>265</v>
      </c>
      <c r="I162" s="91">
        <f>VLOOKUP($A162,'Data Vlaue (Cr)'!$C:$FB,93)</f>
        <v>-41</v>
      </c>
      <c r="J162" s="92">
        <f>VLOOKUP($A162,'Data Vlaue (Cr)'!$C:$FB,94)</f>
        <v>-0.13519999999999999</v>
      </c>
      <c r="K162" s="91">
        <f>VLOOKUP($A162,'Data Vlaue (Cr)'!$C:$FB,95)</f>
        <v>180</v>
      </c>
      <c r="L162" s="91">
        <f>VLOOKUP($A162,'Data Vlaue (Cr)'!$C:$FB,97)</f>
        <v>6</v>
      </c>
      <c r="M162" s="92">
        <f>VLOOKUP($A162,'Data Vlaue (Cr)'!$C:$FB,98)</f>
        <v>3.4200000000000001E-2</v>
      </c>
      <c r="N162" s="91">
        <f>VLOOKUP($A162,'Data Vlaue (Cr)'!$C:$FB,79)</f>
        <v>1347</v>
      </c>
      <c r="O162" s="92">
        <f>VLOOKUP($A162,'Data Vlaue (Cr)'!$C:$FB,82)</f>
        <v>-0.16880000000000001</v>
      </c>
    </row>
    <row r="163" spans="1:15" x14ac:dyDescent="0.25">
      <c r="A163" s="97" t="str">
        <f>'Data Vlaue (Cr)'!C158</f>
        <v>PAYTM</v>
      </c>
      <c r="B163" s="142">
        <f>VLOOKUP(A163,'Data Vlaue (Cr)'!C158:CW376,99,0)</f>
        <v>3082</v>
      </c>
      <c r="C163" s="90">
        <f>VLOOKUP(A163,'Data Vlaue (Cr)'!C158:CY376,101,0)</f>
        <v>-100</v>
      </c>
      <c r="D163" s="139">
        <f>VLOOKUP(A163,'Data Vlaue (Cr)'!C158:CZ376,102,0)</f>
        <v>-3.1399999999999997E-2</v>
      </c>
      <c r="E163" s="91">
        <f>VLOOKUP($A163,'Data Vlaue (Cr)'!$C:$FB,75)</f>
        <v>1761</v>
      </c>
      <c r="F163" s="91">
        <f>VLOOKUP($A163,'Data Vlaue (Cr)'!$C:$FB,77)</f>
        <v>-8</v>
      </c>
      <c r="G163" s="92">
        <f>VLOOKUP(A163,'Data Vlaue (Cr)'!C158:CB376,78,0)</f>
        <v>-4.4999999999999997E-3</v>
      </c>
      <c r="H163" s="91">
        <f>VLOOKUP($A163,'Data Vlaue (Cr)'!$C:$FB,91)</f>
        <v>740</v>
      </c>
      <c r="I163" s="91">
        <f>VLOOKUP($A163,'Data Vlaue (Cr)'!$C:$FB,93)</f>
        <v>-40</v>
      </c>
      <c r="J163" s="92">
        <f>VLOOKUP($A163,'Data Vlaue (Cr)'!$C:$FB,94)</f>
        <v>-5.0700000000000002E-2</v>
      </c>
      <c r="K163" s="91">
        <f>VLOOKUP($A163,'Data Vlaue (Cr)'!$C:$FB,95)</f>
        <v>581</v>
      </c>
      <c r="L163" s="91">
        <f>VLOOKUP($A163,'Data Vlaue (Cr)'!$C:$FB,97)</f>
        <v>-52</v>
      </c>
      <c r="M163" s="92">
        <f>VLOOKUP($A163,'Data Vlaue (Cr)'!$C:$FB,98)</f>
        <v>-8.2600000000000007E-2</v>
      </c>
      <c r="N163" s="91">
        <f>VLOOKUP($A163,'Data Vlaue (Cr)'!$C:$FB,79)</f>
        <v>1082</v>
      </c>
      <c r="O163" s="92">
        <f>VLOOKUP($A163,'Data Vlaue (Cr)'!$C:$FB,82)</f>
        <v>-0.25280000000000002</v>
      </c>
    </row>
    <row r="164" spans="1:15" x14ac:dyDescent="0.25">
      <c r="A164" s="97" t="str">
        <f>'Data Vlaue (Cr)'!C159</f>
        <v>PERSISTENT</v>
      </c>
      <c r="B164" s="142">
        <f>VLOOKUP(A164,'Data Vlaue (Cr)'!C159:CW377,99,0)</f>
        <v>4883</v>
      </c>
      <c r="C164" s="90">
        <f>VLOOKUP(A164,'Data Vlaue (Cr)'!C159:CY377,101,0)</f>
        <v>-508</v>
      </c>
      <c r="D164" s="139">
        <f>VLOOKUP(A164,'Data Vlaue (Cr)'!C159:CZ377,102,0)</f>
        <v>-9.4200000000000006E-2</v>
      </c>
      <c r="E164" s="91">
        <f>VLOOKUP($A164,'Data Vlaue (Cr)'!$C:$FB,75)</f>
        <v>2861</v>
      </c>
      <c r="F164" s="91">
        <f>VLOOKUP($A164,'Data Vlaue (Cr)'!$C:$FB,77)</f>
        <v>-358</v>
      </c>
      <c r="G164" s="92">
        <f>VLOOKUP(A164,'Data Vlaue (Cr)'!C159:CB377,78,0)</f>
        <v>-0.11119999999999999</v>
      </c>
      <c r="H164" s="91">
        <f>VLOOKUP($A164,'Data Vlaue (Cr)'!$C:$FB,91)</f>
        <v>1322</v>
      </c>
      <c r="I164" s="91">
        <f>VLOOKUP($A164,'Data Vlaue (Cr)'!$C:$FB,93)</f>
        <v>-114</v>
      </c>
      <c r="J164" s="92">
        <f>VLOOKUP($A164,'Data Vlaue (Cr)'!$C:$FB,94)</f>
        <v>-7.9600000000000004E-2</v>
      </c>
      <c r="K164" s="91">
        <f>VLOOKUP($A164,'Data Vlaue (Cr)'!$C:$FB,95)</f>
        <v>700</v>
      </c>
      <c r="L164" s="91">
        <f>VLOOKUP($A164,'Data Vlaue (Cr)'!$C:$FB,97)</f>
        <v>-36</v>
      </c>
      <c r="M164" s="92">
        <f>VLOOKUP($A164,'Data Vlaue (Cr)'!$C:$FB,98)</f>
        <v>-4.8500000000000001E-2</v>
      </c>
      <c r="N164" s="91">
        <f>VLOOKUP($A164,'Data Vlaue (Cr)'!$C:$FB,79)</f>
        <v>1641</v>
      </c>
      <c r="O164" s="92">
        <f>VLOOKUP($A164,'Data Vlaue (Cr)'!$C:$FB,82)</f>
        <v>-0.32700000000000001</v>
      </c>
    </row>
    <row r="165" spans="1:15" x14ac:dyDescent="0.25">
      <c r="A165" s="97" t="str">
        <f>'Data Vlaue (Cr)'!C160</f>
        <v>PETRONET</v>
      </c>
      <c r="B165" s="142">
        <f>VLOOKUP(A165,'Data Vlaue (Cr)'!C160:CW378,99,0)</f>
        <v>1696</v>
      </c>
      <c r="C165" s="90">
        <f>VLOOKUP(A165,'Data Vlaue (Cr)'!C160:CY378,101,0)</f>
        <v>-65</v>
      </c>
      <c r="D165" s="139">
        <f>VLOOKUP(A165,'Data Vlaue (Cr)'!C160:CZ378,102,0)</f>
        <v>-3.6999999999999998E-2</v>
      </c>
      <c r="E165" s="91">
        <f>VLOOKUP($A165,'Data Vlaue (Cr)'!$C:$FB,75)</f>
        <v>976</v>
      </c>
      <c r="F165" s="91">
        <f>VLOOKUP($A165,'Data Vlaue (Cr)'!$C:$FB,77)</f>
        <v>-44</v>
      </c>
      <c r="G165" s="92">
        <f>VLOOKUP(A165,'Data Vlaue (Cr)'!C160:CB378,78,0)</f>
        <v>-4.2799999999999998E-2</v>
      </c>
      <c r="H165" s="91">
        <f>VLOOKUP($A165,'Data Vlaue (Cr)'!$C:$FB,91)</f>
        <v>424</v>
      </c>
      <c r="I165" s="91">
        <f>VLOOKUP($A165,'Data Vlaue (Cr)'!$C:$FB,93)</f>
        <v>-29</v>
      </c>
      <c r="J165" s="92">
        <f>VLOOKUP($A165,'Data Vlaue (Cr)'!$C:$FB,94)</f>
        <v>-6.3100000000000003E-2</v>
      </c>
      <c r="K165" s="91">
        <f>VLOOKUP($A165,'Data Vlaue (Cr)'!$C:$FB,95)</f>
        <v>296</v>
      </c>
      <c r="L165" s="91">
        <f>VLOOKUP($A165,'Data Vlaue (Cr)'!$C:$FB,97)</f>
        <v>7</v>
      </c>
      <c r="M165" s="92">
        <f>VLOOKUP($A165,'Data Vlaue (Cr)'!$C:$FB,98)</f>
        <v>2.4299999999999999E-2</v>
      </c>
      <c r="N165" s="91">
        <f>VLOOKUP($A165,'Data Vlaue (Cr)'!$C:$FB,79)</f>
        <v>635</v>
      </c>
      <c r="O165" s="92">
        <f>VLOOKUP($A165,'Data Vlaue (Cr)'!$C:$FB,82)</f>
        <v>-0.32779999999999998</v>
      </c>
    </row>
    <row r="166" spans="1:15" x14ac:dyDescent="0.25">
      <c r="A166" s="97" t="str">
        <f>'Data Vlaue (Cr)'!C161</f>
        <v>PFC</v>
      </c>
      <c r="B166" s="142">
        <f>VLOOKUP(A166,'Data Vlaue (Cr)'!C161:CW379,99,0)</f>
        <v>4975</v>
      </c>
      <c r="C166" s="90">
        <f>VLOOKUP(A166,'Data Vlaue (Cr)'!C161:CY379,101,0)</f>
        <v>-76</v>
      </c>
      <c r="D166" s="139">
        <f>VLOOKUP(A166,'Data Vlaue (Cr)'!C161:CZ379,102,0)</f>
        <v>-1.4999999999999999E-2</v>
      </c>
      <c r="E166" s="91">
        <f>VLOOKUP($A166,'Data Vlaue (Cr)'!$C:$FB,75)</f>
        <v>2773</v>
      </c>
      <c r="F166" s="91">
        <f>VLOOKUP($A166,'Data Vlaue (Cr)'!$C:$FB,77)</f>
        <v>-50</v>
      </c>
      <c r="G166" s="92">
        <f>VLOOKUP(A166,'Data Vlaue (Cr)'!C161:CB379,78,0)</f>
        <v>-1.7600000000000001E-2</v>
      </c>
      <c r="H166" s="91">
        <f>VLOOKUP($A166,'Data Vlaue (Cr)'!$C:$FB,91)</f>
        <v>1241</v>
      </c>
      <c r="I166" s="91">
        <f>VLOOKUP($A166,'Data Vlaue (Cr)'!$C:$FB,93)</f>
        <v>-15</v>
      </c>
      <c r="J166" s="92">
        <f>VLOOKUP($A166,'Data Vlaue (Cr)'!$C:$FB,94)</f>
        <v>-1.21E-2</v>
      </c>
      <c r="K166" s="91">
        <f>VLOOKUP($A166,'Data Vlaue (Cr)'!$C:$FB,95)</f>
        <v>961</v>
      </c>
      <c r="L166" s="91">
        <f>VLOOKUP($A166,'Data Vlaue (Cr)'!$C:$FB,97)</f>
        <v>-11</v>
      </c>
      <c r="M166" s="92">
        <f>VLOOKUP($A166,'Data Vlaue (Cr)'!$C:$FB,98)</f>
        <v>-1.0999999999999999E-2</v>
      </c>
      <c r="N166" s="91">
        <f>VLOOKUP($A166,'Data Vlaue (Cr)'!$C:$FB,79)</f>
        <v>1602</v>
      </c>
      <c r="O166" s="92">
        <f>VLOOKUP($A166,'Data Vlaue (Cr)'!$C:$FB,82)</f>
        <v>-0.2571</v>
      </c>
    </row>
    <row r="167" spans="1:15" x14ac:dyDescent="0.25">
      <c r="A167" s="97" t="str">
        <f>'Data Vlaue (Cr)'!C162</f>
        <v>PGEL</v>
      </c>
      <c r="B167" s="142">
        <f>VLOOKUP(A167,'Data Vlaue (Cr)'!C162:CW380,99,0)</f>
        <v>1789</v>
      </c>
      <c r="C167" s="90">
        <f>VLOOKUP(A167,'Data Vlaue (Cr)'!C162:CY380,101,0)</f>
        <v>-89</v>
      </c>
      <c r="D167" s="139">
        <f>VLOOKUP(A167,'Data Vlaue (Cr)'!C162:CZ380,102,0)</f>
        <v>-4.7300000000000002E-2</v>
      </c>
      <c r="E167" s="91">
        <f>VLOOKUP($A167,'Data Vlaue (Cr)'!$C:$FB,75)</f>
        <v>864</v>
      </c>
      <c r="F167" s="91">
        <f>VLOOKUP($A167,'Data Vlaue (Cr)'!$C:$FB,77)</f>
        <v>-60</v>
      </c>
      <c r="G167" s="92">
        <f>VLOOKUP(A167,'Data Vlaue (Cr)'!C162:CB380,78,0)</f>
        <v>-6.4799999999999996E-2</v>
      </c>
      <c r="H167" s="91">
        <f>VLOOKUP($A167,'Data Vlaue (Cr)'!$C:$FB,91)</f>
        <v>468</v>
      </c>
      <c r="I167" s="91">
        <f>VLOOKUP($A167,'Data Vlaue (Cr)'!$C:$FB,93)</f>
        <v>3</v>
      </c>
      <c r="J167" s="92">
        <f>VLOOKUP($A167,'Data Vlaue (Cr)'!$C:$FB,94)</f>
        <v>5.4999999999999997E-3</v>
      </c>
      <c r="K167" s="91">
        <f>VLOOKUP($A167,'Data Vlaue (Cr)'!$C:$FB,95)</f>
        <v>457</v>
      </c>
      <c r="L167" s="91">
        <f>VLOOKUP($A167,'Data Vlaue (Cr)'!$C:$FB,97)</f>
        <v>-32</v>
      </c>
      <c r="M167" s="92">
        <f>VLOOKUP($A167,'Data Vlaue (Cr)'!$C:$FB,98)</f>
        <v>-6.4500000000000002E-2</v>
      </c>
      <c r="N167" s="91">
        <f>VLOOKUP($A167,'Data Vlaue (Cr)'!$C:$FB,79)</f>
        <v>542</v>
      </c>
      <c r="O167" s="92">
        <f>VLOOKUP($A167,'Data Vlaue (Cr)'!$C:$FB,82)</f>
        <v>-0.27629999999999999</v>
      </c>
    </row>
    <row r="168" spans="1:15" x14ac:dyDescent="0.25">
      <c r="A168" s="97" t="str">
        <f>'Data Vlaue (Cr)'!C163</f>
        <v>PHOENIXLTD</v>
      </c>
      <c r="B168" s="142">
        <f>VLOOKUP(A168,'Data Vlaue (Cr)'!C163:CW381,99,0)</f>
        <v>1150</v>
      </c>
      <c r="C168" s="90">
        <f>VLOOKUP(A168,'Data Vlaue (Cr)'!C163:CY381,101,0)</f>
        <v>39</v>
      </c>
      <c r="D168" s="139">
        <f>VLOOKUP(A168,'Data Vlaue (Cr)'!C163:CZ381,102,0)</f>
        <v>3.4700000000000002E-2</v>
      </c>
      <c r="E168" s="91">
        <f>VLOOKUP($A168,'Data Vlaue (Cr)'!$C:$FB,75)</f>
        <v>718</v>
      </c>
      <c r="F168" s="91">
        <f>VLOOKUP($A168,'Data Vlaue (Cr)'!$C:$FB,77)</f>
        <v>10</v>
      </c>
      <c r="G168" s="92">
        <f>VLOOKUP(A168,'Data Vlaue (Cr)'!C163:CB381,78,0)</f>
        <v>1.4E-2</v>
      </c>
      <c r="H168" s="91">
        <f>VLOOKUP($A168,'Data Vlaue (Cr)'!$C:$FB,91)</f>
        <v>241</v>
      </c>
      <c r="I168" s="91">
        <f>VLOOKUP($A168,'Data Vlaue (Cr)'!$C:$FB,93)</f>
        <v>15</v>
      </c>
      <c r="J168" s="92">
        <f>VLOOKUP($A168,'Data Vlaue (Cr)'!$C:$FB,94)</f>
        <v>6.7699999999999996E-2</v>
      </c>
      <c r="K168" s="91">
        <f>VLOOKUP($A168,'Data Vlaue (Cr)'!$C:$FB,95)</f>
        <v>191</v>
      </c>
      <c r="L168" s="91">
        <f>VLOOKUP($A168,'Data Vlaue (Cr)'!$C:$FB,97)</f>
        <v>13</v>
      </c>
      <c r="M168" s="92">
        <f>VLOOKUP($A168,'Data Vlaue (Cr)'!$C:$FB,98)</f>
        <v>7.5200000000000003E-2</v>
      </c>
      <c r="N168" s="91">
        <f>VLOOKUP($A168,'Data Vlaue (Cr)'!$C:$FB,79)</f>
        <v>452</v>
      </c>
      <c r="O168" s="92">
        <f>VLOOKUP($A168,'Data Vlaue (Cr)'!$C:$FB,82)</f>
        <v>-0.2571</v>
      </c>
    </row>
    <row r="169" spans="1:15" x14ac:dyDescent="0.25">
      <c r="A169" s="97" t="str">
        <f>'Data Vlaue (Cr)'!C164</f>
        <v>PIDILITIND</v>
      </c>
      <c r="B169" s="142">
        <f>VLOOKUP(A169,'Data Vlaue (Cr)'!C164:CW382,99,0)</f>
        <v>1564</v>
      </c>
      <c r="C169" s="90">
        <f>VLOOKUP(A169,'Data Vlaue (Cr)'!C164:CY382,101,0)</f>
        <v>-32</v>
      </c>
      <c r="D169" s="139">
        <f>VLOOKUP(A169,'Data Vlaue (Cr)'!C164:CZ382,102,0)</f>
        <v>-0.02</v>
      </c>
      <c r="E169" s="91">
        <f>VLOOKUP($A169,'Data Vlaue (Cr)'!$C:$FB,75)</f>
        <v>1130</v>
      </c>
      <c r="F169" s="91">
        <f>VLOOKUP($A169,'Data Vlaue (Cr)'!$C:$FB,77)</f>
        <v>-35</v>
      </c>
      <c r="G169" s="92">
        <f>VLOOKUP(A169,'Data Vlaue (Cr)'!C164:CB382,78,0)</f>
        <v>-2.9700000000000001E-2</v>
      </c>
      <c r="H169" s="91">
        <f>VLOOKUP($A169,'Data Vlaue (Cr)'!$C:$FB,91)</f>
        <v>243</v>
      </c>
      <c r="I169" s="91">
        <f>VLOOKUP($A169,'Data Vlaue (Cr)'!$C:$FB,93)</f>
        <v>-1</v>
      </c>
      <c r="J169" s="92">
        <f>VLOOKUP($A169,'Data Vlaue (Cr)'!$C:$FB,94)</f>
        <v>-3.7000000000000002E-3</v>
      </c>
      <c r="K169" s="91">
        <f>VLOOKUP($A169,'Data Vlaue (Cr)'!$C:$FB,95)</f>
        <v>191</v>
      </c>
      <c r="L169" s="91">
        <f>VLOOKUP($A169,'Data Vlaue (Cr)'!$C:$FB,97)</f>
        <v>4</v>
      </c>
      <c r="M169" s="92">
        <f>VLOOKUP($A169,'Data Vlaue (Cr)'!$C:$FB,98)</f>
        <v>1.9E-2</v>
      </c>
      <c r="N169" s="91">
        <f>VLOOKUP($A169,'Data Vlaue (Cr)'!$C:$FB,79)</f>
        <v>745</v>
      </c>
      <c r="O169" s="92">
        <f>VLOOKUP($A169,'Data Vlaue (Cr)'!$C:$FB,82)</f>
        <v>-0.32619999999999999</v>
      </c>
    </row>
    <row r="170" spans="1:15" x14ac:dyDescent="0.25">
      <c r="A170" s="97" t="str">
        <f>'Data Vlaue (Cr)'!C165</f>
        <v>PIIND</v>
      </c>
      <c r="B170" s="142">
        <f>VLOOKUP(A170,'Data Vlaue (Cr)'!C165:CW383,99,0)</f>
        <v>1292</v>
      </c>
      <c r="C170" s="90">
        <f>VLOOKUP(A170,'Data Vlaue (Cr)'!C165:CY383,101,0)</f>
        <v>-5</v>
      </c>
      <c r="D170" s="139">
        <f>VLOOKUP(A170,'Data Vlaue (Cr)'!C165:CZ383,102,0)</f>
        <v>-4.0000000000000001E-3</v>
      </c>
      <c r="E170" s="91">
        <f>VLOOKUP($A170,'Data Vlaue (Cr)'!$C:$FB,75)</f>
        <v>805</v>
      </c>
      <c r="F170" s="91">
        <f>VLOOKUP($A170,'Data Vlaue (Cr)'!$C:$FB,77)</f>
        <v>-57</v>
      </c>
      <c r="G170" s="92">
        <f>VLOOKUP(A170,'Data Vlaue (Cr)'!C165:CB383,78,0)</f>
        <v>-6.6299999999999998E-2</v>
      </c>
      <c r="H170" s="91">
        <f>VLOOKUP($A170,'Data Vlaue (Cr)'!$C:$FB,91)</f>
        <v>278</v>
      </c>
      <c r="I170" s="91">
        <f>VLOOKUP($A170,'Data Vlaue (Cr)'!$C:$FB,93)</f>
        <v>39</v>
      </c>
      <c r="J170" s="92">
        <f>VLOOKUP($A170,'Data Vlaue (Cr)'!$C:$FB,94)</f>
        <v>0.16309999999999999</v>
      </c>
      <c r="K170" s="91">
        <f>VLOOKUP($A170,'Data Vlaue (Cr)'!$C:$FB,95)</f>
        <v>208</v>
      </c>
      <c r="L170" s="91">
        <f>VLOOKUP($A170,'Data Vlaue (Cr)'!$C:$FB,97)</f>
        <v>13</v>
      </c>
      <c r="M170" s="92">
        <f>VLOOKUP($A170,'Data Vlaue (Cr)'!$C:$FB,98)</f>
        <v>6.6199999999999995E-2</v>
      </c>
      <c r="N170" s="91">
        <f>VLOOKUP($A170,'Data Vlaue (Cr)'!$C:$FB,79)</f>
        <v>510</v>
      </c>
      <c r="O170" s="92">
        <f>VLOOKUP($A170,'Data Vlaue (Cr)'!$C:$FB,82)</f>
        <v>-0.3342</v>
      </c>
    </row>
    <row r="171" spans="1:15" x14ac:dyDescent="0.25">
      <c r="A171" s="97" t="str">
        <f>'Data Vlaue (Cr)'!C166</f>
        <v>PNB</v>
      </c>
      <c r="B171" s="142">
        <f>VLOOKUP(A171,'Data Vlaue (Cr)'!C166:CW384,99,0)</f>
        <v>4963</v>
      </c>
      <c r="C171" s="90">
        <f>VLOOKUP(A171,'Data Vlaue (Cr)'!C166:CY384,101,0)</f>
        <v>51</v>
      </c>
      <c r="D171" s="139">
        <f>VLOOKUP(A171,'Data Vlaue (Cr)'!C166:CZ384,102,0)</f>
        <v>1.0500000000000001E-2</v>
      </c>
      <c r="E171" s="91">
        <f>VLOOKUP($A171,'Data Vlaue (Cr)'!$C:$FB,75)</f>
        <v>3094</v>
      </c>
      <c r="F171" s="91">
        <f>VLOOKUP($A171,'Data Vlaue (Cr)'!$C:$FB,77)</f>
        <v>73</v>
      </c>
      <c r="G171" s="92">
        <f>VLOOKUP(A171,'Data Vlaue (Cr)'!C166:CB384,78,0)</f>
        <v>2.4E-2</v>
      </c>
      <c r="H171" s="91">
        <f>VLOOKUP($A171,'Data Vlaue (Cr)'!$C:$FB,91)</f>
        <v>993</v>
      </c>
      <c r="I171" s="91">
        <f>VLOOKUP($A171,'Data Vlaue (Cr)'!$C:$FB,93)</f>
        <v>3</v>
      </c>
      <c r="J171" s="92">
        <f>VLOOKUP($A171,'Data Vlaue (Cr)'!$C:$FB,94)</f>
        <v>2.8E-3</v>
      </c>
      <c r="K171" s="91">
        <f>VLOOKUP($A171,'Data Vlaue (Cr)'!$C:$FB,95)</f>
        <v>877</v>
      </c>
      <c r="L171" s="91">
        <f>VLOOKUP($A171,'Data Vlaue (Cr)'!$C:$FB,97)</f>
        <v>-24</v>
      </c>
      <c r="M171" s="92">
        <f>VLOOKUP($A171,'Data Vlaue (Cr)'!$C:$FB,98)</f>
        <v>-2.6499999999999999E-2</v>
      </c>
      <c r="N171" s="91">
        <f>VLOOKUP($A171,'Data Vlaue (Cr)'!$C:$FB,79)</f>
        <v>1826</v>
      </c>
      <c r="O171" s="92">
        <f>VLOOKUP($A171,'Data Vlaue (Cr)'!$C:$FB,82)</f>
        <v>-0.2046</v>
      </c>
    </row>
    <row r="172" spans="1:15" x14ac:dyDescent="0.25">
      <c r="A172" s="97" t="str">
        <f>'Data Vlaue (Cr)'!C167</f>
        <v>PNBHOUSING</v>
      </c>
      <c r="B172" s="142">
        <f>VLOOKUP(A172,'Data Vlaue (Cr)'!C167:CW385,99,0)</f>
        <v>2393</v>
      </c>
      <c r="C172" s="90">
        <f>VLOOKUP(A172,'Data Vlaue (Cr)'!C167:CY385,101,0)</f>
        <v>-29</v>
      </c>
      <c r="D172" s="139">
        <f>VLOOKUP(A172,'Data Vlaue (Cr)'!C167:CZ385,102,0)</f>
        <v>-1.1900000000000001E-2</v>
      </c>
      <c r="E172" s="91">
        <f>VLOOKUP($A172,'Data Vlaue (Cr)'!$C:$FB,75)</f>
        <v>1270</v>
      </c>
      <c r="F172" s="91">
        <f>VLOOKUP($A172,'Data Vlaue (Cr)'!$C:$FB,77)</f>
        <v>34</v>
      </c>
      <c r="G172" s="92">
        <f>VLOOKUP(A172,'Data Vlaue (Cr)'!C167:CB385,78,0)</f>
        <v>2.7799999999999998E-2</v>
      </c>
      <c r="H172" s="91">
        <f>VLOOKUP($A172,'Data Vlaue (Cr)'!$C:$FB,91)</f>
        <v>547</v>
      </c>
      <c r="I172" s="91">
        <f>VLOOKUP($A172,'Data Vlaue (Cr)'!$C:$FB,93)</f>
        <v>-86</v>
      </c>
      <c r="J172" s="92">
        <f>VLOOKUP($A172,'Data Vlaue (Cr)'!$C:$FB,94)</f>
        <v>-0.13539999999999999</v>
      </c>
      <c r="K172" s="91">
        <f>VLOOKUP($A172,'Data Vlaue (Cr)'!$C:$FB,95)</f>
        <v>576</v>
      </c>
      <c r="L172" s="91">
        <f>VLOOKUP($A172,'Data Vlaue (Cr)'!$C:$FB,97)</f>
        <v>23</v>
      </c>
      <c r="M172" s="92">
        <f>VLOOKUP($A172,'Data Vlaue (Cr)'!$C:$FB,98)</f>
        <v>4.0800000000000003E-2</v>
      </c>
      <c r="N172" s="91">
        <f>VLOOKUP($A172,'Data Vlaue (Cr)'!$C:$FB,79)</f>
        <v>770</v>
      </c>
      <c r="O172" s="92">
        <f>VLOOKUP($A172,'Data Vlaue (Cr)'!$C:$FB,82)</f>
        <v>-0.28399999999999997</v>
      </c>
    </row>
    <row r="173" spans="1:15" x14ac:dyDescent="0.25">
      <c r="A173" s="97" t="str">
        <f>'Data Vlaue (Cr)'!C168</f>
        <v>POLICYBZR</v>
      </c>
      <c r="B173" s="142">
        <f>VLOOKUP(A173,'Data Vlaue (Cr)'!C168:CW386,99,0)</f>
        <v>2087</v>
      </c>
      <c r="C173" s="90">
        <f>VLOOKUP(A173,'Data Vlaue (Cr)'!C168:CY386,101,0)</f>
        <v>138</v>
      </c>
      <c r="D173" s="139">
        <f>VLOOKUP(A173,'Data Vlaue (Cr)'!C168:CZ386,102,0)</f>
        <v>7.0599999999999996E-2</v>
      </c>
      <c r="E173" s="91">
        <f>VLOOKUP($A173,'Data Vlaue (Cr)'!$C:$FB,75)</f>
        <v>1404</v>
      </c>
      <c r="F173" s="91">
        <f>VLOOKUP($A173,'Data Vlaue (Cr)'!$C:$FB,77)</f>
        <v>106</v>
      </c>
      <c r="G173" s="92">
        <f>VLOOKUP(A173,'Data Vlaue (Cr)'!C168:CB386,78,0)</f>
        <v>8.1600000000000006E-2</v>
      </c>
      <c r="H173" s="91">
        <f>VLOOKUP($A173,'Data Vlaue (Cr)'!$C:$FB,91)</f>
        <v>359</v>
      </c>
      <c r="I173" s="91">
        <f>VLOOKUP($A173,'Data Vlaue (Cr)'!$C:$FB,93)</f>
        <v>-22</v>
      </c>
      <c r="J173" s="92">
        <f>VLOOKUP($A173,'Data Vlaue (Cr)'!$C:$FB,94)</f>
        <v>-5.67E-2</v>
      </c>
      <c r="K173" s="91">
        <f>VLOOKUP($A173,'Data Vlaue (Cr)'!$C:$FB,95)</f>
        <v>324</v>
      </c>
      <c r="L173" s="91">
        <f>VLOOKUP($A173,'Data Vlaue (Cr)'!$C:$FB,97)</f>
        <v>53</v>
      </c>
      <c r="M173" s="92">
        <f>VLOOKUP($A173,'Data Vlaue (Cr)'!$C:$FB,98)</f>
        <v>0.19639999999999999</v>
      </c>
      <c r="N173" s="91">
        <f>VLOOKUP($A173,'Data Vlaue (Cr)'!$C:$FB,79)</f>
        <v>708</v>
      </c>
      <c r="O173" s="92">
        <f>VLOOKUP($A173,'Data Vlaue (Cr)'!$C:$FB,82)</f>
        <v>-0.31130000000000002</v>
      </c>
    </row>
    <row r="174" spans="1:15" x14ac:dyDescent="0.25">
      <c r="A174" s="97" t="str">
        <f>'Data Vlaue (Cr)'!C169</f>
        <v>POLYCAB</v>
      </c>
      <c r="B174" s="142">
        <f>VLOOKUP(A174,'Data Vlaue (Cr)'!C169:CW387,99,0)</f>
        <v>3573</v>
      </c>
      <c r="C174" s="90">
        <f>VLOOKUP(A174,'Data Vlaue (Cr)'!C169:CY387,101,0)</f>
        <v>-46</v>
      </c>
      <c r="D174" s="139">
        <f>VLOOKUP(A174,'Data Vlaue (Cr)'!C169:CZ387,102,0)</f>
        <v>-1.2800000000000001E-2</v>
      </c>
      <c r="E174" s="91">
        <f>VLOOKUP($A174,'Data Vlaue (Cr)'!$C:$FB,75)</f>
        <v>1531</v>
      </c>
      <c r="F174" s="91">
        <f>VLOOKUP($A174,'Data Vlaue (Cr)'!$C:$FB,77)</f>
        <v>-15</v>
      </c>
      <c r="G174" s="92">
        <f>VLOOKUP(A174,'Data Vlaue (Cr)'!C169:CB387,78,0)</f>
        <v>-0.01</v>
      </c>
      <c r="H174" s="91">
        <f>VLOOKUP($A174,'Data Vlaue (Cr)'!$C:$FB,91)</f>
        <v>1166</v>
      </c>
      <c r="I174" s="91">
        <f>VLOOKUP($A174,'Data Vlaue (Cr)'!$C:$FB,93)</f>
        <v>39</v>
      </c>
      <c r="J174" s="92">
        <f>VLOOKUP($A174,'Data Vlaue (Cr)'!$C:$FB,94)</f>
        <v>3.4200000000000001E-2</v>
      </c>
      <c r="K174" s="91">
        <f>VLOOKUP($A174,'Data Vlaue (Cr)'!$C:$FB,95)</f>
        <v>876</v>
      </c>
      <c r="L174" s="91">
        <f>VLOOKUP($A174,'Data Vlaue (Cr)'!$C:$FB,97)</f>
        <v>-69</v>
      </c>
      <c r="M174" s="92">
        <f>VLOOKUP($A174,'Data Vlaue (Cr)'!$C:$FB,98)</f>
        <v>-7.3300000000000004E-2</v>
      </c>
      <c r="N174" s="91">
        <f>VLOOKUP($A174,'Data Vlaue (Cr)'!$C:$FB,79)</f>
        <v>1092</v>
      </c>
      <c r="O174" s="92">
        <f>VLOOKUP($A174,'Data Vlaue (Cr)'!$C:$FB,82)</f>
        <v>-0.19980000000000001</v>
      </c>
    </row>
    <row r="175" spans="1:15" x14ac:dyDescent="0.25">
      <c r="A175" s="97" t="str">
        <f>'Data Vlaue (Cr)'!C170</f>
        <v>POWERGRID</v>
      </c>
      <c r="B175" s="142">
        <f>VLOOKUP(A175,'Data Vlaue (Cr)'!C170:CW388,99,0)</f>
        <v>4678</v>
      </c>
      <c r="C175" s="90">
        <f>VLOOKUP(A175,'Data Vlaue (Cr)'!C170:CY388,101,0)</f>
        <v>-73</v>
      </c>
      <c r="D175" s="139">
        <f>VLOOKUP(A175,'Data Vlaue (Cr)'!C170:CZ388,102,0)</f>
        <v>-1.5299999999999999E-2</v>
      </c>
      <c r="E175" s="91">
        <f>VLOOKUP($A175,'Data Vlaue (Cr)'!$C:$FB,75)</f>
        <v>2537</v>
      </c>
      <c r="F175" s="91">
        <f>VLOOKUP($A175,'Data Vlaue (Cr)'!$C:$FB,77)</f>
        <v>-60</v>
      </c>
      <c r="G175" s="92">
        <f>VLOOKUP(A175,'Data Vlaue (Cr)'!C170:CB388,78,0)</f>
        <v>-2.3E-2</v>
      </c>
      <c r="H175" s="91">
        <f>VLOOKUP($A175,'Data Vlaue (Cr)'!$C:$FB,91)</f>
        <v>1317</v>
      </c>
      <c r="I175" s="91">
        <f>VLOOKUP($A175,'Data Vlaue (Cr)'!$C:$FB,93)</f>
        <v>-1</v>
      </c>
      <c r="J175" s="92">
        <f>VLOOKUP($A175,'Data Vlaue (Cr)'!$C:$FB,94)</f>
        <v>-6.9999999999999999E-4</v>
      </c>
      <c r="K175" s="91">
        <f>VLOOKUP($A175,'Data Vlaue (Cr)'!$C:$FB,95)</f>
        <v>824</v>
      </c>
      <c r="L175" s="91">
        <f>VLOOKUP($A175,'Data Vlaue (Cr)'!$C:$FB,97)</f>
        <v>-12</v>
      </c>
      <c r="M175" s="92">
        <f>VLOOKUP($A175,'Data Vlaue (Cr)'!$C:$FB,98)</f>
        <v>-1.4800000000000001E-2</v>
      </c>
      <c r="N175" s="91">
        <f>VLOOKUP($A175,'Data Vlaue (Cr)'!$C:$FB,79)</f>
        <v>1394</v>
      </c>
      <c r="O175" s="92">
        <f>VLOOKUP($A175,'Data Vlaue (Cr)'!$C:$FB,82)</f>
        <v>-0.31419999999999998</v>
      </c>
    </row>
    <row r="176" spans="1:15" x14ac:dyDescent="0.25">
      <c r="A176" s="97" t="str">
        <f>'Data Vlaue (Cr)'!C171</f>
        <v>POWERINDIA</v>
      </c>
      <c r="B176" s="142">
        <f>VLOOKUP(A176,'Data Vlaue (Cr)'!C171:CW389,99,0)</f>
        <v>4119</v>
      </c>
      <c r="C176" s="90">
        <f>VLOOKUP(A176,'Data Vlaue (Cr)'!C171:CY389,101,0)</f>
        <v>528</v>
      </c>
      <c r="D176" s="139">
        <f>VLOOKUP(A176,'Data Vlaue (Cr)'!C171:CZ389,102,0)</f>
        <v>0.14710000000000001</v>
      </c>
      <c r="E176" s="91">
        <f>VLOOKUP($A176,'Data Vlaue (Cr)'!$C:$FB,75)</f>
        <v>1345</v>
      </c>
      <c r="F176" s="91">
        <f>VLOOKUP($A176,'Data Vlaue (Cr)'!$C:$FB,77)</f>
        <v>59</v>
      </c>
      <c r="G176" s="92">
        <f>VLOOKUP(A176,'Data Vlaue (Cr)'!C171:CB389,78,0)</f>
        <v>4.5999999999999999E-2</v>
      </c>
      <c r="H176" s="91">
        <f>VLOOKUP($A176,'Data Vlaue (Cr)'!$C:$FB,91)</f>
        <v>1149</v>
      </c>
      <c r="I176" s="91">
        <f>VLOOKUP($A176,'Data Vlaue (Cr)'!$C:$FB,93)</f>
        <v>160</v>
      </c>
      <c r="J176" s="92">
        <f>VLOOKUP($A176,'Data Vlaue (Cr)'!$C:$FB,94)</f>
        <v>0.16200000000000001</v>
      </c>
      <c r="K176" s="91">
        <f>VLOOKUP($A176,'Data Vlaue (Cr)'!$C:$FB,95)</f>
        <v>1625</v>
      </c>
      <c r="L176" s="91">
        <f>VLOOKUP($A176,'Data Vlaue (Cr)'!$C:$FB,97)</f>
        <v>309</v>
      </c>
      <c r="M176" s="92">
        <f>VLOOKUP($A176,'Data Vlaue (Cr)'!$C:$FB,98)</f>
        <v>0.23469999999999999</v>
      </c>
      <c r="N176" s="91">
        <f>VLOOKUP($A176,'Data Vlaue (Cr)'!$C:$FB,79)</f>
        <v>851</v>
      </c>
      <c r="O176" s="92">
        <f>VLOOKUP($A176,'Data Vlaue (Cr)'!$C:$FB,82)</f>
        <v>-0.2581</v>
      </c>
    </row>
    <row r="177" spans="1:15" x14ac:dyDescent="0.25">
      <c r="A177" s="97" t="str">
        <f>'Data Vlaue (Cr)'!C172</f>
        <v>PPLPHARMA</v>
      </c>
      <c r="B177" s="142">
        <f>VLOOKUP(A177,'Data Vlaue (Cr)'!C172:CW390,99,0)</f>
        <v>392</v>
      </c>
      <c r="C177" s="90">
        <f>VLOOKUP(A177,'Data Vlaue (Cr)'!C172:CY390,101,0)</f>
        <v>75</v>
      </c>
      <c r="D177" s="139">
        <f>VLOOKUP(A177,'Data Vlaue (Cr)'!C172:CZ390,102,0)</f>
        <v>0.23499999999999999</v>
      </c>
      <c r="E177" s="91">
        <f>VLOOKUP($A177,'Data Vlaue (Cr)'!$C:$FB,75)</f>
        <v>135</v>
      </c>
      <c r="F177" s="91">
        <f>VLOOKUP($A177,'Data Vlaue (Cr)'!$C:$FB,77)</f>
        <v>-33</v>
      </c>
      <c r="G177" s="92">
        <f>VLOOKUP(A177,'Data Vlaue (Cr)'!C172:CB390,78,0)</f>
        <v>-0.1986</v>
      </c>
      <c r="H177" s="91">
        <f>VLOOKUP($A177,'Data Vlaue (Cr)'!$C:$FB,91)</f>
        <v>143</v>
      </c>
      <c r="I177" s="91">
        <f>VLOOKUP($A177,'Data Vlaue (Cr)'!$C:$FB,93)</f>
        <v>50</v>
      </c>
      <c r="J177" s="92">
        <f>VLOOKUP($A177,'Data Vlaue (Cr)'!$C:$FB,94)</f>
        <v>0.53310000000000002</v>
      </c>
      <c r="K177" s="91">
        <f>VLOOKUP($A177,'Data Vlaue (Cr)'!$C:$FB,95)</f>
        <v>114</v>
      </c>
      <c r="L177" s="91">
        <f>VLOOKUP($A177,'Data Vlaue (Cr)'!$C:$FB,97)</f>
        <v>58</v>
      </c>
      <c r="M177" s="92">
        <f>VLOOKUP($A177,'Data Vlaue (Cr)'!$C:$FB,98)</f>
        <v>1.0430999999999999</v>
      </c>
      <c r="N177" s="91">
        <f>VLOOKUP($A177,'Data Vlaue (Cr)'!$C:$FB,79)</f>
        <v>135</v>
      </c>
      <c r="O177" s="92">
        <f>VLOOKUP($A177,'Data Vlaue (Cr)'!$C:$FB,82)</f>
        <v>-0.1986</v>
      </c>
    </row>
    <row r="178" spans="1:15" x14ac:dyDescent="0.25">
      <c r="A178" s="97" t="str">
        <f>'Data Vlaue (Cr)'!C173</f>
        <v>PREMIERENE</v>
      </c>
      <c r="B178" s="142">
        <f>VLOOKUP(A178,'Data Vlaue (Cr)'!C173:CW391,99,0)</f>
        <v>1700</v>
      </c>
      <c r="C178" s="90">
        <f>VLOOKUP(A178,'Data Vlaue (Cr)'!C173:CY391,101,0)</f>
        <v>-166</v>
      </c>
      <c r="D178" s="139">
        <f>VLOOKUP(A178,'Data Vlaue (Cr)'!C173:CZ391,102,0)</f>
        <v>-8.8800000000000004E-2</v>
      </c>
      <c r="E178" s="91">
        <f>VLOOKUP($A178,'Data Vlaue (Cr)'!$C:$FB,75)</f>
        <v>1237</v>
      </c>
      <c r="F178" s="91">
        <f>VLOOKUP($A178,'Data Vlaue (Cr)'!$C:$FB,77)</f>
        <v>-151</v>
      </c>
      <c r="G178" s="92">
        <f>VLOOKUP(A178,'Data Vlaue (Cr)'!C173:CB391,78,0)</f>
        <v>-0.109</v>
      </c>
      <c r="H178" s="91">
        <f>VLOOKUP($A178,'Data Vlaue (Cr)'!$C:$FB,91)</f>
        <v>277</v>
      </c>
      <c r="I178" s="91">
        <f>VLOOKUP($A178,'Data Vlaue (Cr)'!$C:$FB,93)</f>
        <v>-12</v>
      </c>
      <c r="J178" s="92">
        <f>VLOOKUP($A178,'Data Vlaue (Cr)'!$C:$FB,94)</f>
        <v>-4.0300000000000002E-2</v>
      </c>
      <c r="K178" s="91">
        <f>VLOOKUP($A178,'Data Vlaue (Cr)'!$C:$FB,95)</f>
        <v>186</v>
      </c>
      <c r="L178" s="91">
        <f>VLOOKUP($A178,'Data Vlaue (Cr)'!$C:$FB,97)</f>
        <v>-3</v>
      </c>
      <c r="M178" s="92">
        <f>VLOOKUP($A178,'Data Vlaue (Cr)'!$C:$FB,98)</f>
        <v>-1.4E-2</v>
      </c>
      <c r="N178" s="91">
        <f>VLOOKUP($A178,'Data Vlaue (Cr)'!$C:$FB,79)</f>
        <v>772</v>
      </c>
      <c r="O178" s="92">
        <f>VLOOKUP($A178,'Data Vlaue (Cr)'!$C:$FB,82)</f>
        <v>-0.27750000000000002</v>
      </c>
    </row>
    <row r="179" spans="1:15" x14ac:dyDescent="0.25">
      <c r="A179" s="97" t="str">
        <f>'Data Vlaue (Cr)'!C174</f>
        <v>PRESTIGE</v>
      </c>
      <c r="B179" s="142">
        <f>VLOOKUP(A179,'Data Vlaue (Cr)'!C174:CW392,99,0)</f>
        <v>1393</v>
      </c>
      <c r="C179" s="90">
        <f>VLOOKUP(A179,'Data Vlaue (Cr)'!C174:CY392,101,0)</f>
        <v>-31</v>
      </c>
      <c r="D179" s="139">
        <f>VLOOKUP(A179,'Data Vlaue (Cr)'!C174:CZ392,102,0)</f>
        <v>-2.1399999999999999E-2</v>
      </c>
      <c r="E179" s="91">
        <f>VLOOKUP($A179,'Data Vlaue (Cr)'!$C:$FB,75)</f>
        <v>899</v>
      </c>
      <c r="F179" s="91">
        <f>VLOOKUP($A179,'Data Vlaue (Cr)'!$C:$FB,77)</f>
        <v>-12</v>
      </c>
      <c r="G179" s="92">
        <f>VLOOKUP(A179,'Data Vlaue (Cr)'!C174:CB392,78,0)</f>
        <v>-1.3299999999999999E-2</v>
      </c>
      <c r="H179" s="91">
        <f>VLOOKUP($A179,'Data Vlaue (Cr)'!$C:$FB,91)</f>
        <v>284</v>
      </c>
      <c r="I179" s="91">
        <f>VLOOKUP($A179,'Data Vlaue (Cr)'!$C:$FB,93)</f>
        <v>-11</v>
      </c>
      <c r="J179" s="92">
        <f>VLOOKUP($A179,'Data Vlaue (Cr)'!$C:$FB,94)</f>
        <v>-3.6600000000000001E-2</v>
      </c>
      <c r="K179" s="91">
        <f>VLOOKUP($A179,'Data Vlaue (Cr)'!$C:$FB,95)</f>
        <v>210</v>
      </c>
      <c r="L179" s="91">
        <f>VLOOKUP($A179,'Data Vlaue (Cr)'!$C:$FB,97)</f>
        <v>-8</v>
      </c>
      <c r="M179" s="92">
        <f>VLOOKUP($A179,'Data Vlaue (Cr)'!$C:$FB,98)</f>
        <v>-3.4799999999999998E-2</v>
      </c>
      <c r="N179" s="91">
        <f>VLOOKUP($A179,'Data Vlaue (Cr)'!$C:$FB,79)</f>
        <v>618</v>
      </c>
      <c r="O179" s="92">
        <f>VLOOKUP($A179,'Data Vlaue (Cr)'!$C:$FB,82)</f>
        <v>-0.26529999999999998</v>
      </c>
    </row>
    <row r="180" spans="1:15" x14ac:dyDescent="0.25">
      <c r="A180" s="97" t="str">
        <f>'Data Vlaue (Cr)'!C175</f>
        <v>RBLBANK</v>
      </c>
      <c r="B180" s="142">
        <f>VLOOKUP(A180,'Data Vlaue (Cr)'!C175:CW393,99,0)</f>
        <v>3696</v>
      </c>
      <c r="C180" s="90">
        <f>VLOOKUP(A180,'Data Vlaue (Cr)'!C175:CY393,101,0)</f>
        <v>46</v>
      </c>
      <c r="D180" s="139">
        <f>VLOOKUP(A180,'Data Vlaue (Cr)'!C175:CZ393,102,0)</f>
        <v>1.26E-2</v>
      </c>
      <c r="E180" s="91">
        <f>VLOOKUP($A180,'Data Vlaue (Cr)'!$C:$FB,75)</f>
        <v>1875</v>
      </c>
      <c r="F180" s="91">
        <f>VLOOKUP($A180,'Data Vlaue (Cr)'!$C:$FB,77)</f>
        <v>8</v>
      </c>
      <c r="G180" s="92">
        <f>VLOOKUP(A180,'Data Vlaue (Cr)'!C175:CB393,78,0)</f>
        <v>4.1999999999999997E-3</v>
      </c>
      <c r="H180" s="91">
        <f>VLOOKUP($A180,'Data Vlaue (Cr)'!$C:$FB,91)</f>
        <v>967</v>
      </c>
      <c r="I180" s="91">
        <f>VLOOKUP($A180,'Data Vlaue (Cr)'!$C:$FB,93)</f>
        <v>16</v>
      </c>
      <c r="J180" s="92">
        <f>VLOOKUP($A180,'Data Vlaue (Cr)'!$C:$FB,94)</f>
        <v>1.6299999999999999E-2</v>
      </c>
      <c r="K180" s="91">
        <f>VLOOKUP($A180,'Data Vlaue (Cr)'!$C:$FB,95)</f>
        <v>854</v>
      </c>
      <c r="L180" s="91">
        <f>VLOOKUP($A180,'Data Vlaue (Cr)'!$C:$FB,97)</f>
        <v>23</v>
      </c>
      <c r="M180" s="92">
        <f>VLOOKUP($A180,'Data Vlaue (Cr)'!$C:$FB,98)</f>
        <v>2.7199999999999998E-2</v>
      </c>
      <c r="N180" s="91">
        <f>VLOOKUP($A180,'Data Vlaue (Cr)'!$C:$FB,79)</f>
        <v>1265</v>
      </c>
      <c r="O180" s="92">
        <f>VLOOKUP($A180,'Data Vlaue (Cr)'!$C:$FB,82)</f>
        <v>-0.21579999999999999</v>
      </c>
    </row>
    <row r="181" spans="1:15" x14ac:dyDescent="0.25">
      <c r="A181" s="97" t="str">
        <f>'Data Vlaue (Cr)'!C176</f>
        <v>RECLTD</v>
      </c>
      <c r="B181" s="142">
        <f>VLOOKUP(A181,'Data Vlaue (Cr)'!C176:CW394,99,0)</f>
        <v>4546</v>
      </c>
      <c r="C181" s="90">
        <f>VLOOKUP(A181,'Data Vlaue (Cr)'!C176:CY394,101,0)</f>
        <v>15</v>
      </c>
      <c r="D181" s="139">
        <f>VLOOKUP(A181,'Data Vlaue (Cr)'!C176:CZ394,102,0)</f>
        <v>3.2000000000000002E-3</v>
      </c>
      <c r="E181" s="91">
        <f>VLOOKUP($A181,'Data Vlaue (Cr)'!$C:$FB,75)</f>
        <v>2548</v>
      </c>
      <c r="F181" s="91">
        <f>VLOOKUP($A181,'Data Vlaue (Cr)'!$C:$FB,77)</f>
        <v>63</v>
      </c>
      <c r="G181" s="92">
        <f>VLOOKUP(A181,'Data Vlaue (Cr)'!C176:CB394,78,0)</f>
        <v>2.53E-2</v>
      </c>
      <c r="H181" s="91">
        <f>VLOOKUP($A181,'Data Vlaue (Cr)'!$C:$FB,91)</f>
        <v>1092</v>
      </c>
      <c r="I181" s="91">
        <f>VLOOKUP($A181,'Data Vlaue (Cr)'!$C:$FB,93)</f>
        <v>11</v>
      </c>
      <c r="J181" s="92">
        <f>VLOOKUP($A181,'Data Vlaue (Cr)'!$C:$FB,94)</f>
        <v>1.0200000000000001E-2</v>
      </c>
      <c r="K181" s="91">
        <f>VLOOKUP($A181,'Data Vlaue (Cr)'!$C:$FB,95)</f>
        <v>906</v>
      </c>
      <c r="L181" s="91">
        <f>VLOOKUP($A181,'Data Vlaue (Cr)'!$C:$FB,97)</f>
        <v>-59</v>
      </c>
      <c r="M181" s="92">
        <f>VLOOKUP($A181,'Data Vlaue (Cr)'!$C:$FB,98)</f>
        <v>-6.1600000000000002E-2</v>
      </c>
      <c r="N181" s="91">
        <f>VLOOKUP($A181,'Data Vlaue (Cr)'!$C:$FB,79)</f>
        <v>1608</v>
      </c>
      <c r="O181" s="92">
        <f>VLOOKUP($A181,'Data Vlaue (Cr)'!$C:$FB,82)</f>
        <v>-0.16470000000000001</v>
      </c>
    </row>
    <row r="182" spans="1:15" x14ac:dyDescent="0.25">
      <c r="A182" s="97" t="str">
        <f>'Data Vlaue (Cr)'!C177</f>
        <v>RELIANCE</v>
      </c>
      <c r="B182" s="142">
        <f>VLOOKUP(A182,'Data Vlaue (Cr)'!C177:CW395,99,0)</f>
        <v>30500</v>
      </c>
      <c r="C182" s="90">
        <f>VLOOKUP(A182,'Data Vlaue (Cr)'!C177:CY395,101,0)</f>
        <v>1189</v>
      </c>
      <c r="D182" s="139">
        <f>VLOOKUP(A182,'Data Vlaue (Cr)'!C177:CZ395,102,0)</f>
        <v>4.0599999999999997E-2</v>
      </c>
      <c r="E182" s="91">
        <f>VLOOKUP($A182,'Data Vlaue (Cr)'!$C:$FB,75)</f>
        <v>14020</v>
      </c>
      <c r="F182" s="91">
        <f>VLOOKUP($A182,'Data Vlaue (Cr)'!$C:$FB,77)</f>
        <v>375</v>
      </c>
      <c r="G182" s="92">
        <f>VLOOKUP(A182,'Data Vlaue (Cr)'!C177:CB395,78,0)</f>
        <v>2.75E-2</v>
      </c>
      <c r="H182" s="91">
        <f>VLOOKUP($A182,'Data Vlaue (Cr)'!$C:$FB,91)</f>
        <v>10917</v>
      </c>
      <c r="I182" s="91">
        <f>VLOOKUP($A182,'Data Vlaue (Cr)'!$C:$FB,93)</f>
        <v>424</v>
      </c>
      <c r="J182" s="92">
        <f>VLOOKUP($A182,'Data Vlaue (Cr)'!$C:$FB,94)</f>
        <v>4.0399999999999998E-2</v>
      </c>
      <c r="K182" s="91">
        <f>VLOOKUP($A182,'Data Vlaue (Cr)'!$C:$FB,95)</f>
        <v>5563</v>
      </c>
      <c r="L182" s="91">
        <f>VLOOKUP($A182,'Data Vlaue (Cr)'!$C:$FB,97)</f>
        <v>390</v>
      </c>
      <c r="M182" s="92">
        <f>VLOOKUP($A182,'Data Vlaue (Cr)'!$C:$FB,98)</f>
        <v>7.5399999999999995E-2</v>
      </c>
      <c r="N182" s="91">
        <f>VLOOKUP($A182,'Data Vlaue (Cr)'!$C:$FB,79)</f>
        <v>7168</v>
      </c>
      <c r="O182" s="92">
        <f>VLOOKUP($A182,'Data Vlaue (Cr)'!$C:$FB,82)</f>
        <v>-0.2208</v>
      </c>
    </row>
    <row r="183" spans="1:15" x14ac:dyDescent="0.25">
      <c r="A183" s="97" t="str">
        <f>'Data Vlaue (Cr)'!C178</f>
        <v>RVNL</v>
      </c>
      <c r="B183" s="142">
        <f>VLOOKUP(A183,'Data Vlaue (Cr)'!C178:CW396,99,0)</f>
        <v>3086</v>
      </c>
      <c r="C183" s="90">
        <f>VLOOKUP(A183,'Data Vlaue (Cr)'!C178:CY396,101,0)</f>
        <v>-307</v>
      </c>
      <c r="D183" s="139">
        <f>VLOOKUP(A183,'Data Vlaue (Cr)'!C178:CZ396,102,0)</f>
        <v>-9.06E-2</v>
      </c>
      <c r="E183" s="91">
        <f>VLOOKUP($A183,'Data Vlaue (Cr)'!$C:$FB,75)</f>
        <v>1851</v>
      </c>
      <c r="F183" s="91">
        <f>VLOOKUP($A183,'Data Vlaue (Cr)'!$C:$FB,77)</f>
        <v>-336</v>
      </c>
      <c r="G183" s="92">
        <f>VLOOKUP(A183,'Data Vlaue (Cr)'!C178:CB396,78,0)</f>
        <v>-0.15359999999999999</v>
      </c>
      <c r="H183" s="91">
        <f>VLOOKUP($A183,'Data Vlaue (Cr)'!$C:$FB,91)</f>
        <v>709</v>
      </c>
      <c r="I183" s="91">
        <f>VLOOKUP($A183,'Data Vlaue (Cr)'!$C:$FB,93)</f>
        <v>19</v>
      </c>
      <c r="J183" s="92">
        <f>VLOOKUP($A183,'Data Vlaue (Cr)'!$C:$FB,94)</f>
        <v>2.6800000000000001E-2</v>
      </c>
      <c r="K183" s="91">
        <f>VLOOKUP($A183,'Data Vlaue (Cr)'!$C:$FB,95)</f>
        <v>525</v>
      </c>
      <c r="L183" s="91">
        <f>VLOOKUP($A183,'Data Vlaue (Cr)'!$C:$FB,97)</f>
        <v>10</v>
      </c>
      <c r="M183" s="92">
        <f>VLOOKUP($A183,'Data Vlaue (Cr)'!$C:$FB,98)</f>
        <v>1.9599999999999999E-2</v>
      </c>
      <c r="N183" s="91">
        <f>VLOOKUP($A183,'Data Vlaue (Cr)'!$C:$FB,79)</f>
        <v>864</v>
      </c>
      <c r="O183" s="92">
        <f>VLOOKUP($A183,'Data Vlaue (Cr)'!$C:$FB,82)</f>
        <v>-0.4279</v>
      </c>
    </row>
    <row r="184" spans="1:15" x14ac:dyDescent="0.25">
      <c r="A184" s="97" t="str">
        <f>'Data Vlaue (Cr)'!C179</f>
        <v>SAIL</v>
      </c>
      <c r="B184" s="142">
        <f>VLOOKUP(A184,'Data Vlaue (Cr)'!C179:CW397,99,0)</f>
        <v>3744</v>
      </c>
      <c r="C184" s="90">
        <f>VLOOKUP(A184,'Data Vlaue (Cr)'!C179:CY397,101,0)</f>
        <v>0</v>
      </c>
      <c r="D184" s="139">
        <f>VLOOKUP(A184,'Data Vlaue (Cr)'!C179:CZ397,102,0)</f>
        <v>1E-4</v>
      </c>
      <c r="E184" s="91">
        <f>VLOOKUP($A184,'Data Vlaue (Cr)'!$C:$FB,75)</f>
        <v>3428</v>
      </c>
      <c r="F184" s="91">
        <f>VLOOKUP($A184,'Data Vlaue (Cr)'!$C:$FB,77)</f>
        <v>-2</v>
      </c>
      <c r="G184" s="92">
        <f>VLOOKUP(A184,'Data Vlaue (Cr)'!C179:CB397,78,0)</f>
        <v>-5.0000000000000001E-4</v>
      </c>
      <c r="H184" s="91">
        <f>VLOOKUP($A184,'Data Vlaue (Cr)'!$C:$FB,91)</f>
        <v>173</v>
      </c>
      <c r="I184" s="91">
        <f>VLOOKUP($A184,'Data Vlaue (Cr)'!$C:$FB,93)</f>
        <v>-3</v>
      </c>
      <c r="J184" s="92">
        <f>VLOOKUP($A184,'Data Vlaue (Cr)'!$C:$FB,94)</f>
        <v>-1.9300000000000001E-2</v>
      </c>
      <c r="K184" s="91">
        <f>VLOOKUP($A184,'Data Vlaue (Cr)'!$C:$FB,95)</f>
        <v>143</v>
      </c>
      <c r="L184" s="91">
        <f>VLOOKUP($A184,'Data Vlaue (Cr)'!$C:$FB,97)</f>
        <v>5</v>
      </c>
      <c r="M184" s="92">
        <f>VLOOKUP($A184,'Data Vlaue (Cr)'!$C:$FB,98)</f>
        <v>3.7900000000000003E-2</v>
      </c>
      <c r="N184" s="91">
        <f>VLOOKUP($A184,'Data Vlaue (Cr)'!$C:$FB,79)</f>
        <v>2761</v>
      </c>
      <c r="O184" s="92">
        <f>VLOOKUP($A184,'Data Vlaue (Cr)'!$C:$FB,82)</f>
        <v>-1.47E-2</v>
      </c>
    </row>
    <row r="185" spans="1:15" x14ac:dyDescent="0.25">
      <c r="A185" s="97" t="str">
        <f>'Data Vlaue (Cr)'!C180</f>
        <v>SAMMAANCAP</v>
      </c>
      <c r="B185" s="142">
        <f>VLOOKUP(A185,'Data Vlaue (Cr)'!C180:CW398,99,0)</f>
        <v>2043</v>
      </c>
      <c r="C185" s="90">
        <f>VLOOKUP(A185,'Data Vlaue (Cr)'!C180:CY398,101,0)</f>
        <v>-9</v>
      </c>
      <c r="D185" s="139">
        <f>VLOOKUP(A185,'Data Vlaue (Cr)'!C180:CZ398,102,0)</f>
        <v>-4.1000000000000003E-3</v>
      </c>
      <c r="E185" s="91">
        <f>VLOOKUP($A185,'Data Vlaue (Cr)'!$C:$FB,75)</f>
        <v>1507</v>
      </c>
      <c r="F185" s="91">
        <f>VLOOKUP($A185,'Data Vlaue (Cr)'!$C:$FB,77)</f>
        <v>-9</v>
      </c>
      <c r="G185" s="92">
        <f>VLOOKUP(A185,'Data Vlaue (Cr)'!C180:CB398,78,0)</f>
        <v>-5.8999999999999999E-3</v>
      </c>
      <c r="H185" s="91">
        <f>VLOOKUP($A185,'Data Vlaue (Cr)'!$C:$FB,91)</f>
        <v>292</v>
      </c>
      <c r="I185" s="91">
        <f>VLOOKUP($A185,'Data Vlaue (Cr)'!$C:$FB,93)</f>
        <v>0</v>
      </c>
      <c r="J185" s="92">
        <f>VLOOKUP($A185,'Data Vlaue (Cr)'!$C:$FB,94)</f>
        <v>-2.0000000000000001E-4</v>
      </c>
      <c r="K185" s="91">
        <f>VLOOKUP($A185,'Data Vlaue (Cr)'!$C:$FB,95)</f>
        <v>244</v>
      </c>
      <c r="L185" s="91">
        <f>VLOOKUP($A185,'Data Vlaue (Cr)'!$C:$FB,97)</f>
        <v>0</v>
      </c>
      <c r="M185" s="92">
        <f>VLOOKUP($A185,'Data Vlaue (Cr)'!$C:$FB,98)</f>
        <v>1.8E-3</v>
      </c>
      <c r="N185" s="91">
        <f>VLOOKUP($A185,'Data Vlaue (Cr)'!$C:$FB,79)</f>
        <v>830</v>
      </c>
      <c r="O185" s="92">
        <f>VLOOKUP($A185,'Data Vlaue (Cr)'!$C:$FB,82)</f>
        <v>-0.1923</v>
      </c>
    </row>
    <row r="186" spans="1:15" x14ac:dyDescent="0.25">
      <c r="A186" s="97" t="str">
        <f>'Data Vlaue (Cr)'!C181</f>
        <v>SBICARD</v>
      </c>
      <c r="B186" s="142">
        <f>VLOOKUP(A186,'Data Vlaue (Cr)'!C181:CW399,99,0)</f>
        <v>3065</v>
      </c>
      <c r="C186" s="90">
        <f>VLOOKUP(A186,'Data Vlaue (Cr)'!C181:CY399,101,0)</f>
        <v>-214</v>
      </c>
      <c r="D186" s="139">
        <f>VLOOKUP(A186,'Data Vlaue (Cr)'!C181:CZ399,102,0)</f>
        <v>-6.5199999999999994E-2</v>
      </c>
      <c r="E186" s="91">
        <f>VLOOKUP($A186,'Data Vlaue (Cr)'!$C:$FB,75)</f>
        <v>1963</v>
      </c>
      <c r="F186" s="91">
        <f>VLOOKUP($A186,'Data Vlaue (Cr)'!$C:$FB,77)</f>
        <v>-183</v>
      </c>
      <c r="G186" s="92">
        <f>VLOOKUP(A186,'Data Vlaue (Cr)'!C181:CB399,78,0)</f>
        <v>-8.5400000000000004E-2</v>
      </c>
      <c r="H186" s="91">
        <f>VLOOKUP($A186,'Data Vlaue (Cr)'!$C:$FB,91)</f>
        <v>580</v>
      </c>
      <c r="I186" s="91">
        <f>VLOOKUP($A186,'Data Vlaue (Cr)'!$C:$FB,93)</f>
        <v>-32</v>
      </c>
      <c r="J186" s="92">
        <f>VLOOKUP($A186,'Data Vlaue (Cr)'!$C:$FB,94)</f>
        <v>-5.1700000000000003E-2</v>
      </c>
      <c r="K186" s="91">
        <f>VLOOKUP($A186,'Data Vlaue (Cr)'!$C:$FB,95)</f>
        <v>522</v>
      </c>
      <c r="L186" s="91">
        <f>VLOOKUP($A186,'Data Vlaue (Cr)'!$C:$FB,97)</f>
        <v>1</v>
      </c>
      <c r="M186" s="92">
        <f>VLOOKUP($A186,'Data Vlaue (Cr)'!$C:$FB,98)</f>
        <v>2.2000000000000001E-3</v>
      </c>
      <c r="N186" s="91">
        <f>VLOOKUP($A186,'Data Vlaue (Cr)'!$C:$FB,79)</f>
        <v>1298</v>
      </c>
      <c r="O186" s="92">
        <f>VLOOKUP($A186,'Data Vlaue (Cr)'!$C:$FB,82)</f>
        <v>-0.22620000000000001</v>
      </c>
    </row>
    <row r="187" spans="1:15" x14ac:dyDescent="0.25">
      <c r="A187" s="97" t="str">
        <f>'Data Vlaue (Cr)'!C182</f>
        <v>SBILIFE</v>
      </c>
      <c r="B187" s="142">
        <f>VLOOKUP(A187,'Data Vlaue (Cr)'!C182:CW400,99,0)</f>
        <v>4401</v>
      </c>
      <c r="C187" s="90">
        <f>VLOOKUP(A187,'Data Vlaue (Cr)'!C182:CY400,101,0)</f>
        <v>198</v>
      </c>
      <c r="D187" s="139">
        <f>VLOOKUP(A187,'Data Vlaue (Cr)'!C182:CZ400,102,0)</f>
        <v>4.7199999999999999E-2</v>
      </c>
      <c r="E187" s="91">
        <f>VLOOKUP($A187,'Data Vlaue (Cr)'!$C:$FB,75)</f>
        <v>2419</v>
      </c>
      <c r="F187" s="91">
        <f>VLOOKUP($A187,'Data Vlaue (Cr)'!$C:$FB,77)</f>
        <v>134</v>
      </c>
      <c r="G187" s="92">
        <f>VLOOKUP(A187,'Data Vlaue (Cr)'!C182:CB400,78,0)</f>
        <v>5.8700000000000002E-2</v>
      </c>
      <c r="H187" s="91">
        <f>VLOOKUP($A187,'Data Vlaue (Cr)'!$C:$FB,91)</f>
        <v>1359</v>
      </c>
      <c r="I187" s="91">
        <f>VLOOKUP($A187,'Data Vlaue (Cr)'!$C:$FB,93)</f>
        <v>120</v>
      </c>
      <c r="J187" s="92">
        <f>VLOOKUP($A187,'Data Vlaue (Cr)'!$C:$FB,94)</f>
        <v>9.69E-2</v>
      </c>
      <c r="K187" s="91">
        <f>VLOOKUP($A187,'Data Vlaue (Cr)'!$C:$FB,95)</f>
        <v>622</v>
      </c>
      <c r="L187" s="91">
        <f>VLOOKUP($A187,'Data Vlaue (Cr)'!$C:$FB,97)</f>
        <v>-56</v>
      </c>
      <c r="M187" s="92">
        <f>VLOOKUP($A187,'Data Vlaue (Cr)'!$C:$FB,98)</f>
        <v>-8.2199999999999995E-2</v>
      </c>
      <c r="N187" s="91">
        <f>VLOOKUP($A187,'Data Vlaue (Cr)'!$C:$FB,79)</f>
        <v>1453</v>
      </c>
      <c r="O187" s="92">
        <f>VLOOKUP($A187,'Data Vlaue (Cr)'!$C:$FB,82)</f>
        <v>-0.14749999999999999</v>
      </c>
    </row>
    <row r="188" spans="1:15" x14ac:dyDescent="0.25">
      <c r="A188" s="97" t="str">
        <f>'Data Vlaue (Cr)'!C183</f>
        <v>SBIN</v>
      </c>
      <c r="B188" s="142">
        <f>VLOOKUP(A188,'Data Vlaue (Cr)'!C183:CW401,99,0)</f>
        <v>19472</v>
      </c>
      <c r="C188" s="90">
        <f>VLOOKUP(A188,'Data Vlaue (Cr)'!C183:CY401,101,0)</f>
        <v>113</v>
      </c>
      <c r="D188" s="139">
        <f>VLOOKUP(A188,'Data Vlaue (Cr)'!C183:CZ401,102,0)</f>
        <v>5.7999999999999996E-3</v>
      </c>
      <c r="E188" s="91">
        <f>VLOOKUP($A188,'Data Vlaue (Cr)'!$C:$FB,75)</f>
        <v>9637</v>
      </c>
      <c r="F188" s="91">
        <f>VLOOKUP($A188,'Data Vlaue (Cr)'!$C:$FB,77)</f>
        <v>269</v>
      </c>
      <c r="G188" s="92">
        <f>VLOOKUP(A188,'Data Vlaue (Cr)'!C183:CB401,78,0)</f>
        <v>2.87E-2</v>
      </c>
      <c r="H188" s="91">
        <f>VLOOKUP($A188,'Data Vlaue (Cr)'!$C:$FB,91)</f>
        <v>5479</v>
      </c>
      <c r="I188" s="91">
        <f>VLOOKUP($A188,'Data Vlaue (Cr)'!$C:$FB,93)</f>
        <v>24</v>
      </c>
      <c r="J188" s="92">
        <f>VLOOKUP($A188,'Data Vlaue (Cr)'!$C:$FB,94)</f>
        <v>4.3E-3</v>
      </c>
      <c r="K188" s="91">
        <f>VLOOKUP($A188,'Data Vlaue (Cr)'!$C:$FB,95)</f>
        <v>4356</v>
      </c>
      <c r="L188" s="91">
        <f>VLOOKUP($A188,'Data Vlaue (Cr)'!$C:$FB,97)</f>
        <v>-180</v>
      </c>
      <c r="M188" s="92">
        <f>VLOOKUP($A188,'Data Vlaue (Cr)'!$C:$FB,98)</f>
        <v>-3.9600000000000003E-2</v>
      </c>
      <c r="N188" s="91">
        <f>VLOOKUP($A188,'Data Vlaue (Cr)'!$C:$FB,79)</f>
        <v>5784</v>
      </c>
      <c r="O188" s="92">
        <f>VLOOKUP($A188,'Data Vlaue (Cr)'!$C:$FB,82)</f>
        <v>-0.19189999999999999</v>
      </c>
    </row>
    <row r="189" spans="1:15" x14ac:dyDescent="0.25">
      <c r="A189" s="97" t="str">
        <f>'Data Vlaue (Cr)'!C184</f>
        <v>SHREECEM</v>
      </c>
      <c r="B189" s="142">
        <f>VLOOKUP(A189,'Data Vlaue (Cr)'!C184:CW402,99,0)</f>
        <v>1336</v>
      </c>
      <c r="C189" s="90">
        <f>VLOOKUP(A189,'Data Vlaue (Cr)'!C184:CY402,101,0)</f>
        <v>26</v>
      </c>
      <c r="D189" s="139">
        <f>VLOOKUP(A189,'Data Vlaue (Cr)'!C184:CZ402,102,0)</f>
        <v>2.0199999999999999E-2</v>
      </c>
      <c r="E189" s="91">
        <f>VLOOKUP($A189,'Data Vlaue (Cr)'!$C:$FB,75)</f>
        <v>1020</v>
      </c>
      <c r="F189" s="91">
        <f>VLOOKUP($A189,'Data Vlaue (Cr)'!$C:$FB,77)</f>
        <v>8</v>
      </c>
      <c r="G189" s="92">
        <f>VLOOKUP(A189,'Data Vlaue (Cr)'!C184:CB402,78,0)</f>
        <v>8.3000000000000001E-3</v>
      </c>
      <c r="H189" s="91">
        <f>VLOOKUP($A189,'Data Vlaue (Cr)'!$C:$FB,91)</f>
        <v>181</v>
      </c>
      <c r="I189" s="91">
        <f>VLOOKUP($A189,'Data Vlaue (Cr)'!$C:$FB,93)</f>
        <v>16</v>
      </c>
      <c r="J189" s="92">
        <f>VLOOKUP($A189,'Data Vlaue (Cr)'!$C:$FB,94)</f>
        <v>9.9299999999999999E-2</v>
      </c>
      <c r="K189" s="91">
        <f>VLOOKUP($A189,'Data Vlaue (Cr)'!$C:$FB,95)</f>
        <v>136</v>
      </c>
      <c r="L189" s="91">
        <f>VLOOKUP($A189,'Data Vlaue (Cr)'!$C:$FB,97)</f>
        <v>2</v>
      </c>
      <c r="M189" s="92">
        <f>VLOOKUP($A189,'Data Vlaue (Cr)'!$C:$FB,98)</f>
        <v>1.2800000000000001E-2</v>
      </c>
      <c r="N189" s="91">
        <f>VLOOKUP($A189,'Data Vlaue (Cr)'!$C:$FB,79)</f>
        <v>682</v>
      </c>
      <c r="O189" s="92">
        <f>VLOOKUP($A189,'Data Vlaue (Cr)'!$C:$FB,82)</f>
        <v>-0.27400000000000002</v>
      </c>
    </row>
    <row r="190" spans="1:15" x14ac:dyDescent="0.25">
      <c r="A190" s="97" t="str">
        <f>'Data Vlaue (Cr)'!C185</f>
        <v>SHRIRAMFIN</v>
      </c>
      <c r="B190" s="142">
        <f>VLOOKUP(A190,'Data Vlaue (Cr)'!C185:CW403,99,0)</f>
        <v>6650</v>
      </c>
      <c r="C190" s="90">
        <f>VLOOKUP(A190,'Data Vlaue (Cr)'!C185:CY403,101,0)</f>
        <v>156</v>
      </c>
      <c r="D190" s="139">
        <f>VLOOKUP(A190,'Data Vlaue (Cr)'!C185:CZ403,102,0)</f>
        <v>2.4E-2</v>
      </c>
      <c r="E190" s="91">
        <f>VLOOKUP($A190,'Data Vlaue (Cr)'!$C:$FB,75)</f>
        <v>4040</v>
      </c>
      <c r="F190" s="91">
        <f>VLOOKUP($A190,'Data Vlaue (Cr)'!$C:$FB,77)</f>
        <v>50</v>
      </c>
      <c r="G190" s="92">
        <f>VLOOKUP(A190,'Data Vlaue (Cr)'!C185:CB403,78,0)</f>
        <v>1.24E-2</v>
      </c>
      <c r="H190" s="91">
        <f>VLOOKUP($A190,'Data Vlaue (Cr)'!$C:$FB,91)</f>
        <v>1535</v>
      </c>
      <c r="I190" s="91">
        <f>VLOOKUP($A190,'Data Vlaue (Cr)'!$C:$FB,93)</f>
        <v>80</v>
      </c>
      <c r="J190" s="92">
        <f>VLOOKUP($A190,'Data Vlaue (Cr)'!$C:$FB,94)</f>
        <v>5.5E-2</v>
      </c>
      <c r="K190" s="91">
        <f>VLOOKUP($A190,'Data Vlaue (Cr)'!$C:$FB,95)</f>
        <v>1075</v>
      </c>
      <c r="L190" s="91">
        <f>VLOOKUP($A190,'Data Vlaue (Cr)'!$C:$FB,97)</f>
        <v>26</v>
      </c>
      <c r="M190" s="92">
        <f>VLOOKUP($A190,'Data Vlaue (Cr)'!$C:$FB,98)</f>
        <v>2.5000000000000001E-2</v>
      </c>
      <c r="N190" s="91">
        <f>VLOOKUP($A190,'Data Vlaue (Cr)'!$C:$FB,79)</f>
        <v>2208</v>
      </c>
      <c r="O190" s="92">
        <f>VLOOKUP($A190,'Data Vlaue (Cr)'!$C:$FB,82)</f>
        <v>-0.25469999999999998</v>
      </c>
    </row>
    <row r="191" spans="1:15" x14ac:dyDescent="0.25">
      <c r="A191" s="97" t="str">
        <f>'Data Vlaue (Cr)'!C186</f>
        <v>SIEMENS</v>
      </c>
      <c r="B191" s="142">
        <f>VLOOKUP(A191,'Data Vlaue (Cr)'!C186:CW404,99,0)</f>
        <v>2645</v>
      </c>
      <c r="C191" s="90">
        <f>VLOOKUP(A191,'Data Vlaue (Cr)'!C186:CY404,101,0)</f>
        <v>-69</v>
      </c>
      <c r="D191" s="139">
        <f>VLOOKUP(A191,'Data Vlaue (Cr)'!C186:CZ404,102,0)</f>
        <v>-2.5499999999999998E-2</v>
      </c>
      <c r="E191" s="91">
        <f>VLOOKUP($A191,'Data Vlaue (Cr)'!$C:$FB,75)</f>
        <v>1339</v>
      </c>
      <c r="F191" s="91">
        <f>VLOOKUP($A191,'Data Vlaue (Cr)'!$C:$FB,77)</f>
        <v>-113</v>
      </c>
      <c r="G191" s="92">
        <f>VLOOKUP(A191,'Data Vlaue (Cr)'!C186:CB404,78,0)</f>
        <v>-7.7600000000000002E-2</v>
      </c>
      <c r="H191" s="91">
        <f>VLOOKUP($A191,'Data Vlaue (Cr)'!$C:$FB,91)</f>
        <v>713</v>
      </c>
      <c r="I191" s="91">
        <f>VLOOKUP($A191,'Data Vlaue (Cr)'!$C:$FB,93)</f>
        <v>69</v>
      </c>
      <c r="J191" s="92">
        <f>VLOOKUP($A191,'Data Vlaue (Cr)'!$C:$FB,94)</f>
        <v>0.10780000000000001</v>
      </c>
      <c r="K191" s="91">
        <f>VLOOKUP($A191,'Data Vlaue (Cr)'!$C:$FB,95)</f>
        <v>593</v>
      </c>
      <c r="L191" s="91">
        <f>VLOOKUP($A191,'Data Vlaue (Cr)'!$C:$FB,97)</f>
        <v>-26</v>
      </c>
      <c r="M191" s="92">
        <f>VLOOKUP($A191,'Data Vlaue (Cr)'!$C:$FB,98)</f>
        <v>-4.2200000000000001E-2</v>
      </c>
      <c r="N191" s="91">
        <f>VLOOKUP($A191,'Data Vlaue (Cr)'!$C:$FB,79)</f>
        <v>867</v>
      </c>
      <c r="O191" s="92">
        <f>VLOOKUP($A191,'Data Vlaue (Cr)'!$C:$FB,82)</f>
        <v>-0.28889999999999999</v>
      </c>
    </row>
    <row r="192" spans="1:15" x14ac:dyDescent="0.25">
      <c r="A192" s="97" t="str">
        <f>'Data Vlaue (Cr)'!C187</f>
        <v>SOLARINDS</v>
      </c>
      <c r="B192" s="142">
        <f>VLOOKUP(A192,'Data Vlaue (Cr)'!C187:CW405,99,0)</f>
        <v>2232</v>
      </c>
      <c r="C192" s="90">
        <f>VLOOKUP(A192,'Data Vlaue (Cr)'!C187:CY405,101,0)</f>
        <v>-24</v>
      </c>
      <c r="D192" s="139">
        <f>VLOOKUP(A192,'Data Vlaue (Cr)'!C187:CZ405,102,0)</f>
        <v>-1.06E-2</v>
      </c>
      <c r="E192" s="91">
        <f>VLOOKUP($A192,'Data Vlaue (Cr)'!$C:$FB,75)</f>
        <v>1209</v>
      </c>
      <c r="F192" s="91">
        <f>VLOOKUP($A192,'Data Vlaue (Cr)'!$C:$FB,77)</f>
        <v>-56</v>
      </c>
      <c r="G192" s="92">
        <f>VLOOKUP(A192,'Data Vlaue (Cr)'!C187:CB405,78,0)</f>
        <v>-4.4600000000000001E-2</v>
      </c>
      <c r="H192" s="91">
        <f>VLOOKUP($A192,'Data Vlaue (Cr)'!$C:$FB,91)</f>
        <v>551</v>
      </c>
      <c r="I192" s="91">
        <f>VLOOKUP($A192,'Data Vlaue (Cr)'!$C:$FB,93)</f>
        <v>-77</v>
      </c>
      <c r="J192" s="92">
        <f>VLOOKUP($A192,'Data Vlaue (Cr)'!$C:$FB,94)</f>
        <v>-0.1232</v>
      </c>
      <c r="K192" s="91">
        <f>VLOOKUP($A192,'Data Vlaue (Cr)'!$C:$FB,95)</f>
        <v>472</v>
      </c>
      <c r="L192" s="91">
        <f>VLOOKUP($A192,'Data Vlaue (Cr)'!$C:$FB,97)</f>
        <v>110</v>
      </c>
      <c r="M192" s="92">
        <f>VLOOKUP($A192,'Data Vlaue (Cr)'!$C:$FB,98)</f>
        <v>0.30370000000000003</v>
      </c>
      <c r="N192" s="91">
        <f>VLOOKUP($A192,'Data Vlaue (Cr)'!$C:$FB,79)</f>
        <v>699</v>
      </c>
      <c r="O192" s="92">
        <f>VLOOKUP($A192,'Data Vlaue (Cr)'!$C:$FB,82)</f>
        <v>-0.31119999999999998</v>
      </c>
    </row>
    <row r="193" spans="1:15" x14ac:dyDescent="0.25">
      <c r="A193" s="97" t="str">
        <f>'Data Vlaue (Cr)'!C188</f>
        <v>SONACOMS</v>
      </c>
      <c r="B193" s="142">
        <f>VLOOKUP(A193,'Data Vlaue (Cr)'!C188:CW406,99,0)</f>
        <v>1254</v>
      </c>
      <c r="C193" s="90">
        <f>VLOOKUP(A193,'Data Vlaue (Cr)'!C188:CY406,101,0)</f>
        <v>-12</v>
      </c>
      <c r="D193" s="139">
        <f>VLOOKUP(A193,'Data Vlaue (Cr)'!C188:CZ406,102,0)</f>
        <v>-9.2999999999999992E-3</v>
      </c>
      <c r="E193" s="91">
        <f>VLOOKUP($A193,'Data Vlaue (Cr)'!$C:$FB,75)</f>
        <v>819</v>
      </c>
      <c r="F193" s="91">
        <f>VLOOKUP($A193,'Data Vlaue (Cr)'!$C:$FB,77)</f>
        <v>-11</v>
      </c>
      <c r="G193" s="92">
        <f>VLOOKUP(A193,'Data Vlaue (Cr)'!C188:CB406,78,0)</f>
        <v>-1.38E-2</v>
      </c>
      <c r="H193" s="91">
        <f>VLOOKUP($A193,'Data Vlaue (Cr)'!$C:$FB,91)</f>
        <v>257</v>
      </c>
      <c r="I193" s="91">
        <f>VLOOKUP($A193,'Data Vlaue (Cr)'!$C:$FB,93)</f>
        <v>4</v>
      </c>
      <c r="J193" s="92">
        <f>VLOOKUP($A193,'Data Vlaue (Cr)'!$C:$FB,94)</f>
        <v>1.3899999999999999E-2</v>
      </c>
      <c r="K193" s="91">
        <f>VLOOKUP($A193,'Data Vlaue (Cr)'!$C:$FB,95)</f>
        <v>178</v>
      </c>
      <c r="L193" s="91">
        <f>VLOOKUP($A193,'Data Vlaue (Cr)'!$C:$FB,97)</f>
        <v>-4</v>
      </c>
      <c r="M193" s="92">
        <f>VLOOKUP($A193,'Data Vlaue (Cr)'!$C:$FB,98)</f>
        <v>-2.12E-2</v>
      </c>
      <c r="N193" s="91">
        <f>VLOOKUP($A193,'Data Vlaue (Cr)'!$C:$FB,79)</f>
        <v>630</v>
      </c>
      <c r="O193" s="92">
        <f>VLOOKUP($A193,'Data Vlaue (Cr)'!$C:$FB,82)</f>
        <v>-0.18559999999999999</v>
      </c>
    </row>
    <row r="194" spans="1:15" x14ac:dyDescent="0.25">
      <c r="A194" s="97" t="str">
        <f>'Data Vlaue (Cr)'!C189</f>
        <v>SRF</v>
      </c>
      <c r="B194" s="142">
        <f>VLOOKUP(A194,'Data Vlaue (Cr)'!C189:CW407,99,0)</f>
        <v>1847</v>
      </c>
      <c r="C194" s="90">
        <f>VLOOKUP(A194,'Data Vlaue (Cr)'!C189:CY407,101,0)</f>
        <v>-109</v>
      </c>
      <c r="D194" s="139">
        <f>VLOOKUP(A194,'Data Vlaue (Cr)'!C189:CZ407,102,0)</f>
        <v>-5.6000000000000001E-2</v>
      </c>
      <c r="E194" s="91">
        <f>VLOOKUP($A194,'Data Vlaue (Cr)'!$C:$FB,75)</f>
        <v>981</v>
      </c>
      <c r="F194" s="91">
        <f>VLOOKUP($A194,'Data Vlaue (Cr)'!$C:$FB,77)</f>
        <v>-119</v>
      </c>
      <c r="G194" s="92">
        <f>VLOOKUP(A194,'Data Vlaue (Cr)'!C189:CB407,78,0)</f>
        <v>-0.10780000000000001</v>
      </c>
      <c r="H194" s="91">
        <f>VLOOKUP($A194,'Data Vlaue (Cr)'!$C:$FB,91)</f>
        <v>546</v>
      </c>
      <c r="I194" s="91">
        <f>VLOOKUP($A194,'Data Vlaue (Cr)'!$C:$FB,93)</f>
        <v>-13</v>
      </c>
      <c r="J194" s="92">
        <f>VLOOKUP($A194,'Data Vlaue (Cr)'!$C:$FB,94)</f>
        <v>-2.2800000000000001E-2</v>
      </c>
      <c r="K194" s="91">
        <f>VLOOKUP($A194,'Data Vlaue (Cr)'!$C:$FB,95)</f>
        <v>320</v>
      </c>
      <c r="L194" s="91">
        <f>VLOOKUP($A194,'Data Vlaue (Cr)'!$C:$FB,97)</f>
        <v>22</v>
      </c>
      <c r="M194" s="92">
        <f>VLOOKUP($A194,'Data Vlaue (Cr)'!$C:$FB,98)</f>
        <v>7.3099999999999998E-2</v>
      </c>
      <c r="N194" s="91">
        <f>VLOOKUP($A194,'Data Vlaue (Cr)'!$C:$FB,79)</f>
        <v>641</v>
      </c>
      <c r="O194" s="92">
        <f>VLOOKUP($A194,'Data Vlaue (Cr)'!$C:$FB,82)</f>
        <v>-0.34699999999999998</v>
      </c>
    </row>
    <row r="195" spans="1:15" x14ac:dyDescent="0.25">
      <c r="A195" s="97" t="str">
        <f>'Data Vlaue (Cr)'!C190</f>
        <v>SUNPHARMA</v>
      </c>
      <c r="B195" s="142">
        <f>VLOOKUP(A195,'Data Vlaue (Cr)'!C190:CW408,99,0)</f>
        <v>5478</v>
      </c>
      <c r="C195" s="90">
        <f>VLOOKUP(A195,'Data Vlaue (Cr)'!C190:CY408,101,0)</f>
        <v>163</v>
      </c>
      <c r="D195" s="139">
        <f>VLOOKUP(A195,'Data Vlaue (Cr)'!C190:CZ408,102,0)</f>
        <v>3.0700000000000002E-2</v>
      </c>
      <c r="E195" s="91">
        <f>VLOOKUP($A195,'Data Vlaue (Cr)'!$C:$FB,75)</f>
        <v>3094</v>
      </c>
      <c r="F195" s="91">
        <f>VLOOKUP($A195,'Data Vlaue (Cr)'!$C:$FB,77)</f>
        <v>4</v>
      </c>
      <c r="G195" s="92">
        <f>VLOOKUP(A195,'Data Vlaue (Cr)'!C190:CB408,78,0)</f>
        <v>1.2999999999999999E-3</v>
      </c>
      <c r="H195" s="91">
        <f>VLOOKUP($A195,'Data Vlaue (Cr)'!$C:$FB,91)</f>
        <v>1378</v>
      </c>
      <c r="I195" s="91">
        <f>VLOOKUP($A195,'Data Vlaue (Cr)'!$C:$FB,93)</f>
        <v>30</v>
      </c>
      <c r="J195" s="92">
        <f>VLOOKUP($A195,'Data Vlaue (Cr)'!$C:$FB,94)</f>
        <v>2.2200000000000001E-2</v>
      </c>
      <c r="K195" s="91">
        <f>VLOOKUP($A195,'Data Vlaue (Cr)'!$C:$FB,95)</f>
        <v>1006</v>
      </c>
      <c r="L195" s="91">
        <f>VLOOKUP($A195,'Data Vlaue (Cr)'!$C:$FB,97)</f>
        <v>129</v>
      </c>
      <c r="M195" s="92">
        <f>VLOOKUP($A195,'Data Vlaue (Cr)'!$C:$FB,98)</f>
        <v>0.14699999999999999</v>
      </c>
      <c r="N195" s="91">
        <f>VLOOKUP($A195,'Data Vlaue (Cr)'!$C:$FB,79)</f>
        <v>1599</v>
      </c>
      <c r="O195" s="92">
        <f>VLOOKUP($A195,'Data Vlaue (Cr)'!$C:$FB,82)</f>
        <v>-0.26469999999999999</v>
      </c>
    </row>
    <row r="196" spans="1:15" x14ac:dyDescent="0.25">
      <c r="A196" s="97" t="str">
        <f>'Data Vlaue (Cr)'!C191</f>
        <v>SUPREMEIND</v>
      </c>
      <c r="B196" s="142">
        <f>VLOOKUP(A196,'Data Vlaue (Cr)'!C191:CW409,99,0)</f>
        <v>1364</v>
      </c>
      <c r="C196" s="90">
        <f>VLOOKUP(A196,'Data Vlaue (Cr)'!C191:CY409,101,0)</f>
        <v>44</v>
      </c>
      <c r="D196" s="139">
        <f>VLOOKUP(A196,'Data Vlaue (Cr)'!C191:CZ409,102,0)</f>
        <v>3.3300000000000003E-2</v>
      </c>
      <c r="E196" s="91">
        <f>VLOOKUP($A196,'Data Vlaue (Cr)'!$C:$FB,75)</f>
        <v>880</v>
      </c>
      <c r="F196" s="91">
        <f>VLOOKUP($A196,'Data Vlaue (Cr)'!$C:$FB,77)</f>
        <v>40</v>
      </c>
      <c r="G196" s="92">
        <f>VLOOKUP(A196,'Data Vlaue (Cr)'!C191:CB409,78,0)</f>
        <v>4.7100000000000003E-2</v>
      </c>
      <c r="H196" s="91">
        <f>VLOOKUP($A196,'Data Vlaue (Cr)'!$C:$FB,91)</f>
        <v>326</v>
      </c>
      <c r="I196" s="91">
        <f>VLOOKUP($A196,'Data Vlaue (Cr)'!$C:$FB,93)</f>
        <v>3</v>
      </c>
      <c r="J196" s="92">
        <f>VLOOKUP($A196,'Data Vlaue (Cr)'!$C:$FB,94)</f>
        <v>0.01</v>
      </c>
      <c r="K196" s="91">
        <f>VLOOKUP($A196,'Data Vlaue (Cr)'!$C:$FB,95)</f>
        <v>157</v>
      </c>
      <c r="L196" s="91">
        <f>VLOOKUP($A196,'Data Vlaue (Cr)'!$C:$FB,97)</f>
        <v>1</v>
      </c>
      <c r="M196" s="92">
        <f>VLOOKUP($A196,'Data Vlaue (Cr)'!$C:$FB,98)</f>
        <v>7.0000000000000001E-3</v>
      </c>
      <c r="N196" s="91">
        <f>VLOOKUP($A196,'Data Vlaue (Cr)'!$C:$FB,79)</f>
        <v>609</v>
      </c>
      <c r="O196" s="92">
        <f>VLOOKUP($A196,'Data Vlaue (Cr)'!$C:$FB,82)</f>
        <v>-0.19819999999999999</v>
      </c>
    </row>
    <row r="197" spans="1:15" x14ac:dyDescent="0.25">
      <c r="A197" s="97" t="str">
        <f>'Data Vlaue (Cr)'!C192</f>
        <v>SUZLON</v>
      </c>
      <c r="B197" s="142">
        <f>VLOOKUP(A197,'Data Vlaue (Cr)'!C192:CW410,99,0)</f>
        <v>3890</v>
      </c>
      <c r="C197" s="90">
        <f>VLOOKUP(A197,'Data Vlaue (Cr)'!C192:CY410,101,0)</f>
        <v>-217</v>
      </c>
      <c r="D197" s="139">
        <f>VLOOKUP(A197,'Data Vlaue (Cr)'!C192:CZ410,102,0)</f>
        <v>-5.2699999999999997E-2</v>
      </c>
      <c r="E197" s="91">
        <f>VLOOKUP($A197,'Data Vlaue (Cr)'!$C:$FB,75)</f>
        <v>1864</v>
      </c>
      <c r="F197" s="91">
        <f>VLOOKUP($A197,'Data Vlaue (Cr)'!$C:$FB,77)</f>
        <v>-142</v>
      </c>
      <c r="G197" s="92">
        <f>VLOOKUP(A197,'Data Vlaue (Cr)'!C192:CB410,78,0)</f>
        <v>-7.0800000000000002E-2</v>
      </c>
      <c r="H197" s="91">
        <f>VLOOKUP($A197,'Data Vlaue (Cr)'!$C:$FB,91)</f>
        <v>1111</v>
      </c>
      <c r="I197" s="91">
        <f>VLOOKUP($A197,'Data Vlaue (Cr)'!$C:$FB,93)</f>
        <v>-24</v>
      </c>
      <c r="J197" s="92">
        <f>VLOOKUP($A197,'Data Vlaue (Cr)'!$C:$FB,94)</f>
        <v>-2.1499999999999998E-2</v>
      </c>
      <c r="K197" s="91">
        <f>VLOOKUP($A197,'Data Vlaue (Cr)'!$C:$FB,95)</f>
        <v>915</v>
      </c>
      <c r="L197" s="91">
        <f>VLOOKUP($A197,'Data Vlaue (Cr)'!$C:$FB,97)</f>
        <v>-50</v>
      </c>
      <c r="M197" s="92">
        <f>VLOOKUP($A197,'Data Vlaue (Cr)'!$C:$FB,98)</f>
        <v>-5.1900000000000002E-2</v>
      </c>
      <c r="N197" s="91">
        <f>VLOOKUP($A197,'Data Vlaue (Cr)'!$C:$FB,79)</f>
        <v>950</v>
      </c>
      <c r="O197" s="92">
        <f>VLOOKUP($A197,'Data Vlaue (Cr)'!$C:$FB,82)</f>
        <v>-0.34699999999999998</v>
      </c>
    </row>
    <row r="198" spans="1:15" x14ac:dyDescent="0.25">
      <c r="A198" s="97" t="str">
        <f>'Data Vlaue (Cr)'!C193</f>
        <v>SWIGGY</v>
      </c>
      <c r="B198" s="142">
        <f>VLOOKUP(A198,'Data Vlaue (Cr)'!C193:CW411,99,0)</f>
        <v>1961</v>
      </c>
      <c r="C198" s="90">
        <f>VLOOKUP(A198,'Data Vlaue (Cr)'!C193:CY411,101,0)</f>
        <v>-122</v>
      </c>
      <c r="D198" s="139">
        <f>VLOOKUP(A198,'Data Vlaue (Cr)'!C193:CZ411,102,0)</f>
        <v>-5.8599999999999999E-2</v>
      </c>
      <c r="E198" s="91">
        <f>VLOOKUP($A198,'Data Vlaue (Cr)'!$C:$FB,75)</f>
        <v>1495</v>
      </c>
      <c r="F198" s="91">
        <f>VLOOKUP($A198,'Data Vlaue (Cr)'!$C:$FB,77)</f>
        <v>-105</v>
      </c>
      <c r="G198" s="92">
        <f>VLOOKUP(A198,'Data Vlaue (Cr)'!C193:CB411,78,0)</f>
        <v>-6.5699999999999995E-2</v>
      </c>
      <c r="H198" s="91">
        <f>VLOOKUP($A198,'Data Vlaue (Cr)'!$C:$FB,91)</f>
        <v>272</v>
      </c>
      <c r="I198" s="91">
        <f>VLOOKUP($A198,'Data Vlaue (Cr)'!$C:$FB,93)</f>
        <v>-10</v>
      </c>
      <c r="J198" s="92">
        <f>VLOOKUP($A198,'Data Vlaue (Cr)'!$C:$FB,94)</f>
        <v>-3.5499999999999997E-2</v>
      </c>
      <c r="K198" s="91">
        <f>VLOOKUP($A198,'Data Vlaue (Cr)'!$C:$FB,95)</f>
        <v>194</v>
      </c>
      <c r="L198" s="91">
        <f>VLOOKUP($A198,'Data Vlaue (Cr)'!$C:$FB,97)</f>
        <v>-7</v>
      </c>
      <c r="M198" s="92">
        <f>VLOOKUP($A198,'Data Vlaue (Cr)'!$C:$FB,98)</f>
        <v>-3.5000000000000003E-2</v>
      </c>
      <c r="N198" s="91">
        <f>VLOOKUP($A198,'Data Vlaue (Cr)'!$C:$FB,79)</f>
        <v>904</v>
      </c>
      <c r="O198" s="92">
        <f>VLOOKUP($A198,'Data Vlaue (Cr)'!$C:$FB,82)</f>
        <v>-0.3548</v>
      </c>
    </row>
    <row r="199" spans="1:15" x14ac:dyDescent="0.25">
      <c r="A199" s="97" t="str">
        <f>'Data Vlaue (Cr)'!C194</f>
        <v>TATACONSUM</v>
      </c>
      <c r="B199" s="142">
        <f>VLOOKUP(A199,'Data Vlaue (Cr)'!C194:CW412,99,0)</f>
        <v>2167</v>
      </c>
      <c r="C199" s="90">
        <f>VLOOKUP(A199,'Data Vlaue (Cr)'!C194:CY412,101,0)</f>
        <v>-12</v>
      </c>
      <c r="D199" s="139">
        <f>VLOOKUP(A199,'Data Vlaue (Cr)'!C194:CZ412,102,0)</f>
        <v>-5.7000000000000002E-3</v>
      </c>
      <c r="E199" s="91">
        <f>VLOOKUP($A199,'Data Vlaue (Cr)'!$C:$FB,75)</f>
        <v>1362</v>
      </c>
      <c r="F199" s="91">
        <f>VLOOKUP($A199,'Data Vlaue (Cr)'!$C:$FB,77)</f>
        <v>-39</v>
      </c>
      <c r="G199" s="92">
        <f>VLOOKUP(A199,'Data Vlaue (Cr)'!C194:CB412,78,0)</f>
        <v>-2.7799999999999998E-2</v>
      </c>
      <c r="H199" s="91">
        <f>VLOOKUP($A199,'Data Vlaue (Cr)'!$C:$FB,91)</f>
        <v>345</v>
      </c>
      <c r="I199" s="91">
        <f>VLOOKUP($A199,'Data Vlaue (Cr)'!$C:$FB,93)</f>
        <v>-10</v>
      </c>
      <c r="J199" s="92">
        <f>VLOOKUP($A199,'Data Vlaue (Cr)'!$C:$FB,94)</f>
        <v>-2.8400000000000002E-2</v>
      </c>
      <c r="K199" s="91">
        <f>VLOOKUP($A199,'Data Vlaue (Cr)'!$C:$FB,95)</f>
        <v>460</v>
      </c>
      <c r="L199" s="91">
        <f>VLOOKUP($A199,'Data Vlaue (Cr)'!$C:$FB,97)</f>
        <v>37</v>
      </c>
      <c r="M199" s="92">
        <f>VLOOKUP($A199,'Data Vlaue (Cr)'!$C:$FB,98)</f>
        <v>8.6400000000000005E-2</v>
      </c>
      <c r="N199" s="91">
        <f>VLOOKUP($A199,'Data Vlaue (Cr)'!$C:$FB,79)</f>
        <v>1065</v>
      </c>
      <c r="O199" s="92">
        <f>VLOOKUP($A199,'Data Vlaue (Cr)'!$C:$FB,82)</f>
        <v>-0.14610000000000001</v>
      </c>
    </row>
    <row r="200" spans="1:15" x14ac:dyDescent="0.25">
      <c r="A200" s="97" t="str">
        <f>'Data Vlaue (Cr)'!C195</f>
        <v>TATAELXSI</v>
      </c>
      <c r="B200" s="142">
        <f>VLOOKUP(A200,'Data Vlaue (Cr)'!C195:CW413,99,0)</f>
        <v>2786</v>
      </c>
      <c r="C200" s="90">
        <f>VLOOKUP(A200,'Data Vlaue (Cr)'!C195:CY413,101,0)</f>
        <v>25</v>
      </c>
      <c r="D200" s="139">
        <f>VLOOKUP(A200,'Data Vlaue (Cr)'!C195:CZ413,102,0)</f>
        <v>8.9999999999999993E-3</v>
      </c>
      <c r="E200" s="91">
        <f>VLOOKUP($A200,'Data Vlaue (Cr)'!$C:$FB,75)</f>
        <v>1161</v>
      </c>
      <c r="F200" s="91">
        <f>VLOOKUP($A200,'Data Vlaue (Cr)'!$C:$FB,77)</f>
        <v>-66</v>
      </c>
      <c r="G200" s="92">
        <f>VLOOKUP(A200,'Data Vlaue (Cr)'!C195:CB413,78,0)</f>
        <v>-5.4100000000000002E-2</v>
      </c>
      <c r="H200" s="91">
        <f>VLOOKUP($A200,'Data Vlaue (Cr)'!$C:$FB,91)</f>
        <v>1210</v>
      </c>
      <c r="I200" s="91">
        <f>VLOOKUP($A200,'Data Vlaue (Cr)'!$C:$FB,93)</f>
        <v>75</v>
      </c>
      <c r="J200" s="92">
        <f>VLOOKUP($A200,'Data Vlaue (Cr)'!$C:$FB,94)</f>
        <v>6.6199999999999995E-2</v>
      </c>
      <c r="K200" s="91">
        <f>VLOOKUP($A200,'Data Vlaue (Cr)'!$C:$FB,95)</f>
        <v>415</v>
      </c>
      <c r="L200" s="91">
        <f>VLOOKUP($A200,'Data Vlaue (Cr)'!$C:$FB,97)</f>
        <v>16</v>
      </c>
      <c r="M200" s="92">
        <f>VLOOKUP($A200,'Data Vlaue (Cr)'!$C:$FB,98)</f>
        <v>4.0399999999999998E-2</v>
      </c>
      <c r="N200" s="91">
        <f>VLOOKUP($A200,'Data Vlaue (Cr)'!$C:$FB,79)</f>
        <v>474</v>
      </c>
      <c r="O200" s="92">
        <f>VLOOKUP($A200,'Data Vlaue (Cr)'!$C:$FB,82)</f>
        <v>-0.43419999999999997</v>
      </c>
    </row>
    <row r="201" spans="1:15" x14ac:dyDescent="0.25">
      <c r="A201" s="97" t="str">
        <f>'Data Vlaue (Cr)'!C196</f>
        <v>TATAPOWER</v>
      </c>
      <c r="B201" s="142">
        <f>VLOOKUP(A201,'Data Vlaue (Cr)'!C196:CW414,99,0)</f>
        <v>5391</v>
      </c>
      <c r="C201" s="90">
        <f>VLOOKUP(A201,'Data Vlaue (Cr)'!C196:CY414,101,0)</f>
        <v>21</v>
      </c>
      <c r="D201" s="139">
        <f>VLOOKUP(A201,'Data Vlaue (Cr)'!C196:CZ414,102,0)</f>
        <v>3.8999999999999998E-3</v>
      </c>
      <c r="E201" s="91">
        <f>VLOOKUP($A201,'Data Vlaue (Cr)'!$C:$FB,75)</f>
        <v>2589</v>
      </c>
      <c r="F201" s="91">
        <f>VLOOKUP($A201,'Data Vlaue (Cr)'!$C:$FB,77)</f>
        <v>64</v>
      </c>
      <c r="G201" s="92">
        <f>VLOOKUP(A201,'Data Vlaue (Cr)'!C196:CB414,78,0)</f>
        <v>2.53E-2</v>
      </c>
      <c r="H201" s="91">
        <f>VLOOKUP($A201,'Data Vlaue (Cr)'!$C:$FB,91)</f>
        <v>1589</v>
      </c>
      <c r="I201" s="91">
        <f>VLOOKUP($A201,'Data Vlaue (Cr)'!$C:$FB,93)</f>
        <v>35</v>
      </c>
      <c r="J201" s="92">
        <f>VLOOKUP($A201,'Data Vlaue (Cr)'!$C:$FB,94)</f>
        <v>2.2499999999999999E-2</v>
      </c>
      <c r="K201" s="91">
        <f>VLOOKUP($A201,'Data Vlaue (Cr)'!$C:$FB,95)</f>
        <v>1213</v>
      </c>
      <c r="L201" s="91">
        <f>VLOOKUP($A201,'Data Vlaue (Cr)'!$C:$FB,97)</f>
        <v>-78</v>
      </c>
      <c r="M201" s="92">
        <f>VLOOKUP($A201,'Data Vlaue (Cr)'!$C:$FB,98)</f>
        <v>-6.0199999999999997E-2</v>
      </c>
      <c r="N201" s="91">
        <f>VLOOKUP($A201,'Data Vlaue (Cr)'!$C:$FB,79)</f>
        <v>1650</v>
      </c>
      <c r="O201" s="92">
        <f>VLOOKUP($A201,'Data Vlaue (Cr)'!$C:$FB,82)</f>
        <v>-0.21360000000000001</v>
      </c>
    </row>
    <row r="202" spans="1:15" x14ac:dyDescent="0.25">
      <c r="A202" s="97" t="str">
        <f>'Data Vlaue (Cr)'!C197</f>
        <v>TATASTEEL</v>
      </c>
      <c r="B202" s="142">
        <f>VLOOKUP(A202,'Data Vlaue (Cr)'!C197:CW415,99,0)</f>
        <v>8443</v>
      </c>
      <c r="C202" s="90">
        <f>VLOOKUP(A202,'Data Vlaue (Cr)'!C197:CY415,101,0)</f>
        <v>-97</v>
      </c>
      <c r="D202" s="139">
        <f>VLOOKUP(A202,'Data Vlaue (Cr)'!C197:CZ415,102,0)</f>
        <v>-1.14E-2</v>
      </c>
      <c r="E202" s="91">
        <f>VLOOKUP($A202,'Data Vlaue (Cr)'!$C:$FB,75)</f>
        <v>3851</v>
      </c>
      <c r="F202" s="91">
        <f>VLOOKUP($A202,'Data Vlaue (Cr)'!$C:$FB,77)</f>
        <v>47</v>
      </c>
      <c r="G202" s="92">
        <f>VLOOKUP(A202,'Data Vlaue (Cr)'!C197:CB415,78,0)</f>
        <v>1.24E-2</v>
      </c>
      <c r="H202" s="91">
        <f>VLOOKUP($A202,'Data Vlaue (Cr)'!$C:$FB,91)</f>
        <v>2571</v>
      </c>
      <c r="I202" s="91">
        <f>VLOOKUP($A202,'Data Vlaue (Cr)'!$C:$FB,93)</f>
        <v>-52</v>
      </c>
      <c r="J202" s="92">
        <f>VLOOKUP($A202,'Data Vlaue (Cr)'!$C:$FB,94)</f>
        <v>-1.9800000000000002E-2</v>
      </c>
      <c r="K202" s="91">
        <f>VLOOKUP($A202,'Data Vlaue (Cr)'!$C:$FB,95)</f>
        <v>2022</v>
      </c>
      <c r="L202" s="91">
        <f>VLOOKUP($A202,'Data Vlaue (Cr)'!$C:$FB,97)</f>
        <v>-92</v>
      </c>
      <c r="M202" s="92">
        <f>VLOOKUP($A202,'Data Vlaue (Cr)'!$C:$FB,98)</f>
        <v>-4.36E-2</v>
      </c>
      <c r="N202" s="91">
        <f>VLOOKUP($A202,'Data Vlaue (Cr)'!$C:$FB,79)</f>
        <v>2455</v>
      </c>
      <c r="O202" s="92">
        <f>VLOOKUP($A202,'Data Vlaue (Cr)'!$C:$FB,82)</f>
        <v>-0.1729</v>
      </c>
    </row>
    <row r="203" spans="1:15" x14ac:dyDescent="0.25">
      <c r="A203" s="97" t="str">
        <f>'Data Vlaue (Cr)'!C198</f>
        <v>TATATECH</v>
      </c>
      <c r="B203" s="142">
        <f>VLOOKUP(A203,'Data Vlaue (Cr)'!C198:CW416,99,0)</f>
        <v>536</v>
      </c>
      <c r="C203" s="90">
        <f>VLOOKUP(A203,'Data Vlaue (Cr)'!C198:CY416,101,0)</f>
        <v>-38</v>
      </c>
      <c r="D203" s="139">
        <f>VLOOKUP(A203,'Data Vlaue (Cr)'!C198:CZ416,102,0)</f>
        <v>-6.6500000000000004E-2</v>
      </c>
      <c r="E203" s="91">
        <f>VLOOKUP($A203,'Data Vlaue (Cr)'!$C:$FB,75)</f>
        <v>263</v>
      </c>
      <c r="F203" s="91">
        <f>VLOOKUP($A203,'Data Vlaue (Cr)'!$C:$FB,77)</f>
        <v>-51</v>
      </c>
      <c r="G203" s="92">
        <f>VLOOKUP(A203,'Data Vlaue (Cr)'!C198:CB416,78,0)</f>
        <v>-0.1628</v>
      </c>
      <c r="H203" s="91">
        <f>VLOOKUP($A203,'Data Vlaue (Cr)'!$C:$FB,91)</f>
        <v>153</v>
      </c>
      <c r="I203" s="91">
        <f>VLOOKUP($A203,'Data Vlaue (Cr)'!$C:$FB,93)</f>
        <v>6</v>
      </c>
      <c r="J203" s="92">
        <f>VLOOKUP($A203,'Data Vlaue (Cr)'!$C:$FB,94)</f>
        <v>4.3099999999999999E-2</v>
      </c>
      <c r="K203" s="91">
        <f>VLOOKUP($A203,'Data Vlaue (Cr)'!$C:$FB,95)</f>
        <v>119</v>
      </c>
      <c r="L203" s="91">
        <f>VLOOKUP($A203,'Data Vlaue (Cr)'!$C:$FB,97)</f>
        <v>7</v>
      </c>
      <c r="M203" s="92">
        <f>VLOOKUP($A203,'Data Vlaue (Cr)'!$C:$FB,98)</f>
        <v>6.0299999999999999E-2</v>
      </c>
      <c r="N203" s="91">
        <f>VLOOKUP($A203,'Data Vlaue (Cr)'!$C:$FB,79)</f>
        <v>263</v>
      </c>
      <c r="O203" s="92">
        <f>VLOOKUP($A203,'Data Vlaue (Cr)'!$C:$FB,82)</f>
        <v>-0.1628</v>
      </c>
    </row>
    <row r="204" spans="1:15" x14ac:dyDescent="0.25">
      <c r="A204" s="97" t="str">
        <f>'Data Vlaue (Cr)'!C199</f>
        <v>TCS</v>
      </c>
      <c r="B204" s="142">
        <f>VLOOKUP(A204,'Data Vlaue (Cr)'!C199:CW417,99,0)</f>
        <v>16750</v>
      </c>
      <c r="C204" s="90">
        <f>VLOOKUP(A204,'Data Vlaue (Cr)'!C199:CY417,101,0)</f>
        <v>118</v>
      </c>
      <c r="D204" s="139">
        <f>VLOOKUP(A204,'Data Vlaue (Cr)'!C199:CZ417,102,0)</f>
        <v>7.1000000000000004E-3</v>
      </c>
      <c r="E204" s="91">
        <f>VLOOKUP($A204,'Data Vlaue (Cr)'!$C:$FB,75)</f>
        <v>9075</v>
      </c>
      <c r="F204" s="91">
        <f>VLOOKUP($A204,'Data Vlaue (Cr)'!$C:$FB,77)</f>
        <v>-209</v>
      </c>
      <c r="G204" s="92">
        <f>VLOOKUP(A204,'Data Vlaue (Cr)'!C199:CB417,78,0)</f>
        <v>-2.2499999999999999E-2</v>
      </c>
      <c r="H204" s="91">
        <f>VLOOKUP($A204,'Data Vlaue (Cr)'!$C:$FB,91)</f>
        <v>4776</v>
      </c>
      <c r="I204" s="91">
        <f>VLOOKUP($A204,'Data Vlaue (Cr)'!$C:$FB,93)</f>
        <v>193</v>
      </c>
      <c r="J204" s="92">
        <f>VLOOKUP($A204,'Data Vlaue (Cr)'!$C:$FB,94)</f>
        <v>4.2099999999999999E-2</v>
      </c>
      <c r="K204" s="91">
        <f>VLOOKUP($A204,'Data Vlaue (Cr)'!$C:$FB,95)</f>
        <v>2899</v>
      </c>
      <c r="L204" s="91">
        <f>VLOOKUP($A204,'Data Vlaue (Cr)'!$C:$FB,97)</f>
        <v>133</v>
      </c>
      <c r="M204" s="92">
        <f>VLOOKUP($A204,'Data Vlaue (Cr)'!$C:$FB,98)</f>
        <v>4.82E-2</v>
      </c>
      <c r="N204" s="91">
        <f>VLOOKUP($A204,'Data Vlaue (Cr)'!$C:$FB,79)</f>
        <v>6134</v>
      </c>
      <c r="O204" s="92">
        <f>VLOOKUP($A204,'Data Vlaue (Cr)'!$C:$FB,82)</f>
        <v>-0.21010000000000001</v>
      </c>
    </row>
    <row r="205" spans="1:15" x14ac:dyDescent="0.25">
      <c r="A205" s="97" t="str">
        <f>'Data Vlaue (Cr)'!C200</f>
        <v>TECHM</v>
      </c>
      <c r="B205" s="142">
        <f>VLOOKUP(A205,'Data Vlaue (Cr)'!C200:CW418,99,0)</f>
        <v>5495</v>
      </c>
      <c r="C205" s="90">
        <f>VLOOKUP(A205,'Data Vlaue (Cr)'!C200:CY418,101,0)</f>
        <v>-22</v>
      </c>
      <c r="D205" s="139">
        <f>VLOOKUP(A205,'Data Vlaue (Cr)'!C200:CZ418,102,0)</f>
        <v>-4.0000000000000001E-3</v>
      </c>
      <c r="E205" s="91">
        <f>VLOOKUP($A205,'Data Vlaue (Cr)'!$C:$FB,75)</f>
        <v>2823</v>
      </c>
      <c r="F205" s="91">
        <f>VLOOKUP($A205,'Data Vlaue (Cr)'!$C:$FB,77)</f>
        <v>47</v>
      </c>
      <c r="G205" s="92">
        <f>VLOOKUP(A205,'Data Vlaue (Cr)'!C200:CB418,78,0)</f>
        <v>1.6899999999999998E-2</v>
      </c>
      <c r="H205" s="91">
        <f>VLOOKUP($A205,'Data Vlaue (Cr)'!$C:$FB,91)</f>
        <v>1810</v>
      </c>
      <c r="I205" s="91">
        <f>VLOOKUP($A205,'Data Vlaue (Cr)'!$C:$FB,93)</f>
        <v>198</v>
      </c>
      <c r="J205" s="92">
        <f>VLOOKUP($A205,'Data Vlaue (Cr)'!$C:$FB,94)</f>
        <v>0.123</v>
      </c>
      <c r="K205" s="91">
        <f>VLOOKUP($A205,'Data Vlaue (Cr)'!$C:$FB,95)</f>
        <v>862</v>
      </c>
      <c r="L205" s="91">
        <f>VLOOKUP($A205,'Data Vlaue (Cr)'!$C:$FB,97)</f>
        <v>-267</v>
      </c>
      <c r="M205" s="92">
        <f>VLOOKUP($A205,'Data Vlaue (Cr)'!$C:$FB,98)</f>
        <v>-0.23669999999999999</v>
      </c>
      <c r="N205" s="91">
        <f>VLOOKUP($A205,'Data Vlaue (Cr)'!$C:$FB,79)</f>
        <v>1649</v>
      </c>
      <c r="O205" s="92">
        <f>VLOOKUP($A205,'Data Vlaue (Cr)'!$C:$FB,82)</f>
        <v>-0.31309999999999999</v>
      </c>
    </row>
    <row r="206" spans="1:15" x14ac:dyDescent="0.25">
      <c r="A206" s="97" t="str">
        <f>'Data Vlaue (Cr)'!C201</f>
        <v>TIINDIA</v>
      </c>
      <c r="B206" s="142">
        <f>VLOOKUP(A206,'Data Vlaue (Cr)'!C201:CW419,99,0)</f>
        <v>1266</v>
      </c>
      <c r="C206" s="90">
        <f>VLOOKUP(A206,'Data Vlaue (Cr)'!C201:CY419,101,0)</f>
        <v>65</v>
      </c>
      <c r="D206" s="139">
        <f>VLOOKUP(A206,'Data Vlaue (Cr)'!C201:CZ419,102,0)</f>
        <v>5.3900000000000003E-2</v>
      </c>
      <c r="E206" s="91">
        <f>VLOOKUP($A206,'Data Vlaue (Cr)'!$C:$FB,75)</f>
        <v>788</v>
      </c>
      <c r="F206" s="91">
        <f>VLOOKUP($A206,'Data Vlaue (Cr)'!$C:$FB,77)</f>
        <v>6</v>
      </c>
      <c r="G206" s="92">
        <f>VLOOKUP(A206,'Data Vlaue (Cr)'!C201:CB419,78,0)</f>
        <v>7.1000000000000004E-3</v>
      </c>
      <c r="H206" s="91">
        <f>VLOOKUP($A206,'Data Vlaue (Cr)'!$C:$FB,91)</f>
        <v>261</v>
      </c>
      <c r="I206" s="91">
        <f>VLOOKUP($A206,'Data Vlaue (Cr)'!$C:$FB,93)</f>
        <v>34</v>
      </c>
      <c r="J206" s="92">
        <f>VLOOKUP($A206,'Data Vlaue (Cr)'!$C:$FB,94)</f>
        <v>0.15040000000000001</v>
      </c>
      <c r="K206" s="91">
        <f>VLOOKUP($A206,'Data Vlaue (Cr)'!$C:$FB,95)</f>
        <v>217</v>
      </c>
      <c r="L206" s="91">
        <f>VLOOKUP($A206,'Data Vlaue (Cr)'!$C:$FB,97)</f>
        <v>25</v>
      </c>
      <c r="M206" s="92">
        <f>VLOOKUP($A206,'Data Vlaue (Cr)'!$C:$FB,98)</f>
        <v>0.1308</v>
      </c>
      <c r="N206" s="91">
        <f>VLOOKUP($A206,'Data Vlaue (Cr)'!$C:$FB,79)</f>
        <v>530</v>
      </c>
      <c r="O206" s="92">
        <f>VLOOKUP($A206,'Data Vlaue (Cr)'!$C:$FB,82)</f>
        <v>-0.27710000000000001</v>
      </c>
    </row>
    <row r="207" spans="1:15" x14ac:dyDescent="0.25">
      <c r="A207" s="97" t="str">
        <f>'Data Vlaue (Cr)'!C202</f>
        <v>TITAN</v>
      </c>
      <c r="B207" s="142">
        <f>VLOOKUP(A207,'Data Vlaue (Cr)'!C202:CW420,99,0)</f>
        <v>6969</v>
      </c>
      <c r="C207" s="90">
        <f>VLOOKUP(A207,'Data Vlaue (Cr)'!C202:CY420,101,0)</f>
        <v>-104</v>
      </c>
      <c r="D207" s="139">
        <f>VLOOKUP(A207,'Data Vlaue (Cr)'!C202:CZ420,102,0)</f>
        <v>-1.47E-2</v>
      </c>
      <c r="E207" s="91">
        <f>VLOOKUP($A207,'Data Vlaue (Cr)'!$C:$FB,75)</f>
        <v>3985</v>
      </c>
      <c r="F207" s="91">
        <f>VLOOKUP($A207,'Data Vlaue (Cr)'!$C:$FB,77)</f>
        <v>82</v>
      </c>
      <c r="G207" s="92">
        <f>VLOOKUP(A207,'Data Vlaue (Cr)'!C202:CB420,78,0)</f>
        <v>2.1100000000000001E-2</v>
      </c>
      <c r="H207" s="91">
        <f>VLOOKUP($A207,'Data Vlaue (Cr)'!$C:$FB,91)</f>
        <v>1700</v>
      </c>
      <c r="I207" s="91">
        <f>VLOOKUP($A207,'Data Vlaue (Cr)'!$C:$FB,93)</f>
        <v>-69</v>
      </c>
      <c r="J207" s="92">
        <f>VLOOKUP($A207,'Data Vlaue (Cr)'!$C:$FB,94)</f>
        <v>-3.9199999999999999E-2</v>
      </c>
      <c r="K207" s="91">
        <f>VLOOKUP($A207,'Data Vlaue (Cr)'!$C:$FB,95)</f>
        <v>1284</v>
      </c>
      <c r="L207" s="91">
        <f>VLOOKUP($A207,'Data Vlaue (Cr)'!$C:$FB,97)</f>
        <v>-117</v>
      </c>
      <c r="M207" s="92">
        <f>VLOOKUP($A207,'Data Vlaue (Cr)'!$C:$FB,98)</f>
        <v>-8.3299999999999999E-2</v>
      </c>
      <c r="N207" s="91">
        <f>VLOOKUP($A207,'Data Vlaue (Cr)'!$C:$FB,79)</f>
        <v>2606</v>
      </c>
      <c r="O207" s="92">
        <f>VLOOKUP($A207,'Data Vlaue (Cr)'!$C:$FB,82)</f>
        <v>-0.19120000000000001</v>
      </c>
    </row>
    <row r="208" spans="1:15" x14ac:dyDescent="0.25">
      <c r="A208" s="97" t="str">
        <f>'Data Vlaue (Cr)'!C203</f>
        <v>TMPV</v>
      </c>
      <c r="B208" s="142">
        <f>VLOOKUP(A208,'Data Vlaue (Cr)'!C203:CW421,99,0)</f>
        <v>4536</v>
      </c>
      <c r="C208" s="90">
        <f>VLOOKUP(A208,'Data Vlaue (Cr)'!C203:CY421,101,0)</f>
        <v>19</v>
      </c>
      <c r="D208" s="139">
        <f>VLOOKUP(A208,'Data Vlaue (Cr)'!C203:CZ421,102,0)</f>
        <v>4.3E-3</v>
      </c>
      <c r="E208" s="91">
        <f>VLOOKUP($A208,'Data Vlaue (Cr)'!$C:$FB,75)</f>
        <v>2267</v>
      </c>
      <c r="F208" s="91">
        <f>VLOOKUP($A208,'Data Vlaue (Cr)'!$C:$FB,77)</f>
        <v>62</v>
      </c>
      <c r="G208" s="92">
        <f>VLOOKUP(A208,'Data Vlaue (Cr)'!C203:CB421,78,0)</f>
        <v>2.8199999999999999E-2</v>
      </c>
      <c r="H208" s="91">
        <f>VLOOKUP($A208,'Data Vlaue (Cr)'!$C:$FB,91)</f>
        <v>1305</v>
      </c>
      <c r="I208" s="91">
        <f>VLOOKUP($A208,'Data Vlaue (Cr)'!$C:$FB,93)</f>
        <v>24</v>
      </c>
      <c r="J208" s="92">
        <f>VLOOKUP($A208,'Data Vlaue (Cr)'!$C:$FB,94)</f>
        <v>1.89E-2</v>
      </c>
      <c r="K208" s="91">
        <f>VLOOKUP($A208,'Data Vlaue (Cr)'!$C:$FB,95)</f>
        <v>963</v>
      </c>
      <c r="L208" s="91">
        <f>VLOOKUP($A208,'Data Vlaue (Cr)'!$C:$FB,97)</f>
        <v>-67</v>
      </c>
      <c r="M208" s="92">
        <f>VLOOKUP($A208,'Data Vlaue (Cr)'!$C:$FB,98)</f>
        <v>-6.5100000000000005E-2</v>
      </c>
      <c r="N208" s="91">
        <f>VLOOKUP($A208,'Data Vlaue (Cr)'!$C:$FB,79)</f>
        <v>1199</v>
      </c>
      <c r="O208" s="92">
        <f>VLOOKUP($A208,'Data Vlaue (Cr)'!$C:$FB,82)</f>
        <v>-0.3276</v>
      </c>
    </row>
    <row r="209" spans="1:15" x14ac:dyDescent="0.25">
      <c r="A209" s="97" t="str">
        <f>'Data Vlaue (Cr)'!C204</f>
        <v>TORNTPHARM</v>
      </c>
      <c r="B209" s="142">
        <f>VLOOKUP(A209,'Data Vlaue (Cr)'!C204:CW422,99,0)</f>
        <v>1768</v>
      </c>
      <c r="C209" s="90">
        <f>VLOOKUP(A209,'Data Vlaue (Cr)'!C204:CY422,101,0)</f>
        <v>-61</v>
      </c>
      <c r="D209" s="139">
        <f>VLOOKUP(A209,'Data Vlaue (Cr)'!C204:CZ422,102,0)</f>
        <v>-3.32E-2</v>
      </c>
      <c r="E209" s="91">
        <f>VLOOKUP($A209,'Data Vlaue (Cr)'!$C:$FB,75)</f>
        <v>1296</v>
      </c>
      <c r="F209" s="91">
        <f>VLOOKUP($A209,'Data Vlaue (Cr)'!$C:$FB,77)</f>
        <v>-72</v>
      </c>
      <c r="G209" s="92">
        <f>VLOOKUP(A209,'Data Vlaue (Cr)'!C204:CB422,78,0)</f>
        <v>-5.2699999999999997E-2</v>
      </c>
      <c r="H209" s="91">
        <f>VLOOKUP($A209,'Data Vlaue (Cr)'!$C:$FB,91)</f>
        <v>274</v>
      </c>
      <c r="I209" s="91">
        <f>VLOOKUP($A209,'Data Vlaue (Cr)'!$C:$FB,93)</f>
        <v>3</v>
      </c>
      <c r="J209" s="92">
        <f>VLOOKUP($A209,'Data Vlaue (Cr)'!$C:$FB,94)</f>
        <v>1.11E-2</v>
      </c>
      <c r="K209" s="91">
        <f>VLOOKUP($A209,'Data Vlaue (Cr)'!$C:$FB,95)</f>
        <v>197</v>
      </c>
      <c r="L209" s="91">
        <f>VLOOKUP($A209,'Data Vlaue (Cr)'!$C:$FB,97)</f>
        <v>9</v>
      </c>
      <c r="M209" s="92">
        <f>VLOOKUP($A209,'Data Vlaue (Cr)'!$C:$FB,98)</f>
        <v>4.5100000000000001E-2</v>
      </c>
      <c r="N209" s="91">
        <f>VLOOKUP($A209,'Data Vlaue (Cr)'!$C:$FB,79)</f>
        <v>731</v>
      </c>
      <c r="O209" s="92">
        <f>VLOOKUP($A209,'Data Vlaue (Cr)'!$C:$FB,82)</f>
        <v>-0.36859999999999998</v>
      </c>
    </row>
    <row r="210" spans="1:15" s="88" customFormat="1" ht="15.75" customHeight="1" x14ac:dyDescent="0.2">
      <c r="A210" s="97" t="str">
        <f>'Data Vlaue (Cr)'!C205</f>
        <v>TORNTPOWER</v>
      </c>
      <c r="B210" s="142">
        <f>VLOOKUP(A210,'Data Vlaue (Cr)'!C205:CW423,99,0)</f>
        <v>1036</v>
      </c>
      <c r="C210" s="90">
        <f>VLOOKUP(A210,'Data Vlaue (Cr)'!C205:CY423,101,0)</f>
        <v>-12</v>
      </c>
      <c r="D210" s="139">
        <f>VLOOKUP(A210,'Data Vlaue (Cr)'!C205:CZ423,102,0)</f>
        <v>-1.12E-2</v>
      </c>
      <c r="E210" s="91">
        <f>VLOOKUP($A210,'Data Vlaue (Cr)'!$C:$FB,75)</f>
        <v>439</v>
      </c>
      <c r="F210" s="91">
        <f>VLOOKUP($A210,'Data Vlaue (Cr)'!$C:$FB,77)</f>
        <v>-59</v>
      </c>
      <c r="G210" s="92">
        <f>VLOOKUP(A210,'Data Vlaue (Cr)'!C205:CB423,78,0)</f>
        <v>-0.1191</v>
      </c>
      <c r="H210" s="91">
        <f>VLOOKUP($A210,'Data Vlaue (Cr)'!$C:$FB,91)</f>
        <v>271</v>
      </c>
      <c r="I210" s="91">
        <f>VLOOKUP($A210,'Data Vlaue (Cr)'!$C:$FB,93)</f>
        <v>-21</v>
      </c>
      <c r="J210" s="92">
        <f>VLOOKUP($A210,'Data Vlaue (Cr)'!$C:$FB,94)</f>
        <v>-7.0599999999999996E-2</v>
      </c>
      <c r="K210" s="91">
        <f>VLOOKUP($A210,'Data Vlaue (Cr)'!$C:$FB,95)</f>
        <v>326</v>
      </c>
      <c r="L210" s="91">
        <f>VLOOKUP($A210,'Data Vlaue (Cr)'!$C:$FB,97)</f>
        <v>68</v>
      </c>
      <c r="M210" s="92">
        <f>VLOOKUP($A210,'Data Vlaue (Cr)'!$C:$FB,98)</f>
        <v>0.26479999999999998</v>
      </c>
      <c r="N210" s="91">
        <f>VLOOKUP($A210,'Data Vlaue (Cr)'!$C:$FB,79)</f>
        <v>439</v>
      </c>
      <c r="O210" s="92">
        <f>VLOOKUP($A210,'Data Vlaue (Cr)'!$C:$FB,82)</f>
        <v>-0.1191</v>
      </c>
    </row>
    <row r="211" spans="1:15" x14ac:dyDescent="0.25">
      <c r="A211" s="97" t="str">
        <f>'Data Vlaue (Cr)'!C206</f>
        <v>TRENT</v>
      </c>
      <c r="B211" s="142">
        <f>VLOOKUP(A211,'Data Vlaue (Cr)'!C206:CW424,99,0)</f>
        <v>7664</v>
      </c>
      <c r="C211" s="90">
        <f>VLOOKUP(A211,'Data Vlaue (Cr)'!C206:CY424,101,0)</f>
        <v>439</v>
      </c>
      <c r="D211" s="139">
        <f>VLOOKUP(A211,'Data Vlaue (Cr)'!C206:CZ424,102,0)</f>
        <v>6.08E-2</v>
      </c>
      <c r="E211" s="91">
        <f>VLOOKUP($A211,'Data Vlaue (Cr)'!$C:$FB,75)</f>
        <v>3358</v>
      </c>
      <c r="F211" s="91">
        <f>VLOOKUP($A211,'Data Vlaue (Cr)'!$C:$FB,77)</f>
        <v>-183</v>
      </c>
      <c r="G211" s="92">
        <f>VLOOKUP(A211,'Data Vlaue (Cr)'!C206:CB424,78,0)</f>
        <v>-5.1700000000000003E-2</v>
      </c>
      <c r="H211" s="91">
        <f>VLOOKUP($A211,'Data Vlaue (Cr)'!$C:$FB,91)</f>
        <v>2740</v>
      </c>
      <c r="I211" s="91">
        <f>VLOOKUP($A211,'Data Vlaue (Cr)'!$C:$FB,93)</f>
        <v>670</v>
      </c>
      <c r="J211" s="92">
        <f>VLOOKUP($A211,'Data Vlaue (Cr)'!$C:$FB,94)</f>
        <v>0.32379999999999998</v>
      </c>
      <c r="K211" s="91">
        <f>VLOOKUP($A211,'Data Vlaue (Cr)'!$C:$FB,95)</f>
        <v>1566</v>
      </c>
      <c r="L211" s="91">
        <f>VLOOKUP($A211,'Data Vlaue (Cr)'!$C:$FB,97)</f>
        <v>-48</v>
      </c>
      <c r="M211" s="92">
        <f>VLOOKUP($A211,'Data Vlaue (Cr)'!$C:$FB,98)</f>
        <v>-2.9600000000000001E-2</v>
      </c>
      <c r="N211" s="91">
        <f>VLOOKUP($A211,'Data Vlaue (Cr)'!$C:$FB,79)</f>
        <v>1646</v>
      </c>
      <c r="O211" s="92">
        <f>VLOOKUP($A211,'Data Vlaue (Cr)'!$C:$FB,82)</f>
        <v>-0.40389999999999998</v>
      </c>
    </row>
    <row r="212" spans="1:15" x14ac:dyDescent="0.25">
      <c r="A212" s="97" t="str">
        <f>'Data Vlaue (Cr)'!C207</f>
        <v>TVSMOTOR</v>
      </c>
      <c r="B212" s="142">
        <f>VLOOKUP(A212,'Data Vlaue (Cr)'!C207:CW425,99,0)</f>
        <v>4451</v>
      </c>
      <c r="C212" s="90">
        <f>VLOOKUP(A212,'Data Vlaue (Cr)'!C207:CY425,101,0)</f>
        <v>305</v>
      </c>
      <c r="D212" s="139">
        <f>VLOOKUP(A212,'Data Vlaue (Cr)'!C207:CZ425,102,0)</f>
        <v>7.3700000000000002E-2</v>
      </c>
      <c r="E212" s="91">
        <f>VLOOKUP($A212,'Data Vlaue (Cr)'!$C:$FB,75)</f>
        <v>3052</v>
      </c>
      <c r="F212" s="91">
        <f>VLOOKUP($A212,'Data Vlaue (Cr)'!$C:$FB,77)</f>
        <v>115</v>
      </c>
      <c r="G212" s="92">
        <f>VLOOKUP(A212,'Data Vlaue (Cr)'!C207:CB425,78,0)</f>
        <v>3.9300000000000002E-2</v>
      </c>
      <c r="H212" s="91">
        <f>VLOOKUP($A212,'Data Vlaue (Cr)'!$C:$FB,91)</f>
        <v>941</v>
      </c>
      <c r="I212" s="91">
        <f>VLOOKUP($A212,'Data Vlaue (Cr)'!$C:$FB,93)</f>
        <v>167</v>
      </c>
      <c r="J212" s="92">
        <f>VLOOKUP($A212,'Data Vlaue (Cr)'!$C:$FB,94)</f>
        <v>0.21590000000000001</v>
      </c>
      <c r="K212" s="91">
        <f>VLOOKUP($A212,'Data Vlaue (Cr)'!$C:$FB,95)</f>
        <v>458</v>
      </c>
      <c r="L212" s="91">
        <f>VLOOKUP($A212,'Data Vlaue (Cr)'!$C:$FB,97)</f>
        <v>23</v>
      </c>
      <c r="M212" s="92">
        <f>VLOOKUP($A212,'Data Vlaue (Cr)'!$C:$FB,98)</f>
        <v>5.2600000000000001E-2</v>
      </c>
      <c r="N212" s="91">
        <f>VLOOKUP($A212,'Data Vlaue (Cr)'!$C:$FB,79)</f>
        <v>2039</v>
      </c>
      <c r="O212" s="92">
        <f>VLOOKUP($A212,'Data Vlaue (Cr)'!$C:$FB,82)</f>
        <v>-0.21429999999999999</v>
      </c>
    </row>
    <row r="213" spans="1:15" x14ac:dyDescent="0.25">
      <c r="A213" s="97" t="str">
        <f>'Data Vlaue (Cr)'!C208</f>
        <v>ULTRACEMCO</v>
      </c>
      <c r="B213" s="142">
        <f>VLOOKUP(A213,'Data Vlaue (Cr)'!C208:CW426,99,0)</f>
        <v>5293</v>
      </c>
      <c r="C213" s="90">
        <f>VLOOKUP(A213,'Data Vlaue (Cr)'!C208:CY426,101,0)</f>
        <v>481</v>
      </c>
      <c r="D213" s="139">
        <f>VLOOKUP(A213,'Data Vlaue (Cr)'!C208:CZ426,102,0)</f>
        <v>9.9900000000000003E-2</v>
      </c>
      <c r="E213" s="91">
        <f>VLOOKUP($A213,'Data Vlaue (Cr)'!$C:$FB,75)</f>
        <v>3327</v>
      </c>
      <c r="F213" s="91">
        <f>VLOOKUP($A213,'Data Vlaue (Cr)'!$C:$FB,77)</f>
        <v>176</v>
      </c>
      <c r="G213" s="92">
        <f>VLOOKUP(A213,'Data Vlaue (Cr)'!C208:CB426,78,0)</f>
        <v>5.5800000000000002E-2</v>
      </c>
      <c r="H213" s="91">
        <f>VLOOKUP($A213,'Data Vlaue (Cr)'!$C:$FB,91)</f>
        <v>1225</v>
      </c>
      <c r="I213" s="91">
        <f>VLOOKUP($A213,'Data Vlaue (Cr)'!$C:$FB,93)</f>
        <v>266</v>
      </c>
      <c r="J213" s="92">
        <f>VLOOKUP($A213,'Data Vlaue (Cr)'!$C:$FB,94)</f>
        <v>0.2777</v>
      </c>
      <c r="K213" s="91">
        <f>VLOOKUP($A213,'Data Vlaue (Cr)'!$C:$FB,95)</f>
        <v>741</v>
      </c>
      <c r="L213" s="91">
        <f>VLOOKUP($A213,'Data Vlaue (Cr)'!$C:$FB,97)</f>
        <v>39</v>
      </c>
      <c r="M213" s="92">
        <f>VLOOKUP($A213,'Data Vlaue (Cr)'!$C:$FB,98)</f>
        <v>5.5199999999999999E-2</v>
      </c>
      <c r="N213" s="91">
        <f>VLOOKUP($A213,'Data Vlaue (Cr)'!$C:$FB,79)</f>
        <v>1629</v>
      </c>
      <c r="O213" s="92">
        <f>VLOOKUP($A213,'Data Vlaue (Cr)'!$C:$FB,82)</f>
        <v>-0.2923</v>
      </c>
    </row>
    <row r="214" spans="1:15" x14ac:dyDescent="0.25">
      <c r="A214" s="97" t="str">
        <f>'Data Vlaue (Cr)'!C209</f>
        <v>UNIONBANK</v>
      </c>
      <c r="B214" s="142">
        <f>VLOOKUP(A214,'Data Vlaue (Cr)'!C209:CW427,99,0)</f>
        <v>4352</v>
      </c>
      <c r="C214" s="90">
        <f>VLOOKUP(A214,'Data Vlaue (Cr)'!C209:CY427,101,0)</f>
        <v>600</v>
      </c>
      <c r="D214" s="139">
        <f>VLOOKUP(A214,'Data Vlaue (Cr)'!C209:CZ427,102,0)</f>
        <v>0.15989999999999999</v>
      </c>
      <c r="E214" s="91">
        <f>VLOOKUP($A214,'Data Vlaue (Cr)'!$C:$FB,75)</f>
        <v>2375</v>
      </c>
      <c r="F214" s="91">
        <f>VLOOKUP($A214,'Data Vlaue (Cr)'!$C:$FB,77)</f>
        <v>35</v>
      </c>
      <c r="G214" s="92">
        <f>VLOOKUP(A214,'Data Vlaue (Cr)'!C209:CB427,78,0)</f>
        <v>1.5100000000000001E-2</v>
      </c>
      <c r="H214" s="91">
        <f>VLOOKUP($A214,'Data Vlaue (Cr)'!$C:$FB,91)</f>
        <v>1252</v>
      </c>
      <c r="I214" s="91">
        <f>VLOOKUP($A214,'Data Vlaue (Cr)'!$C:$FB,93)</f>
        <v>437</v>
      </c>
      <c r="J214" s="92">
        <f>VLOOKUP($A214,'Data Vlaue (Cr)'!$C:$FB,94)</f>
        <v>0.53649999999999998</v>
      </c>
      <c r="K214" s="91">
        <f>VLOOKUP($A214,'Data Vlaue (Cr)'!$C:$FB,95)</f>
        <v>724</v>
      </c>
      <c r="L214" s="91">
        <f>VLOOKUP($A214,'Data Vlaue (Cr)'!$C:$FB,97)</f>
        <v>127</v>
      </c>
      <c r="M214" s="92">
        <f>VLOOKUP($A214,'Data Vlaue (Cr)'!$C:$FB,98)</f>
        <v>0.2132</v>
      </c>
      <c r="N214" s="91">
        <f>VLOOKUP($A214,'Data Vlaue (Cr)'!$C:$FB,79)</f>
        <v>1155</v>
      </c>
      <c r="O214" s="92">
        <f>VLOOKUP($A214,'Data Vlaue (Cr)'!$C:$FB,82)</f>
        <v>-0.37669999999999998</v>
      </c>
    </row>
    <row r="215" spans="1:15" x14ac:dyDescent="0.25">
      <c r="A215" s="97" t="str">
        <f>'Data Vlaue (Cr)'!C210</f>
        <v>UNITDSPR</v>
      </c>
      <c r="B215" s="142">
        <f>VLOOKUP(A215,'Data Vlaue (Cr)'!C210:CW428,99,0)</f>
        <v>2590</v>
      </c>
      <c r="C215" s="90">
        <f>VLOOKUP(A215,'Data Vlaue (Cr)'!C210:CY428,101,0)</f>
        <v>-41</v>
      </c>
      <c r="D215" s="139">
        <f>VLOOKUP(A215,'Data Vlaue (Cr)'!C210:CZ428,102,0)</f>
        <v>-1.54E-2</v>
      </c>
      <c r="E215" s="91">
        <f>VLOOKUP($A215,'Data Vlaue (Cr)'!$C:$FB,75)</f>
        <v>1548</v>
      </c>
      <c r="F215" s="91">
        <f>VLOOKUP($A215,'Data Vlaue (Cr)'!$C:$FB,77)</f>
        <v>-40</v>
      </c>
      <c r="G215" s="92">
        <f>VLOOKUP(A215,'Data Vlaue (Cr)'!C210:CB428,78,0)</f>
        <v>-2.5399999999999999E-2</v>
      </c>
      <c r="H215" s="91">
        <f>VLOOKUP($A215,'Data Vlaue (Cr)'!$C:$FB,91)</f>
        <v>539</v>
      </c>
      <c r="I215" s="91">
        <f>VLOOKUP($A215,'Data Vlaue (Cr)'!$C:$FB,93)</f>
        <v>-9</v>
      </c>
      <c r="J215" s="92">
        <f>VLOOKUP($A215,'Data Vlaue (Cr)'!$C:$FB,94)</f>
        <v>-1.5699999999999999E-2</v>
      </c>
      <c r="K215" s="91">
        <f>VLOOKUP($A215,'Data Vlaue (Cr)'!$C:$FB,95)</f>
        <v>503</v>
      </c>
      <c r="L215" s="91">
        <f>VLOOKUP($A215,'Data Vlaue (Cr)'!$C:$FB,97)</f>
        <v>8</v>
      </c>
      <c r="M215" s="92">
        <f>VLOOKUP($A215,'Data Vlaue (Cr)'!$C:$FB,98)</f>
        <v>1.7000000000000001E-2</v>
      </c>
      <c r="N215" s="91">
        <f>VLOOKUP($A215,'Data Vlaue (Cr)'!$C:$FB,79)</f>
        <v>901</v>
      </c>
      <c r="O215" s="92">
        <f>VLOOKUP($A215,'Data Vlaue (Cr)'!$C:$FB,82)</f>
        <v>-0.33090000000000003</v>
      </c>
    </row>
    <row r="216" spans="1:15" x14ac:dyDescent="0.25">
      <c r="A216" s="97" t="str">
        <f>'Data Vlaue (Cr)'!C211</f>
        <v>UNOMINDA</v>
      </c>
      <c r="B216" s="142">
        <f>VLOOKUP(A216,'Data Vlaue (Cr)'!C211:CW429,99,0)</f>
        <v>781</v>
      </c>
      <c r="C216" s="90">
        <f>VLOOKUP(A216,'Data Vlaue (Cr)'!C211:CY429,101,0)</f>
        <v>-34</v>
      </c>
      <c r="D216" s="139">
        <f>VLOOKUP(A216,'Data Vlaue (Cr)'!C211:CZ429,102,0)</f>
        <v>-4.1500000000000002E-2</v>
      </c>
      <c r="E216" s="91">
        <f>VLOOKUP($A216,'Data Vlaue (Cr)'!$C:$FB,75)</f>
        <v>495</v>
      </c>
      <c r="F216" s="91">
        <f>VLOOKUP($A216,'Data Vlaue (Cr)'!$C:$FB,77)</f>
        <v>-11</v>
      </c>
      <c r="G216" s="92">
        <f>VLOOKUP(A216,'Data Vlaue (Cr)'!C211:CB429,78,0)</f>
        <v>-2.0799999999999999E-2</v>
      </c>
      <c r="H216" s="91">
        <f>VLOOKUP($A216,'Data Vlaue (Cr)'!$C:$FB,91)</f>
        <v>191</v>
      </c>
      <c r="I216" s="91">
        <f>VLOOKUP($A216,'Data Vlaue (Cr)'!$C:$FB,93)</f>
        <v>-15</v>
      </c>
      <c r="J216" s="92">
        <f>VLOOKUP($A216,'Data Vlaue (Cr)'!$C:$FB,94)</f>
        <v>-7.3999999999999996E-2</v>
      </c>
      <c r="K216" s="91">
        <f>VLOOKUP($A216,'Data Vlaue (Cr)'!$C:$FB,95)</f>
        <v>96</v>
      </c>
      <c r="L216" s="91">
        <f>VLOOKUP($A216,'Data Vlaue (Cr)'!$C:$FB,97)</f>
        <v>-8</v>
      </c>
      <c r="M216" s="92">
        <f>VLOOKUP($A216,'Data Vlaue (Cr)'!$C:$FB,98)</f>
        <v>-7.7799999999999994E-2</v>
      </c>
      <c r="N216" s="91">
        <f>VLOOKUP($A216,'Data Vlaue (Cr)'!$C:$FB,79)</f>
        <v>271</v>
      </c>
      <c r="O216" s="92">
        <f>VLOOKUP($A216,'Data Vlaue (Cr)'!$C:$FB,82)</f>
        <v>-0.4214</v>
      </c>
    </row>
    <row r="217" spans="1:15" x14ac:dyDescent="0.25">
      <c r="A217" s="97" t="str">
        <f>'Data Vlaue (Cr)'!C212</f>
        <v>UPL</v>
      </c>
      <c r="B217" s="142">
        <f>VLOOKUP(A217,'Data Vlaue (Cr)'!C212:CW430,99,0)</f>
        <v>3188</v>
      </c>
      <c r="C217" s="90">
        <f>VLOOKUP(A217,'Data Vlaue (Cr)'!C212:CY430,101,0)</f>
        <v>44</v>
      </c>
      <c r="D217" s="139">
        <f>VLOOKUP(A217,'Data Vlaue (Cr)'!C212:CZ430,102,0)</f>
        <v>1.3899999999999999E-2</v>
      </c>
      <c r="E217" s="91">
        <f>VLOOKUP($A217,'Data Vlaue (Cr)'!$C:$FB,75)</f>
        <v>2104</v>
      </c>
      <c r="F217" s="91">
        <f>VLOOKUP($A217,'Data Vlaue (Cr)'!$C:$FB,77)</f>
        <v>101</v>
      </c>
      <c r="G217" s="92">
        <f>VLOOKUP(A217,'Data Vlaue (Cr)'!C212:CB430,78,0)</f>
        <v>5.0599999999999999E-2</v>
      </c>
      <c r="H217" s="91">
        <f>VLOOKUP($A217,'Data Vlaue (Cr)'!$C:$FB,91)</f>
        <v>611</v>
      </c>
      <c r="I217" s="91">
        <f>VLOOKUP($A217,'Data Vlaue (Cr)'!$C:$FB,93)</f>
        <v>-41</v>
      </c>
      <c r="J217" s="92">
        <f>VLOOKUP($A217,'Data Vlaue (Cr)'!$C:$FB,94)</f>
        <v>-6.2399999999999997E-2</v>
      </c>
      <c r="K217" s="91">
        <f>VLOOKUP($A217,'Data Vlaue (Cr)'!$C:$FB,95)</f>
        <v>473</v>
      </c>
      <c r="L217" s="91">
        <f>VLOOKUP($A217,'Data Vlaue (Cr)'!$C:$FB,97)</f>
        <v>-17</v>
      </c>
      <c r="M217" s="92">
        <f>VLOOKUP($A217,'Data Vlaue (Cr)'!$C:$FB,98)</f>
        <v>-3.4799999999999998E-2</v>
      </c>
      <c r="N217" s="91">
        <f>VLOOKUP($A217,'Data Vlaue (Cr)'!$C:$FB,79)</f>
        <v>1420</v>
      </c>
      <c r="O217" s="92">
        <f>VLOOKUP($A217,'Data Vlaue (Cr)'!$C:$FB,82)</f>
        <v>-0.20749999999999999</v>
      </c>
    </row>
    <row r="218" spans="1:15" x14ac:dyDescent="0.25">
      <c r="A218" s="97" t="str">
        <f>'Data Vlaue (Cr)'!C213</f>
        <v>VBL</v>
      </c>
      <c r="B218" s="142">
        <f>VLOOKUP(A218,'Data Vlaue (Cr)'!C213:CW431,99,0)</f>
        <v>4133</v>
      </c>
      <c r="C218" s="90">
        <f>VLOOKUP(A218,'Data Vlaue (Cr)'!C213:CY431,101,0)</f>
        <v>136</v>
      </c>
      <c r="D218" s="139">
        <f>VLOOKUP(A218,'Data Vlaue (Cr)'!C213:CZ431,102,0)</f>
        <v>3.39E-2</v>
      </c>
      <c r="E218" s="91">
        <f>VLOOKUP($A218,'Data Vlaue (Cr)'!$C:$FB,75)</f>
        <v>2473</v>
      </c>
      <c r="F218" s="91">
        <f>VLOOKUP($A218,'Data Vlaue (Cr)'!$C:$FB,77)</f>
        <v>62</v>
      </c>
      <c r="G218" s="92">
        <f>VLOOKUP(A218,'Data Vlaue (Cr)'!C213:CB431,78,0)</f>
        <v>2.5899999999999999E-2</v>
      </c>
      <c r="H218" s="91">
        <f>VLOOKUP($A218,'Data Vlaue (Cr)'!$C:$FB,91)</f>
        <v>1045</v>
      </c>
      <c r="I218" s="91">
        <f>VLOOKUP($A218,'Data Vlaue (Cr)'!$C:$FB,93)</f>
        <v>78</v>
      </c>
      <c r="J218" s="92">
        <f>VLOOKUP($A218,'Data Vlaue (Cr)'!$C:$FB,94)</f>
        <v>8.0299999999999996E-2</v>
      </c>
      <c r="K218" s="91">
        <f>VLOOKUP($A218,'Data Vlaue (Cr)'!$C:$FB,95)</f>
        <v>615</v>
      </c>
      <c r="L218" s="91">
        <f>VLOOKUP($A218,'Data Vlaue (Cr)'!$C:$FB,97)</f>
        <v>-5</v>
      </c>
      <c r="M218" s="92">
        <f>VLOOKUP($A218,'Data Vlaue (Cr)'!$C:$FB,98)</f>
        <v>-7.3000000000000001E-3</v>
      </c>
      <c r="N218" s="91">
        <f>VLOOKUP($A218,'Data Vlaue (Cr)'!$C:$FB,79)</f>
        <v>1630</v>
      </c>
      <c r="O218" s="92">
        <f>VLOOKUP($A218,'Data Vlaue (Cr)'!$C:$FB,82)</f>
        <v>-0.26479999999999998</v>
      </c>
    </row>
    <row r="219" spans="1:15" x14ac:dyDescent="0.25">
      <c r="A219" s="97" t="str">
        <f>'Data Vlaue (Cr)'!C214</f>
        <v>VEDL</v>
      </c>
      <c r="B219" s="142">
        <f>VLOOKUP(A219,'Data Vlaue (Cr)'!C214:CW432,99,0)</f>
        <v>10013</v>
      </c>
      <c r="C219" s="90">
        <f>VLOOKUP(A219,'Data Vlaue (Cr)'!C214:CY432,101,0)</f>
        <v>132</v>
      </c>
      <c r="D219" s="139">
        <f>VLOOKUP(A219,'Data Vlaue (Cr)'!C214:CZ432,102,0)</f>
        <v>1.34E-2</v>
      </c>
      <c r="E219" s="91">
        <f>VLOOKUP($A219,'Data Vlaue (Cr)'!$C:$FB,75)</f>
        <v>3218</v>
      </c>
      <c r="F219" s="91">
        <f>VLOOKUP($A219,'Data Vlaue (Cr)'!$C:$FB,77)</f>
        <v>-294</v>
      </c>
      <c r="G219" s="92">
        <f>VLOOKUP(A219,'Data Vlaue (Cr)'!C214:CB432,78,0)</f>
        <v>-8.3799999999999999E-2</v>
      </c>
      <c r="H219" s="91">
        <f>VLOOKUP($A219,'Data Vlaue (Cr)'!$C:$FB,91)</f>
        <v>4182</v>
      </c>
      <c r="I219" s="91">
        <f>VLOOKUP($A219,'Data Vlaue (Cr)'!$C:$FB,93)</f>
        <v>528</v>
      </c>
      <c r="J219" s="92">
        <f>VLOOKUP($A219,'Data Vlaue (Cr)'!$C:$FB,94)</f>
        <v>0.14449999999999999</v>
      </c>
      <c r="K219" s="91">
        <f>VLOOKUP($A219,'Data Vlaue (Cr)'!$C:$FB,95)</f>
        <v>2613</v>
      </c>
      <c r="L219" s="91">
        <f>VLOOKUP($A219,'Data Vlaue (Cr)'!$C:$FB,97)</f>
        <v>-101</v>
      </c>
      <c r="M219" s="92">
        <f>VLOOKUP($A219,'Data Vlaue (Cr)'!$C:$FB,98)</f>
        <v>-3.73E-2</v>
      </c>
      <c r="N219" s="91">
        <f>VLOOKUP($A219,'Data Vlaue (Cr)'!$C:$FB,79)</f>
        <v>2315</v>
      </c>
      <c r="O219" s="92">
        <f>VLOOKUP($A219,'Data Vlaue (Cr)'!$C:$FB,82)</f>
        <v>-0.2132</v>
      </c>
    </row>
    <row r="220" spans="1:15" x14ac:dyDescent="0.25">
      <c r="A220" s="97" t="str">
        <f>'Data Vlaue (Cr)'!C215</f>
        <v>VMM</v>
      </c>
      <c r="B220" s="142">
        <f>VLOOKUP(A220,'Data Vlaue (Cr)'!C215:CW433,99,0)</f>
        <v>546</v>
      </c>
      <c r="C220" s="90">
        <f>VLOOKUP(A220,'Data Vlaue (Cr)'!C215:CY433,101,0)</f>
        <v>-1</v>
      </c>
      <c r="D220" s="139">
        <f>VLOOKUP(A220,'Data Vlaue (Cr)'!C215:CZ433,102,0)</f>
        <v>-1E-3</v>
      </c>
      <c r="E220" s="91">
        <f>VLOOKUP($A220,'Data Vlaue (Cr)'!$C:$FB,75)</f>
        <v>381</v>
      </c>
      <c r="F220" s="91">
        <f>VLOOKUP($A220,'Data Vlaue (Cr)'!$C:$FB,77)</f>
        <v>10</v>
      </c>
      <c r="G220" s="92">
        <f>VLOOKUP(A220,'Data Vlaue (Cr)'!C215:CB433,78,0)</f>
        <v>2.7300000000000001E-2</v>
      </c>
      <c r="H220" s="91">
        <f>VLOOKUP($A220,'Data Vlaue (Cr)'!$C:$FB,91)</f>
        <v>110</v>
      </c>
      <c r="I220" s="91">
        <f>VLOOKUP($A220,'Data Vlaue (Cr)'!$C:$FB,93)</f>
        <v>-9</v>
      </c>
      <c r="J220" s="92">
        <f>VLOOKUP($A220,'Data Vlaue (Cr)'!$C:$FB,94)</f>
        <v>-7.5300000000000006E-2</v>
      </c>
      <c r="K220" s="91">
        <f>VLOOKUP($A220,'Data Vlaue (Cr)'!$C:$FB,95)</f>
        <v>56</v>
      </c>
      <c r="L220" s="91">
        <f>VLOOKUP($A220,'Data Vlaue (Cr)'!$C:$FB,97)</f>
        <v>-2</v>
      </c>
      <c r="M220" s="92">
        <f>VLOOKUP($A220,'Data Vlaue (Cr)'!$C:$FB,98)</f>
        <v>-2.98E-2</v>
      </c>
      <c r="N220" s="91">
        <f>VLOOKUP($A220,'Data Vlaue (Cr)'!$C:$FB,79)</f>
        <v>261</v>
      </c>
      <c r="O220" s="92">
        <f>VLOOKUP($A220,'Data Vlaue (Cr)'!$C:$FB,82)</f>
        <v>-0.25900000000000001</v>
      </c>
    </row>
    <row r="221" spans="1:15" x14ac:dyDescent="0.25">
      <c r="A221" s="97" t="str">
        <f>'Data Vlaue (Cr)'!C216</f>
        <v>VOLTAS</v>
      </c>
      <c r="B221" s="142">
        <f>VLOOKUP(A221,'Data Vlaue (Cr)'!C216:CW434,99,0)</f>
        <v>2821</v>
      </c>
      <c r="C221" s="90">
        <f>VLOOKUP(A221,'Data Vlaue (Cr)'!C216:CY434,101,0)</f>
        <v>-251</v>
      </c>
      <c r="D221" s="139">
        <f>VLOOKUP(A221,'Data Vlaue (Cr)'!C216:CZ434,102,0)</f>
        <v>-8.1600000000000006E-2</v>
      </c>
      <c r="E221" s="91">
        <f>VLOOKUP($A221,'Data Vlaue (Cr)'!$C:$FB,75)</f>
        <v>1577</v>
      </c>
      <c r="F221" s="91">
        <f>VLOOKUP($A221,'Data Vlaue (Cr)'!$C:$FB,77)</f>
        <v>-200</v>
      </c>
      <c r="G221" s="92">
        <f>VLOOKUP(A221,'Data Vlaue (Cr)'!C216:CB434,78,0)</f>
        <v>-0.1125</v>
      </c>
      <c r="H221" s="91">
        <f>VLOOKUP($A221,'Data Vlaue (Cr)'!$C:$FB,91)</f>
        <v>661</v>
      </c>
      <c r="I221" s="91">
        <f>VLOOKUP($A221,'Data Vlaue (Cr)'!$C:$FB,93)</f>
        <v>-19</v>
      </c>
      <c r="J221" s="92">
        <f>VLOOKUP($A221,'Data Vlaue (Cr)'!$C:$FB,94)</f>
        <v>-2.76E-2</v>
      </c>
      <c r="K221" s="91">
        <f>VLOOKUP($A221,'Data Vlaue (Cr)'!$C:$FB,95)</f>
        <v>583</v>
      </c>
      <c r="L221" s="91">
        <f>VLOOKUP($A221,'Data Vlaue (Cr)'!$C:$FB,97)</f>
        <v>-32</v>
      </c>
      <c r="M221" s="92">
        <f>VLOOKUP($A221,'Data Vlaue (Cr)'!$C:$FB,98)</f>
        <v>-5.1900000000000002E-2</v>
      </c>
      <c r="N221" s="91">
        <f>VLOOKUP($A221,'Data Vlaue (Cr)'!$C:$FB,79)</f>
        <v>981</v>
      </c>
      <c r="O221" s="92">
        <f>VLOOKUP($A221,'Data Vlaue (Cr)'!$C:$FB,82)</f>
        <v>-0.2772</v>
      </c>
    </row>
    <row r="222" spans="1:15" x14ac:dyDescent="0.25">
      <c r="A222" s="97" t="str">
        <f>'Data Vlaue (Cr)'!C217</f>
        <v>WAAREEENER</v>
      </c>
      <c r="B222" s="142">
        <f>VLOOKUP(A222,'Data Vlaue (Cr)'!C217:CW435,99,0)</f>
        <v>3048</v>
      </c>
      <c r="C222" s="90">
        <f>VLOOKUP(A222,'Data Vlaue (Cr)'!C217:CY435,101,0)</f>
        <v>57</v>
      </c>
      <c r="D222" s="139">
        <f>VLOOKUP(A222,'Data Vlaue (Cr)'!C217:CZ435,102,0)</f>
        <v>1.9099999999999999E-2</v>
      </c>
      <c r="E222" s="91">
        <f>VLOOKUP($A222,'Data Vlaue (Cr)'!$C:$FB,75)</f>
        <v>1809</v>
      </c>
      <c r="F222" s="91">
        <f>VLOOKUP($A222,'Data Vlaue (Cr)'!$C:$FB,77)</f>
        <v>4</v>
      </c>
      <c r="G222" s="92">
        <f>VLOOKUP(A222,'Data Vlaue (Cr)'!C217:CB435,78,0)</f>
        <v>2.0999999999999999E-3</v>
      </c>
      <c r="H222" s="91">
        <f>VLOOKUP($A222,'Data Vlaue (Cr)'!$C:$FB,91)</f>
        <v>695</v>
      </c>
      <c r="I222" s="91">
        <f>VLOOKUP($A222,'Data Vlaue (Cr)'!$C:$FB,93)</f>
        <v>-6</v>
      </c>
      <c r="J222" s="92">
        <f>VLOOKUP($A222,'Data Vlaue (Cr)'!$C:$FB,94)</f>
        <v>-8.6999999999999994E-3</v>
      </c>
      <c r="K222" s="91">
        <f>VLOOKUP($A222,'Data Vlaue (Cr)'!$C:$FB,95)</f>
        <v>544</v>
      </c>
      <c r="L222" s="91">
        <f>VLOOKUP($A222,'Data Vlaue (Cr)'!$C:$FB,97)</f>
        <v>59</v>
      </c>
      <c r="M222" s="92">
        <f>VLOOKUP($A222,'Data Vlaue (Cr)'!$C:$FB,98)</f>
        <v>0.1229</v>
      </c>
      <c r="N222" s="91">
        <f>VLOOKUP($A222,'Data Vlaue (Cr)'!$C:$FB,79)</f>
        <v>1230</v>
      </c>
      <c r="O222" s="92">
        <f>VLOOKUP($A222,'Data Vlaue (Cr)'!$C:$FB,82)</f>
        <v>-0.21440000000000001</v>
      </c>
    </row>
    <row r="223" spans="1:15" x14ac:dyDescent="0.25">
      <c r="A223" s="97" t="str">
        <f>'Data Vlaue (Cr)'!C218</f>
        <v>WIPRO</v>
      </c>
      <c r="B223" s="142">
        <f>VLOOKUP(A223,'Data Vlaue (Cr)'!C218:CW436,99,0)</f>
        <v>11215</v>
      </c>
      <c r="C223" s="90">
        <f>VLOOKUP(A223,'Data Vlaue (Cr)'!C218:CY436,101,0)</f>
        <v>-688</v>
      </c>
      <c r="D223" s="139">
        <f>VLOOKUP(A223,'Data Vlaue (Cr)'!C218:CZ436,102,0)</f>
        <v>-5.7799999999999997E-2</v>
      </c>
      <c r="E223" s="91">
        <f>VLOOKUP($A223,'Data Vlaue (Cr)'!$C:$FB,75)</f>
        <v>6042</v>
      </c>
      <c r="F223" s="91">
        <f>VLOOKUP($A223,'Data Vlaue (Cr)'!$C:$FB,77)</f>
        <v>-681</v>
      </c>
      <c r="G223" s="92">
        <f>VLOOKUP(A223,'Data Vlaue (Cr)'!C218:CB436,78,0)</f>
        <v>-0.1013</v>
      </c>
      <c r="H223" s="91">
        <f>VLOOKUP($A223,'Data Vlaue (Cr)'!$C:$FB,91)</f>
        <v>3417</v>
      </c>
      <c r="I223" s="91">
        <f>VLOOKUP($A223,'Data Vlaue (Cr)'!$C:$FB,93)</f>
        <v>43</v>
      </c>
      <c r="J223" s="92">
        <f>VLOOKUP($A223,'Data Vlaue (Cr)'!$C:$FB,94)</f>
        <v>1.2800000000000001E-2</v>
      </c>
      <c r="K223" s="91">
        <f>VLOOKUP($A223,'Data Vlaue (Cr)'!$C:$FB,95)</f>
        <v>1756</v>
      </c>
      <c r="L223" s="91">
        <f>VLOOKUP($A223,'Data Vlaue (Cr)'!$C:$FB,97)</f>
        <v>-50</v>
      </c>
      <c r="M223" s="92">
        <f>VLOOKUP($A223,'Data Vlaue (Cr)'!$C:$FB,98)</f>
        <v>-2.75E-2</v>
      </c>
      <c r="N223" s="91">
        <f>VLOOKUP($A223,'Data Vlaue (Cr)'!$C:$FB,79)</f>
        <v>3248</v>
      </c>
      <c r="O223" s="92">
        <f>VLOOKUP($A223,'Data Vlaue (Cr)'!$C:$FB,82)</f>
        <v>-0.30080000000000001</v>
      </c>
    </row>
    <row r="224" spans="1:15" x14ac:dyDescent="0.25">
      <c r="A224" s="97" t="str">
        <f>'Data Vlaue (Cr)'!C219</f>
        <v>YESBANK</v>
      </c>
      <c r="B224" s="142">
        <f>VLOOKUP(A224,'Data Vlaue (Cr)'!C219:CW437,99,0)</f>
        <v>4599</v>
      </c>
      <c r="C224" s="90">
        <f>VLOOKUP(A224,'Data Vlaue (Cr)'!C219:CY437,101,0)</f>
        <v>-71</v>
      </c>
      <c r="D224" s="139">
        <f>VLOOKUP(A224,'Data Vlaue (Cr)'!C219:CZ437,102,0)</f>
        <v>-1.5100000000000001E-2</v>
      </c>
      <c r="E224" s="91">
        <f>VLOOKUP($A224,'Data Vlaue (Cr)'!$C:$FB,75)</f>
        <v>2590</v>
      </c>
      <c r="F224" s="91">
        <f>VLOOKUP($A224,'Data Vlaue (Cr)'!$C:$FB,77)</f>
        <v>-1</v>
      </c>
      <c r="G224" s="92">
        <f>VLOOKUP(A224,'Data Vlaue (Cr)'!C219:CB437,78,0)</f>
        <v>-5.0000000000000001E-4</v>
      </c>
      <c r="H224" s="91">
        <f>VLOOKUP($A224,'Data Vlaue (Cr)'!$C:$FB,91)</f>
        <v>1315</v>
      </c>
      <c r="I224" s="91">
        <f>VLOOKUP($A224,'Data Vlaue (Cr)'!$C:$FB,93)</f>
        <v>-54</v>
      </c>
      <c r="J224" s="92">
        <f>VLOOKUP($A224,'Data Vlaue (Cr)'!$C:$FB,94)</f>
        <v>-3.9199999999999999E-2</v>
      </c>
      <c r="K224" s="91">
        <f>VLOOKUP($A224,'Data Vlaue (Cr)'!$C:$FB,95)</f>
        <v>694</v>
      </c>
      <c r="L224" s="91">
        <f>VLOOKUP($A224,'Data Vlaue (Cr)'!$C:$FB,97)</f>
        <v>-16</v>
      </c>
      <c r="M224" s="92">
        <f>VLOOKUP($A224,'Data Vlaue (Cr)'!$C:$FB,98)</f>
        <v>-2.2100000000000002E-2</v>
      </c>
      <c r="N224" s="91">
        <f>VLOOKUP($A224,'Data Vlaue (Cr)'!$C:$FB,79)</f>
        <v>1405</v>
      </c>
      <c r="O224" s="92">
        <f>VLOOKUP($A224,'Data Vlaue (Cr)'!$C:$FB,82)</f>
        <v>-0.25869999999999999</v>
      </c>
    </row>
    <row r="225" spans="1:15" x14ac:dyDescent="0.25">
      <c r="A225" s="97" t="str">
        <f>'Data Vlaue (Cr)'!C220</f>
        <v>ZYDUSLIFE</v>
      </c>
      <c r="B225" s="142">
        <f>VLOOKUP(A225,'Data Vlaue (Cr)'!C220:CW438,99,0)</f>
        <v>1529</v>
      </c>
      <c r="C225" s="90">
        <f>VLOOKUP(A225,'Data Vlaue (Cr)'!C220:CY438,101,0)</f>
        <v>109</v>
      </c>
      <c r="D225" s="139">
        <f>VLOOKUP(A225,'Data Vlaue (Cr)'!C220:CZ438,102,0)</f>
        <v>7.6600000000000001E-2</v>
      </c>
      <c r="E225" s="91">
        <f>VLOOKUP($A225,'Data Vlaue (Cr)'!$C:$FB,75)</f>
        <v>926</v>
      </c>
      <c r="F225" s="91">
        <f>VLOOKUP($A225,'Data Vlaue (Cr)'!$C:$FB,77)</f>
        <v>37</v>
      </c>
      <c r="G225" s="92">
        <f>VLOOKUP(A225,'Data Vlaue (Cr)'!C220:CB438,78,0)</f>
        <v>4.2200000000000001E-2</v>
      </c>
      <c r="H225" s="91">
        <f>VLOOKUP($A225,'Data Vlaue (Cr)'!$C:$FB,91)</f>
        <v>337</v>
      </c>
      <c r="I225" s="91">
        <f>VLOOKUP($A225,'Data Vlaue (Cr)'!$C:$FB,93)</f>
        <v>30</v>
      </c>
      <c r="J225" s="92">
        <f>VLOOKUP($A225,'Data Vlaue (Cr)'!$C:$FB,94)</f>
        <v>9.9199999999999997E-2</v>
      </c>
      <c r="K225" s="91">
        <f>VLOOKUP($A225,'Data Vlaue (Cr)'!$C:$FB,95)</f>
        <v>266</v>
      </c>
      <c r="L225" s="91">
        <f>VLOOKUP($A225,'Data Vlaue (Cr)'!$C:$FB,97)</f>
        <v>41</v>
      </c>
      <c r="M225" s="92">
        <f>VLOOKUP($A225,'Data Vlaue (Cr)'!$C:$FB,98)</f>
        <v>0.18179999999999999</v>
      </c>
      <c r="N225" s="91">
        <f>VLOOKUP($A225,'Data Vlaue (Cr)'!$C:$FB,79)</f>
        <v>487</v>
      </c>
      <c r="O225" s="92">
        <f>VLOOKUP($A225,'Data Vlaue (Cr)'!$C:$FB,82)</f>
        <v>-0.3634</v>
      </c>
    </row>
    <row r="226" spans="1:15" x14ac:dyDescent="0.25">
      <c r="A226" s="97"/>
      <c r="B226" s="142"/>
      <c r="C226" s="90"/>
      <c r="D226" s="139"/>
      <c r="E226" s="91"/>
      <c r="F226" s="91"/>
      <c r="G226" s="92"/>
      <c r="H226" s="91"/>
      <c r="I226" s="91"/>
      <c r="J226" s="92"/>
      <c r="K226" s="91"/>
      <c r="L226" s="91"/>
      <c r="M226" s="92"/>
      <c r="N226" s="91"/>
      <c r="O226" s="92"/>
    </row>
    <row r="227" spans="1:15" x14ac:dyDescent="0.25">
      <c r="A227" s="97"/>
      <c r="B227" s="142"/>
      <c r="C227" s="90"/>
      <c r="D227" s="139"/>
      <c r="E227" s="91"/>
      <c r="F227" s="91"/>
      <c r="G227" s="92"/>
      <c r="H227" s="91"/>
      <c r="I227" s="91"/>
      <c r="J227" s="92"/>
      <c r="K227" s="91"/>
      <c r="L227" s="91"/>
      <c r="M227" s="92"/>
      <c r="N227" s="91"/>
      <c r="O227" s="92"/>
    </row>
    <row r="228" spans="1:15" x14ac:dyDescent="0.25">
      <c r="A228" s="97"/>
      <c r="B228" s="142"/>
      <c r="C228" s="90"/>
      <c r="D228" s="139"/>
      <c r="E228" s="91"/>
      <c r="F228" s="91"/>
      <c r="G228" s="92"/>
      <c r="H228" s="91"/>
      <c r="I228" s="91"/>
      <c r="J228" s="92"/>
      <c r="K228" s="91"/>
      <c r="L228" s="91"/>
      <c r="M228" s="92"/>
      <c r="N228" s="91"/>
      <c r="O228" s="92"/>
    </row>
    <row r="229" spans="1:15" x14ac:dyDescent="0.25">
      <c r="A229" s="97"/>
      <c r="B229" s="142"/>
      <c r="C229" s="90"/>
      <c r="D229" s="139"/>
      <c r="E229" s="91"/>
      <c r="F229" s="91"/>
      <c r="G229" s="92"/>
      <c r="H229" s="91"/>
      <c r="I229" s="91"/>
      <c r="J229" s="92"/>
      <c r="K229" s="91"/>
      <c r="L229" s="91"/>
      <c r="M229" s="92"/>
      <c r="N229" s="91"/>
      <c r="O229" s="92"/>
    </row>
    <row r="230" spans="1:15" x14ac:dyDescent="0.25">
      <c r="A230" s="97"/>
      <c r="B230" s="142"/>
      <c r="C230" s="90"/>
      <c r="D230" s="139"/>
      <c r="E230" s="91"/>
      <c r="F230" s="91"/>
      <c r="G230" s="92"/>
      <c r="H230" s="91"/>
      <c r="I230" s="91"/>
      <c r="J230" s="92"/>
      <c r="K230" s="91"/>
      <c r="L230" s="91"/>
      <c r="M230" s="92"/>
      <c r="N230" s="91"/>
      <c r="O230" s="92"/>
    </row>
    <row r="231" spans="1:15" x14ac:dyDescent="0.25">
      <c r="A231" s="97"/>
      <c r="B231" s="142"/>
      <c r="C231" s="90"/>
      <c r="D231" s="139"/>
      <c r="E231" s="91"/>
      <c r="F231" s="91"/>
      <c r="G231" s="92"/>
      <c r="H231" s="91"/>
      <c r="I231" s="91"/>
      <c r="J231" s="92"/>
      <c r="K231" s="91"/>
      <c r="L231" s="91"/>
      <c r="M231" s="92"/>
      <c r="N231" s="91"/>
      <c r="O231" s="92"/>
    </row>
    <row r="232" spans="1:15" x14ac:dyDescent="0.25">
      <c r="A232" s="102"/>
      <c r="B232" s="142"/>
      <c r="C232" s="90"/>
      <c r="D232" s="139"/>
      <c r="E232" s="91"/>
      <c r="F232" s="91"/>
      <c r="G232" s="92"/>
      <c r="H232" s="91"/>
      <c r="I232" s="91"/>
      <c r="J232" s="92"/>
      <c r="K232" s="91"/>
      <c r="L232" s="91"/>
      <c r="M232" s="92"/>
      <c r="N232" s="91"/>
      <c r="O232" s="92"/>
    </row>
    <row r="233" spans="1:15" x14ac:dyDescent="0.25">
      <c r="A233" s="122" t="s">
        <v>391</v>
      </c>
      <c r="B233" s="123">
        <f>SUM(B7:B227)</f>
        <v>2317965</v>
      </c>
      <c r="C233" s="123">
        <f>SUM(C7:C230)</f>
        <v>161932</v>
      </c>
      <c r="D233" s="124">
        <f>'Snapshot (Value)'!K241</f>
        <v>7.5109449000406767E-2</v>
      </c>
      <c r="E233" s="123">
        <f>SUM(E7:E228)</f>
        <v>593708</v>
      </c>
      <c r="F233" s="123">
        <f>SUM(F7:F228)</f>
        <v>-1263</v>
      </c>
      <c r="G233" s="149">
        <f>F233*100/(E233-F233)</f>
        <v>-0.21227925394683103</v>
      </c>
      <c r="H233" s="123">
        <f>SUM(H7:H228)</f>
        <v>922758</v>
      </c>
      <c r="I233" s="123">
        <f>SUM(I7:I228)</f>
        <v>115162</v>
      </c>
      <c r="J233" s="149">
        <f>I233/(H233-I233)</f>
        <v>0.14259852698626541</v>
      </c>
      <c r="K233" s="123">
        <f>SUM(K7:K228)</f>
        <v>801499</v>
      </c>
      <c r="L233" s="123">
        <f>SUM(L7:L228)</f>
        <v>48018</v>
      </c>
      <c r="M233" s="149">
        <f>L233/(K233-L233)</f>
        <v>6.3728216106311908E-2</v>
      </c>
      <c r="N233" s="123">
        <f>SUM(N7:N228)</f>
        <v>347550</v>
      </c>
      <c r="O233" s="149">
        <f>(N233-FII!V2)/N233</f>
        <v>-0.32195079844626673</v>
      </c>
    </row>
    <row r="238" spans="1:15" x14ac:dyDescent="0.25">
      <c r="A238" s="274" t="s">
        <v>408</v>
      </c>
      <c r="B238" s="274"/>
      <c r="C238" s="274"/>
      <c r="D238" s="274"/>
    </row>
    <row r="239" spans="1:15" x14ac:dyDescent="0.25">
      <c r="A239" s="35" t="s">
        <v>401</v>
      </c>
      <c r="B239" s="35" t="s">
        <v>402</v>
      </c>
      <c r="C239" s="35" t="s">
        <v>369</v>
      </c>
      <c r="D239" s="35" t="s">
        <v>407</v>
      </c>
    </row>
    <row r="240" spans="1:15" x14ac:dyDescent="0.25">
      <c r="A240" s="36" t="s">
        <v>403</v>
      </c>
      <c r="B240" s="37">
        <f>E233</f>
        <v>593708</v>
      </c>
      <c r="C240" s="37">
        <f>F233</f>
        <v>-1263</v>
      </c>
      <c r="D240" s="39">
        <f>C240/B240</f>
        <v>-2.1273083738133896E-3</v>
      </c>
    </row>
    <row r="241" spans="1:4" x14ac:dyDescent="0.25">
      <c r="A241" s="36" t="s">
        <v>404</v>
      </c>
      <c r="B241" s="37">
        <f>H233</f>
        <v>922758</v>
      </c>
      <c r="C241" s="37">
        <f>I233</f>
        <v>115162</v>
      </c>
      <c r="D241" s="150">
        <f>C241/B241</f>
        <v>0.12480195240789026</v>
      </c>
    </row>
    <row r="242" spans="1:4" x14ac:dyDescent="0.25">
      <c r="A242" s="36" t="s">
        <v>405</v>
      </c>
      <c r="B242" s="37">
        <f>K233</f>
        <v>801499</v>
      </c>
      <c r="C242" s="37">
        <f>L233</f>
        <v>48018</v>
      </c>
      <c r="D242" s="150">
        <f>C242/B242</f>
        <v>5.9910243181838033E-2</v>
      </c>
    </row>
    <row r="243" spans="1:4" x14ac:dyDescent="0.25">
      <c r="A243" s="36" t="s">
        <v>406</v>
      </c>
      <c r="B243" s="37">
        <f>B240+B241+B242</f>
        <v>2317965</v>
      </c>
      <c r="C243" s="37">
        <f>C240+C241+C242</f>
        <v>161917</v>
      </c>
      <c r="D243" s="150">
        <f>C243/B243</f>
        <v>6.9853082337308803E-2</v>
      </c>
    </row>
  </sheetData>
  <autoFilter ref="A6:O6">
    <sortState ref="A7:O154">
      <sortCondition ref="A6"/>
    </sortState>
  </autoFilter>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workbookViewId="0">
      <pane ySplit="6" topLeftCell="A26" activePane="bottomLeft" state="frozen"/>
      <selection pane="bottomLeft" activeCell="A7" sqref="A7:A56"/>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2" t="s">
        <v>343</v>
      </c>
      <c r="B3" s="293"/>
      <c r="C3" s="293"/>
      <c r="D3" s="293"/>
      <c r="E3" s="293"/>
      <c r="F3" s="293"/>
      <c r="G3" s="294"/>
      <c r="H3" s="294"/>
      <c r="I3" s="294"/>
      <c r="J3" s="295"/>
    </row>
    <row r="4" spans="1:10" s="93" customFormat="1" x14ac:dyDescent="0.25">
      <c r="A4" s="296" t="s">
        <v>330</v>
      </c>
      <c r="B4" s="296" t="s">
        <v>308</v>
      </c>
      <c r="C4" s="296"/>
      <c r="D4" s="296"/>
      <c r="E4" s="296" t="s">
        <v>340</v>
      </c>
      <c r="F4" s="296"/>
      <c r="G4" s="296"/>
      <c r="H4" s="296" t="s">
        <v>458</v>
      </c>
      <c r="I4" s="296"/>
      <c r="J4" s="296"/>
    </row>
    <row r="5" spans="1:10" s="93" customFormat="1" x14ac:dyDescent="0.25">
      <c r="A5" s="297"/>
      <c r="B5" s="94" t="s">
        <v>312</v>
      </c>
      <c r="C5" s="94" t="s">
        <v>313</v>
      </c>
      <c r="D5" s="94"/>
      <c r="E5" s="297" t="s">
        <v>314</v>
      </c>
      <c r="F5" s="297"/>
      <c r="G5" s="297"/>
      <c r="H5" s="297" t="s">
        <v>314</v>
      </c>
      <c r="I5" s="297"/>
      <c r="J5" s="297"/>
    </row>
    <row r="6" spans="1:10" s="93" customFormat="1" x14ac:dyDescent="0.25">
      <c r="A6" s="94" t="s">
        <v>318</v>
      </c>
      <c r="B6" s="3">
        <f>'OI(Volume)'!B6</f>
        <v>46135</v>
      </c>
      <c r="C6" s="3">
        <f>B6</f>
        <v>46135</v>
      </c>
      <c r="D6" s="94" t="s">
        <v>328</v>
      </c>
      <c r="E6" s="3">
        <f>B6</f>
        <v>46135</v>
      </c>
      <c r="F6" s="94" t="s">
        <v>322</v>
      </c>
      <c r="G6" s="94" t="s">
        <v>328</v>
      </c>
      <c r="H6" s="3">
        <f>E6</f>
        <v>46135</v>
      </c>
      <c r="I6" s="94" t="s">
        <v>322</v>
      </c>
      <c r="J6" s="94" t="s">
        <v>328</v>
      </c>
    </row>
    <row r="7" spans="1:10" x14ac:dyDescent="0.25">
      <c r="A7" s="101" t="str">
        <f>'NIFTY GRP'!C2</f>
        <v>ADANIENT</v>
      </c>
      <c r="B7" s="140">
        <f>VLOOKUP($A7,'Data shares'!$C:$FA,7)</f>
        <v>2300</v>
      </c>
      <c r="C7" s="140">
        <f>VLOOKUP($A7,'Data shares'!$C:$FA,3)</f>
        <v>2307.1999999999998</v>
      </c>
      <c r="D7" s="50">
        <f>VLOOKUP($A7,'Data shares'!$C:$FA,6)*100</f>
        <v>1.67</v>
      </c>
      <c r="E7" s="51">
        <f>VLOOKUP($A7,'Data shares'!$C:$FA,98)</f>
        <v>34910511</v>
      </c>
      <c r="F7" s="51">
        <f>VLOOKUP($A7,'Data shares'!$C:$FA,99)</f>
        <v>33482004</v>
      </c>
      <c r="G7" s="50">
        <f>VLOOKUP($A7,'Data shares'!$C:$FA,101)*100</f>
        <v>4.2700000000000005</v>
      </c>
      <c r="H7" s="49">
        <f>VLOOKUP($A7,'Data Vlaue (Cr)'!$C:$FB,99)</f>
        <v>8055</v>
      </c>
      <c r="I7" s="49">
        <f>VLOOKUP($A7,'Data Vlaue (Cr)'!$C:$FB,100)</f>
        <v>7725</v>
      </c>
      <c r="J7" s="49">
        <f>VLOOKUP($A7,'Data Vlaue (Cr)'!$C:$FB,102)*100</f>
        <v>4.2700000000000005</v>
      </c>
    </row>
    <row r="8" spans="1:10" x14ac:dyDescent="0.25">
      <c r="A8" s="101" t="str">
        <f>'NIFTY GRP'!C3</f>
        <v>ADANIPORTS</v>
      </c>
      <c r="B8" s="140">
        <f>VLOOKUP($A8,'Data shares'!$C:$FA,7)</f>
        <v>1602.9</v>
      </c>
      <c r="C8" s="140">
        <f>VLOOKUP($A8,'Data shares'!$C:$FA,3)</f>
        <v>1599.8</v>
      </c>
      <c r="D8" s="50">
        <f>VLOOKUP($A8,'Data shares'!$C:$FA,6)*100</f>
        <v>0.54999999999999993</v>
      </c>
      <c r="E8" s="51">
        <f>VLOOKUP($A8,'Data shares'!$C:$FA,98)</f>
        <v>39292475</v>
      </c>
      <c r="F8" s="51">
        <f>VLOOKUP($A8,'Data shares'!$C:$FA,99)</f>
        <v>39542325</v>
      </c>
      <c r="G8" s="50">
        <f>VLOOKUP($A8,'Data shares'!$C:$FA,101)*100</f>
        <v>-0.63</v>
      </c>
      <c r="H8" s="49">
        <f>VLOOKUP($A8,'Data Vlaue (Cr)'!$C:$FB,99)</f>
        <v>6286</v>
      </c>
      <c r="I8" s="49">
        <f>VLOOKUP($A8,'Data Vlaue (Cr)'!$C:$FB,100)</f>
        <v>6326</v>
      </c>
      <c r="J8" s="49">
        <f>VLOOKUP($A8,'Data Vlaue (Cr)'!$C:$FB,102)*100</f>
        <v>-0.63</v>
      </c>
    </row>
    <row r="9" spans="1:10" x14ac:dyDescent="0.25">
      <c r="A9" s="101" t="str">
        <f>'NIFTY GRP'!C4</f>
        <v>APOLLOHOSP</v>
      </c>
      <c r="B9" s="140">
        <f>VLOOKUP($A9,'Data shares'!$C:$FA,7)</f>
        <v>7781</v>
      </c>
      <c r="C9" s="140">
        <f>VLOOKUP($A9,'Data shares'!$C:$FA,3)</f>
        <v>7766.5</v>
      </c>
      <c r="D9" s="50">
        <f>VLOOKUP($A9,'Data shares'!$C:$FA,6)*100</f>
        <v>1.58</v>
      </c>
      <c r="E9" s="51">
        <f>VLOOKUP($A9,'Data shares'!$C:$FA,98)</f>
        <v>3907500</v>
      </c>
      <c r="F9" s="51">
        <f>VLOOKUP($A9,'Data shares'!$C:$FA,99)</f>
        <v>3941125</v>
      </c>
      <c r="G9" s="50">
        <f>VLOOKUP($A9,'Data shares'!$C:$FA,101)*100</f>
        <v>-0.85000000000000009</v>
      </c>
      <c r="H9" s="49">
        <f>VLOOKUP($A9,'Data Vlaue (Cr)'!$C:$FB,99)</f>
        <v>3035</v>
      </c>
      <c r="I9" s="49">
        <f>VLOOKUP($A9,'Data Vlaue (Cr)'!$C:$FB,100)</f>
        <v>3061</v>
      </c>
      <c r="J9" s="49">
        <f>VLOOKUP($A9,'Data Vlaue (Cr)'!$C:$FB,102)*100</f>
        <v>-0.85000000000000009</v>
      </c>
    </row>
    <row r="10" spans="1:10" x14ac:dyDescent="0.25">
      <c r="A10" s="101" t="str">
        <f>'NIFTY GRP'!C5</f>
        <v>ASIANPAINT</v>
      </c>
      <c r="B10" s="140">
        <f>VLOOKUP($A10,'Data shares'!$C:$FA,7)</f>
        <v>2521.4</v>
      </c>
      <c r="C10" s="140">
        <f>VLOOKUP($A10,'Data shares'!$C:$FA,3)</f>
        <v>2516.8000000000002</v>
      </c>
      <c r="D10" s="50">
        <f>VLOOKUP($A10,'Data shares'!$C:$FA,6)*100</f>
        <v>-1.68</v>
      </c>
      <c r="E10" s="51">
        <f>VLOOKUP($A10,'Data shares'!$C:$FA,98)</f>
        <v>25227750</v>
      </c>
      <c r="F10" s="51">
        <f>VLOOKUP($A10,'Data shares'!$C:$FA,99)</f>
        <v>25841000</v>
      </c>
      <c r="G10" s="50">
        <f>VLOOKUP($A10,'Data shares'!$C:$FA,101)*100</f>
        <v>-2.37</v>
      </c>
      <c r="H10" s="49">
        <f>VLOOKUP($A10,'Data Vlaue (Cr)'!$C:$FB,99)</f>
        <v>6349</v>
      </c>
      <c r="I10" s="49">
        <f>VLOOKUP($A10,'Data Vlaue (Cr)'!$C:$FB,100)</f>
        <v>6504</v>
      </c>
      <c r="J10" s="49">
        <f>VLOOKUP($A10,'Data Vlaue (Cr)'!$C:$FB,102)*100</f>
        <v>-2.37</v>
      </c>
    </row>
    <row r="11" spans="1:10" x14ac:dyDescent="0.25">
      <c r="A11" s="101" t="str">
        <f>'NIFTY GRP'!C6</f>
        <v>AXISBANK</v>
      </c>
      <c r="B11" s="140">
        <f>VLOOKUP($A11,'Data shares'!$C:$FA,7)</f>
        <v>1369.6</v>
      </c>
      <c r="C11" s="140">
        <f>VLOOKUP($A11,'Data shares'!$C:$FA,3)</f>
        <v>1367.3</v>
      </c>
      <c r="D11" s="50">
        <f>VLOOKUP($A11,'Data shares'!$C:$FA,6)*100</f>
        <v>-0.75</v>
      </c>
      <c r="E11" s="51">
        <f>VLOOKUP($A11,'Data shares'!$C:$FA,98)</f>
        <v>99314375</v>
      </c>
      <c r="F11" s="51">
        <f>VLOOKUP($A11,'Data shares'!$C:$FA,99)</f>
        <v>95924375</v>
      </c>
      <c r="G11" s="50">
        <f>VLOOKUP($A11,'Data shares'!$C:$FA,101)*100</f>
        <v>3.53</v>
      </c>
      <c r="H11" s="49">
        <f>VLOOKUP($A11,'Data Vlaue (Cr)'!$C:$FB,99)</f>
        <v>13579</v>
      </c>
      <c r="I11" s="49">
        <f>VLOOKUP($A11,'Data Vlaue (Cr)'!$C:$FB,100)</f>
        <v>13116</v>
      </c>
      <c r="J11" s="49">
        <f>VLOOKUP($A11,'Data Vlaue (Cr)'!$C:$FB,102)*100</f>
        <v>3.53</v>
      </c>
    </row>
    <row r="12" spans="1:10" x14ac:dyDescent="0.25">
      <c r="A12" s="101" t="str">
        <f>'NIFTY GRP'!C7</f>
        <v>BAJAJ-AUTO</v>
      </c>
      <c r="B12" s="140">
        <f>VLOOKUP($A12,'Data shares'!$C:$FA,7)</f>
        <v>9550.5</v>
      </c>
      <c r="C12" s="140">
        <f>VLOOKUP($A12,'Data shares'!$C:$FA,3)</f>
        <v>9574</v>
      </c>
      <c r="D12" s="50">
        <f>VLOOKUP($A12,'Data shares'!$C:$FA,6)*100</f>
        <v>-0.63</v>
      </c>
      <c r="E12" s="51">
        <f>VLOOKUP($A12,'Data shares'!$C:$FA,98)</f>
        <v>5352075</v>
      </c>
      <c r="F12" s="51">
        <f>VLOOKUP($A12,'Data shares'!$C:$FA,99)</f>
        <v>5524125</v>
      </c>
      <c r="G12" s="50">
        <f>VLOOKUP($A12,'Data shares'!$C:$FA,101)*100</f>
        <v>-3.11</v>
      </c>
      <c r="H12" s="49">
        <f>VLOOKUP($A12,'Data Vlaue (Cr)'!$C:$FB,99)</f>
        <v>5124</v>
      </c>
      <c r="I12" s="49">
        <f>VLOOKUP($A12,'Data Vlaue (Cr)'!$C:$FB,100)</f>
        <v>5289</v>
      </c>
      <c r="J12" s="49">
        <f>VLOOKUP($A12,'Data Vlaue (Cr)'!$C:$FB,102)*100</f>
        <v>-3.11</v>
      </c>
    </row>
    <row r="13" spans="1:10" x14ac:dyDescent="0.25">
      <c r="A13" s="101" t="str">
        <f>'NIFTY GRP'!C8</f>
        <v>BAJAJFINSV</v>
      </c>
      <c r="B13" s="140">
        <f>VLOOKUP($A13,'Data shares'!$C:$FA,7)</f>
        <v>1792.6</v>
      </c>
      <c r="C13" s="140">
        <f>VLOOKUP($A13,'Data shares'!$C:$FA,3)</f>
        <v>1789.4</v>
      </c>
      <c r="D13" s="50">
        <f>VLOOKUP($A13,'Data shares'!$C:$FA,6)*100</f>
        <v>-3.06</v>
      </c>
      <c r="E13" s="51">
        <f>VLOOKUP($A13,'Data shares'!$C:$FA,98)</f>
        <v>18712500</v>
      </c>
      <c r="F13" s="51">
        <f>VLOOKUP($A13,'Data shares'!$C:$FA,99)</f>
        <v>18208750</v>
      </c>
      <c r="G13" s="50">
        <f>VLOOKUP($A13,'Data shares'!$C:$FA,101)*100</f>
        <v>2.77</v>
      </c>
      <c r="H13" s="49">
        <f>VLOOKUP($A13,'Data Vlaue (Cr)'!$C:$FB,99)</f>
        <v>3348</v>
      </c>
      <c r="I13" s="49">
        <f>VLOOKUP($A13,'Data Vlaue (Cr)'!$C:$FB,100)</f>
        <v>3258</v>
      </c>
      <c r="J13" s="49">
        <f>VLOOKUP($A13,'Data Vlaue (Cr)'!$C:$FB,102)*100</f>
        <v>2.77</v>
      </c>
    </row>
    <row r="14" spans="1:10" x14ac:dyDescent="0.25">
      <c r="A14" s="101" t="str">
        <f>'NIFTY GRP'!C9</f>
        <v>BAJFINANCE</v>
      </c>
      <c r="B14" s="140">
        <f>VLOOKUP($A14,'Data shares'!$C:$FA,7)</f>
        <v>918.35</v>
      </c>
      <c r="C14" s="140">
        <f>VLOOKUP($A14,'Data shares'!$C:$FA,3)</f>
        <v>916.75</v>
      </c>
      <c r="D14" s="50">
        <f>VLOOKUP($A14,'Data shares'!$C:$FA,6)*100</f>
        <v>-1.83</v>
      </c>
      <c r="E14" s="51">
        <f>VLOOKUP($A14,'Data shares'!$C:$FA,98)</f>
        <v>112378500</v>
      </c>
      <c r="F14" s="51">
        <f>VLOOKUP($A14,'Data shares'!$C:$FA,99)</f>
        <v>111276000</v>
      </c>
      <c r="G14" s="50">
        <f>VLOOKUP($A14,'Data shares'!$C:$FA,101)*100</f>
        <v>0.9900000000000001</v>
      </c>
      <c r="H14" s="49">
        <f>VLOOKUP($A14,'Data Vlaue (Cr)'!$C:$FB,99)</f>
        <v>10302</v>
      </c>
      <c r="I14" s="49">
        <f>VLOOKUP($A14,'Data Vlaue (Cr)'!$C:$FB,100)</f>
        <v>10201</v>
      </c>
      <c r="J14" s="49">
        <f>VLOOKUP($A14,'Data Vlaue (Cr)'!$C:$FB,102)*100</f>
        <v>0.9900000000000001</v>
      </c>
    </row>
    <row r="15" spans="1:10" x14ac:dyDescent="0.25">
      <c r="A15" s="101" t="str">
        <f>'NIFTY GRP'!C10</f>
        <v>BEL</v>
      </c>
      <c r="B15" s="140">
        <f>VLOOKUP($A15,'Data shares'!$C:$FA,7)</f>
        <v>449.95</v>
      </c>
      <c r="C15" s="140">
        <f>VLOOKUP($A15,'Data shares'!$C:$FA,3)</f>
        <v>450.3</v>
      </c>
      <c r="D15" s="50">
        <f>VLOOKUP($A15,'Data shares'!$C:$FA,6)*100</f>
        <v>0.19</v>
      </c>
      <c r="E15" s="51">
        <f>VLOOKUP($A15,'Data shares'!$C:$FA,98)</f>
        <v>188080050</v>
      </c>
      <c r="F15" s="51">
        <f>VLOOKUP($A15,'Data shares'!$C:$FA,99)</f>
        <v>187679625</v>
      </c>
      <c r="G15" s="50">
        <f>VLOOKUP($A15,'Data shares'!$C:$FA,101)*100</f>
        <v>0.21</v>
      </c>
      <c r="H15" s="49">
        <f>VLOOKUP($A15,'Data Vlaue (Cr)'!$C:$FB,99)</f>
        <v>8469</v>
      </c>
      <c r="I15" s="49">
        <f>VLOOKUP($A15,'Data Vlaue (Cr)'!$C:$FB,100)</f>
        <v>8451</v>
      </c>
      <c r="J15" s="49">
        <f>VLOOKUP($A15,'Data Vlaue (Cr)'!$C:$FB,102)*100</f>
        <v>0.21</v>
      </c>
    </row>
    <row r="16" spans="1:10" x14ac:dyDescent="0.25">
      <c r="A16" s="101" t="str">
        <f>'NIFTY GRP'!C11</f>
        <v>BHARTIARTL</v>
      </c>
      <c r="B16" s="140">
        <f>VLOOKUP($A16,'Data shares'!$C:$FA,7)</f>
        <v>1841.2</v>
      </c>
      <c r="C16" s="140">
        <f>VLOOKUP($A16,'Data shares'!$C:$FA,3)</f>
        <v>1838.5</v>
      </c>
      <c r="D16" s="50">
        <f>VLOOKUP($A16,'Data shares'!$C:$FA,6)*100</f>
        <v>0.38</v>
      </c>
      <c r="E16" s="51">
        <f>VLOOKUP($A16,'Data shares'!$C:$FA,98)</f>
        <v>84268800</v>
      </c>
      <c r="F16" s="51">
        <f>VLOOKUP($A16,'Data shares'!$C:$FA,99)</f>
        <v>84977025</v>
      </c>
      <c r="G16" s="50">
        <f>VLOOKUP($A16,'Data shares'!$C:$FA,101)*100</f>
        <v>-0.83</v>
      </c>
      <c r="H16" s="49">
        <f>VLOOKUP($A16,'Data Vlaue (Cr)'!$C:$FB,99)</f>
        <v>15493</v>
      </c>
      <c r="I16" s="49">
        <f>VLOOKUP($A16,'Data Vlaue (Cr)'!$C:$FB,100)</f>
        <v>15623</v>
      </c>
      <c r="J16" s="49">
        <f>VLOOKUP($A16,'Data Vlaue (Cr)'!$C:$FB,102)*100</f>
        <v>-0.83</v>
      </c>
    </row>
    <row r="17" spans="1:10" x14ac:dyDescent="0.25">
      <c r="A17" s="101" t="str">
        <f>'NIFTY GRP'!C12</f>
        <v>CIPLA</v>
      </c>
      <c r="B17" s="140">
        <f>VLOOKUP($A17,'Data shares'!$C:$FA,7)</f>
        <v>1305.9000000000001</v>
      </c>
      <c r="C17" s="140">
        <f>VLOOKUP($A17,'Data shares'!$C:$FA,3)</f>
        <v>1304.7</v>
      </c>
      <c r="D17" s="50">
        <f>VLOOKUP($A17,'Data shares'!$C:$FA,6)*100</f>
        <v>5.35</v>
      </c>
      <c r="E17" s="51">
        <f>VLOOKUP($A17,'Data shares'!$C:$FA,98)</f>
        <v>25907250</v>
      </c>
      <c r="F17" s="51">
        <f>VLOOKUP($A17,'Data shares'!$C:$FA,99)</f>
        <v>24688125</v>
      </c>
      <c r="G17" s="50">
        <f>VLOOKUP($A17,'Data shares'!$C:$FA,101)*100</f>
        <v>4.9399999999999995</v>
      </c>
      <c r="H17" s="49">
        <f>VLOOKUP($A17,'Data Vlaue (Cr)'!$C:$FB,99)</f>
        <v>3380</v>
      </c>
      <c r="I17" s="49">
        <f>VLOOKUP($A17,'Data Vlaue (Cr)'!$C:$FB,100)</f>
        <v>3221</v>
      </c>
      <c r="J17" s="49">
        <f>VLOOKUP($A17,'Data Vlaue (Cr)'!$C:$FB,102)*100</f>
        <v>4.9399999999999995</v>
      </c>
    </row>
    <row r="18" spans="1:10" x14ac:dyDescent="0.25">
      <c r="A18" s="101" t="str">
        <f>'NIFTY GRP'!C13</f>
        <v>COALINDIA</v>
      </c>
      <c r="B18" s="140">
        <f>VLOOKUP($A18,'Data shares'!$C:$FA,7)</f>
        <v>450.65</v>
      </c>
      <c r="C18" s="140">
        <f>VLOOKUP($A18,'Data shares'!$C:$FA,3)</f>
        <v>452.2</v>
      </c>
      <c r="D18" s="50">
        <f>VLOOKUP($A18,'Data shares'!$C:$FA,6)*100</f>
        <v>1.5599999999999998</v>
      </c>
      <c r="E18" s="51">
        <f>VLOOKUP($A18,'Data shares'!$C:$FA,98)</f>
        <v>130376250</v>
      </c>
      <c r="F18" s="51">
        <f>VLOOKUP($A18,'Data shares'!$C:$FA,99)</f>
        <v>142519500</v>
      </c>
      <c r="G18" s="50">
        <f>VLOOKUP($A18,'Data shares'!$C:$FA,101)*100</f>
        <v>-8.52</v>
      </c>
      <c r="H18" s="49">
        <f>VLOOKUP($A18,'Data Vlaue (Cr)'!$C:$FB,99)</f>
        <v>5896</v>
      </c>
      <c r="I18" s="49">
        <f>VLOOKUP($A18,'Data Vlaue (Cr)'!$C:$FB,100)</f>
        <v>6445</v>
      </c>
      <c r="J18" s="49">
        <f>VLOOKUP($A18,'Data Vlaue (Cr)'!$C:$FB,102)*100</f>
        <v>-8.52</v>
      </c>
    </row>
    <row r="19" spans="1:10" x14ac:dyDescent="0.25">
      <c r="A19" s="101" t="str">
        <f>'NIFTY GRP'!C14</f>
        <v>DRREDDY</v>
      </c>
      <c r="B19" s="140">
        <f>VLOOKUP($A19,'Data shares'!$C:$FA,7)</f>
        <v>1331</v>
      </c>
      <c r="C19" s="140">
        <f>VLOOKUP($A19,'Data shares'!$C:$FA,3)</f>
        <v>1323.8</v>
      </c>
      <c r="D19" s="50">
        <f>VLOOKUP($A19,'Data shares'!$C:$FA,6)*100</f>
        <v>9.32</v>
      </c>
      <c r="E19" s="51">
        <f>VLOOKUP($A19,'Data shares'!$C:$FA,98)</f>
        <v>37967500</v>
      </c>
      <c r="F19" s="51">
        <f>VLOOKUP($A19,'Data shares'!$C:$FA,99)</f>
        <v>28318125</v>
      </c>
      <c r="G19" s="50">
        <f>VLOOKUP($A19,'Data shares'!$C:$FA,101)*100</f>
        <v>34.07</v>
      </c>
      <c r="H19" s="49">
        <f>VLOOKUP($A19,'Data Vlaue (Cr)'!$C:$FB,99)</f>
        <v>5026</v>
      </c>
      <c r="I19" s="49">
        <f>VLOOKUP($A19,'Data Vlaue (Cr)'!$C:$FB,100)</f>
        <v>3749</v>
      </c>
      <c r="J19" s="49">
        <f>VLOOKUP($A19,'Data Vlaue (Cr)'!$C:$FB,102)*100</f>
        <v>34.07</v>
      </c>
    </row>
    <row r="20" spans="1:10" x14ac:dyDescent="0.25">
      <c r="A20" s="101" t="str">
        <f>'NIFTY GRP'!C15</f>
        <v>EICHERMOT</v>
      </c>
      <c r="B20" s="140">
        <f>VLOOKUP($A20,'Data shares'!$C:$FA,7)</f>
        <v>7092.5</v>
      </c>
      <c r="C20" s="140">
        <f>VLOOKUP($A20,'Data shares'!$C:$FA,3)</f>
        <v>7086</v>
      </c>
      <c r="D20" s="50">
        <f>VLOOKUP($A20,'Data shares'!$C:$FA,6)*100</f>
        <v>-1.8599999999999999</v>
      </c>
      <c r="E20" s="51">
        <f>VLOOKUP($A20,'Data shares'!$C:$FA,98)</f>
        <v>7448600</v>
      </c>
      <c r="F20" s="51">
        <f>VLOOKUP($A20,'Data shares'!$C:$FA,99)</f>
        <v>7569800</v>
      </c>
      <c r="G20" s="50">
        <f>VLOOKUP($A20,'Data shares'!$C:$FA,101)*100</f>
        <v>-1.6</v>
      </c>
      <c r="H20" s="49">
        <f>VLOOKUP($A20,'Data Vlaue (Cr)'!$C:$FB,99)</f>
        <v>5278</v>
      </c>
      <c r="I20" s="49">
        <f>VLOOKUP($A20,'Data Vlaue (Cr)'!$C:$FB,100)</f>
        <v>5364</v>
      </c>
      <c r="J20" s="49">
        <f>VLOOKUP($A20,'Data Vlaue (Cr)'!$C:$FB,102)*100</f>
        <v>-1.6</v>
      </c>
    </row>
    <row r="21" spans="1:10" x14ac:dyDescent="0.25">
      <c r="A21" s="101" t="str">
        <f>'NIFTY GRP'!C16</f>
        <v>ETERNAL</v>
      </c>
      <c r="B21" s="140">
        <f>VLOOKUP($A21,'Data shares'!$C:$FA,7)</f>
        <v>259.92</v>
      </c>
      <c r="C21" s="140">
        <f>VLOOKUP($A21,'Data shares'!$C:$FA,3)</f>
        <v>259.55</v>
      </c>
      <c r="D21" s="50">
        <f>VLOOKUP($A21,'Data shares'!$C:$FA,6)*100</f>
        <v>-1.17</v>
      </c>
      <c r="E21" s="51">
        <f>VLOOKUP($A21,'Data shares'!$C:$FA,98)</f>
        <v>296349550</v>
      </c>
      <c r="F21" s="51">
        <f>VLOOKUP($A21,'Data shares'!$C:$FA,99)</f>
        <v>297676025</v>
      </c>
      <c r="G21" s="50">
        <f>VLOOKUP($A21,'Data shares'!$C:$FA,101)*100</f>
        <v>-0.44999999999999996</v>
      </c>
      <c r="H21" s="49">
        <f>VLOOKUP($A21,'Data Vlaue (Cr)'!$C:$FB,99)</f>
        <v>7692</v>
      </c>
      <c r="I21" s="49">
        <f>VLOOKUP($A21,'Data Vlaue (Cr)'!$C:$FB,100)</f>
        <v>7726</v>
      </c>
      <c r="J21" s="49">
        <f>VLOOKUP($A21,'Data Vlaue (Cr)'!$C:$FB,102)*100</f>
        <v>-0.44999999999999996</v>
      </c>
    </row>
    <row r="22" spans="1:10" x14ac:dyDescent="0.25">
      <c r="A22" s="101" t="str">
        <f>'NIFTY GRP'!C17</f>
        <v>GRASIM</v>
      </c>
      <c r="B22" s="140">
        <f>VLOOKUP($A22,'Data shares'!$C:$FA,7)</f>
        <v>2735</v>
      </c>
      <c r="C22" s="140">
        <f>VLOOKUP($A22,'Data shares'!$C:$FA,3)</f>
        <v>2738.9</v>
      </c>
      <c r="D22" s="50">
        <f>VLOOKUP($A22,'Data shares'!$C:$FA,6)*100</f>
        <v>-1.6199999999999999</v>
      </c>
      <c r="E22" s="51">
        <f>VLOOKUP($A22,'Data shares'!$C:$FA,98)</f>
        <v>17094000</v>
      </c>
      <c r="F22" s="51">
        <f>VLOOKUP($A22,'Data shares'!$C:$FA,99)</f>
        <v>16983250</v>
      </c>
      <c r="G22" s="50">
        <f>VLOOKUP($A22,'Data shares'!$C:$FA,101)*100</f>
        <v>0.65</v>
      </c>
      <c r="H22" s="49">
        <f>VLOOKUP($A22,'Data Vlaue (Cr)'!$C:$FB,99)</f>
        <v>4682</v>
      </c>
      <c r="I22" s="49">
        <f>VLOOKUP($A22,'Data Vlaue (Cr)'!$C:$FB,100)</f>
        <v>4652</v>
      </c>
      <c r="J22" s="49">
        <f>VLOOKUP($A22,'Data Vlaue (Cr)'!$C:$FB,102)*100</f>
        <v>0.65</v>
      </c>
    </row>
    <row r="23" spans="1:10" x14ac:dyDescent="0.25">
      <c r="A23" s="101" t="str">
        <f>'NIFTY GRP'!C18</f>
        <v>HCLTECH</v>
      </c>
      <c r="B23" s="140">
        <f>VLOOKUP($A23,'Data shares'!$C:$FA,7)</f>
        <v>1277.5999999999999</v>
      </c>
      <c r="C23" s="140">
        <f>VLOOKUP($A23,'Data shares'!$C:$FA,3)</f>
        <v>1247.9000000000001</v>
      </c>
      <c r="D23" s="50">
        <f>VLOOKUP($A23,'Data shares'!$C:$FA,6)*100</f>
        <v>-1.31</v>
      </c>
      <c r="E23" s="51">
        <f>VLOOKUP($A23,'Data shares'!$C:$FA,98)</f>
        <v>105836850</v>
      </c>
      <c r="F23" s="51">
        <f>VLOOKUP($A23,'Data shares'!$C:$FA,99)</f>
        <v>106268050</v>
      </c>
      <c r="G23" s="50">
        <f>VLOOKUP($A23,'Data shares'!$C:$FA,101)*100</f>
        <v>-0.41000000000000003</v>
      </c>
      <c r="H23" s="49">
        <f>VLOOKUP($A23,'Data Vlaue (Cr)'!$C:$FB,99)</f>
        <v>13207</v>
      </c>
      <c r="I23" s="49">
        <f>VLOOKUP($A23,'Data Vlaue (Cr)'!$C:$FB,100)</f>
        <v>13261</v>
      </c>
      <c r="J23" s="49">
        <f>VLOOKUP($A23,'Data Vlaue (Cr)'!$C:$FB,102)*100</f>
        <v>-0.41000000000000003</v>
      </c>
    </row>
    <row r="24" spans="1:10" x14ac:dyDescent="0.25">
      <c r="A24" s="101" t="str">
        <f>'NIFTY GRP'!C19</f>
        <v>HDFCBANK</v>
      </c>
      <c r="B24" s="140">
        <f>VLOOKUP($A24,'Data shares'!$C:$FA,7)</f>
        <v>784.35</v>
      </c>
      <c r="C24" s="140">
        <f>VLOOKUP($A24,'Data shares'!$C:$FA,3)</f>
        <v>784.45</v>
      </c>
      <c r="D24" s="50">
        <f>VLOOKUP($A24,'Data shares'!$C:$FA,6)*100</f>
        <v>-1.94</v>
      </c>
      <c r="E24" s="51">
        <f>VLOOKUP($A24,'Data shares'!$C:$FA,98)</f>
        <v>489404850</v>
      </c>
      <c r="F24" s="51">
        <f>VLOOKUP($A24,'Data shares'!$C:$FA,99)</f>
        <v>473413050</v>
      </c>
      <c r="G24" s="50">
        <f>VLOOKUP($A24,'Data shares'!$C:$FA,101)*100</f>
        <v>3.38</v>
      </c>
      <c r="H24" s="49">
        <f>VLOOKUP($A24,'Data Vlaue (Cr)'!$C:$FB,99)</f>
        <v>38391</v>
      </c>
      <c r="I24" s="49">
        <f>VLOOKUP($A24,'Data Vlaue (Cr)'!$C:$FB,100)</f>
        <v>37137</v>
      </c>
      <c r="J24" s="49">
        <f>VLOOKUP($A24,'Data Vlaue (Cr)'!$C:$FB,102)*100</f>
        <v>3.38</v>
      </c>
    </row>
    <row r="25" spans="1:10" x14ac:dyDescent="0.25">
      <c r="A25" s="101" t="str">
        <f>'NIFTY GRP'!C20</f>
        <v>HDFCLIFE</v>
      </c>
      <c r="B25" s="140">
        <f>VLOOKUP($A25,'Data shares'!$C:$FA,7)</f>
        <v>598.65</v>
      </c>
      <c r="C25" s="140">
        <f>VLOOKUP($A25,'Data shares'!$C:$FA,3)</f>
        <v>598.95000000000005</v>
      </c>
      <c r="D25" s="50">
        <f>VLOOKUP($A25,'Data shares'!$C:$FA,6)*100</f>
        <v>-0.95</v>
      </c>
      <c r="E25" s="51">
        <f>VLOOKUP($A25,'Data shares'!$C:$FA,98)</f>
        <v>77051700</v>
      </c>
      <c r="F25" s="51">
        <f>VLOOKUP($A25,'Data shares'!$C:$FA,99)</f>
        <v>78584000</v>
      </c>
      <c r="G25" s="50">
        <f>VLOOKUP($A25,'Data shares'!$C:$FA,101)*100</f>
        <v>-1.95</v>
      </c>
      <c r="H25" s="49">
        <f>VLOOKUP($A25,'Data Vlaue (Cr)'!$C:$FB,99)</f>
        <v>4615</v>
      </c>
      <c r="I25" s="49">
        <f>VLOOKUP($A25,'Data Vlaue (Cr)'!$C:$FB,100)</f>
        <v>4707</v>
      </c>
      <c r="J25" s="49">
        <f>VLOOKUP($A25,'Data Vlaue (Cr)'!$C:$FB,102)*100</f>
        <v>-1.95</v>
      </c>
    </row>
    <row r="26" spans="1:10" x14ac:dyDescent="0.25">
      <c r="A26" s="101" t="str">
        <f>'NIFTY GRP'!C21</f>
        <v>HINDALCO</v>
      </c>
      <c r="B26" s="140">
        <f>VLOOKUP($A26,'Data shares'!$C:$FA,7)</f>
        <v>1041.3499999999999</v>
      </c>
      <c r="C26" s="140">
        <f>VLOOKUP($A26,'Data shares'!$C:$FA,3)</f>
        <v>1039.05</v>
      </c>
      <c r="D26" s="50">
        <f>VLOOKUP($A26,'Data shares'!$C:$FA,6)*100</f>
        <v>-0.02</v>
      </c>
      <c r="E26" s="51">
        <f>VLOOKUP($A26,'Data shares'!$C:$FA,98)</f>
        <v>63560000</v>
      </c>
      <c r="F26" s="51">
        <f>VLOOKUP($A26,'Data shares'!$C:$FA,99)</f>
        <v>63322000</v>
      </c>
      <c r="G26" s="50">
        <f>VLOOKUP($A26,'Data shares'!$C:$FA,101)*100</f>
        <v>0.38</v>
      </c>
      <c r="H26" s="49">
        <f>VLOOKUP($A26,'Data Vlaue (Cr)'!$C:$FB,99)</f>
        <v>6604</v>
      </c>
      <c r="I26" s="49">
        <f>VLOOKUP($A26,'Data Vlaue (Cr)'!$C:$FB,100)</f>
        <v>6579</v>
      </c>
      <c r="J26" s="49">
        <f>VLOOKUP($A26,'Data Vlaue (Cr)'!$C:$FB,102)*100</f>
        <v>0.38</v>
      </c>
    </row>
    <row r="27" spans="1:10" x14ac:dyDescent="0.25">
      <c r="A27" s="101" t="str">
        <f>'NIFTY GRP'!C22</f>
        <v>HINDUNILVR</v>
      </c>
      <c r="B27" s="140">
        <f>VLOOKUP($A27,'Data shares'!$C:$FA,7)</f>
        <v>2366.4</v>
      </c>
      <c r="C27" s="140">
        <f>VLOOKUP($A27,'Data shares'!$C:$FA,3)</f>
        <v>2364.4</v>
      </c>
      <c r="D27" s="50">
        <f>VLOOKUP($A27,'Data shares'!$C:$FA,6)*100</f>
        <v>-0.1</v>
      </c>
      <c r="E27" s="51">
        <f>VLOOKUP($A27,'Data shares'!$C:$FA,98)</f>
        <v>34132200</v>
      </c>
      <c r="F27" s="51">
        <f>VLOOKUP($A27,'Data shares'!$C:$FA,99)</f>
        <v>34314600</v>
      </c>
      <c r="G27" s="50">
        <f>VLOOKUP($A27,'Data shares'!$C:$FA,101)*100</f>
        <v>-0.53</v>
      </c>
      <c r="H27" s="49">
        <f>VLOOKUP($A27,'Data Vlaue (Cr)'!$C:$FB,99)</f>
        <v>8070</v>
      </c>
      <c r="I27" s="49">
        <f>VLOOKUP($A27,'Data Vlaue (Cr)'!$C:$FB,100)</f>
        <v>8113</v>
      </c>
      <c r="J27" s="49">
        <f>VLOOKUP($A27,'Data Vlaue (Cr)'!$C:$FB,102)*100</f>
        <v>-0.53</v>
      </c>
    </row>
    <row r="28" spans="1:10" x14ac:dyDescent="0.25">
      <c r="A28" s="101" t="str">
        <f>'NIFTY GRP'!C23</f>
        <v>ICICIBANK</v>
      </c>
      <c r="B28" s="140">
        <f>VLOOKUP($A28,'Data shares'!$C:$FA,7)</f>
        <v>1348</v>
      </c>
      <c r="C28" s="140">
        <f>VLOOKUP($A28,'Data shares'!$C:$FA,3)</f>
        <v>1347.1</v>
      </c>
      <c r="D28" s="50">
        <f>VLOOKUP($A28,'Data shares'!$C:$FA,6)*100</f>
        <v>-1.54</v>
      </c>
      <c r="E28" s="51">
        <f>VLOOKUP($A28,'Data shares'!$C:$FA,98)</f>
        <v>166280800</v>
      </c>
      <c r="F28" s="51">
        <f>VLOOKUP($A28,'Data shares'!$C:$FA,99)</f>
        <v>166833100</v>
      </c>
      <c r="G28" s="50">
        <f>VLOOKUP($A28,'Data shares'!$C:$FA,101)*100</f>
        <v>-0.33</v>
      </c>
      <c r="H28" s="49">
        <f>VLOOKUP($A28,'Data Vlaue (Cr)'!$C:$FB,99)</f>
        <v>22400</v>
      </c>
      <c r="I28" s="49">
        <f>VLOOKUP($A28,'Data Vlaue (Cr)'!$C:$FB,100)</f>
        <v>22474</v>
      </c>
      <c r="J28" s="49">
        <f>VLOOKUP($A28,'Data Vlaue (Cr)'!$C:$FB,102)*100</f>
        <v>-0.33</v>
      </c>
    </row>
    <row r="29" spans="1:10" x14ac:dyDescent="0.25">
      <c r="A29" s="101" t="str">
        <f>'NIFTY GRP'!C24</f>
        <v>INDIGO</v>
      </c>
      <c r="B29" s="140">
        <f>VLOOKUP($A29,'Data shares'!$C:$FA,7)</f>
        <v>4556</v>
      </c>
      <c r="C29" s="140">
        <f>VLOOKUP($A29,'Data shares'!$C:$FA,3)</f>
        <v>4565.6000000000004</v>
      </c>
      <c r="D29" s="50">
        <f>VLOOKUP($A29,'Data shares'!$C:$FA,6)*100</f>
        <v>-1.44</v>
      </c>
      <c r="E29" s="51">
        <f>VLOOKUP($A29,'Data shares'!$C:$FA,98)</f>
        <v>18121800</v>
      </c>
      <c r="F29" s="51">
        <f>VLOOKUP($A29,'Data shares'!$C:$FA,99)</f>
        <v>18078000</v>
      </c>
      <c r="G29" s="50">
        <f>VLOOKUP($A29,'Data shares'!$C:$FA,101)*100</f>
        <v>0.24</v>
      </c>
      <c r="H29" s="49">
        <f>VLOOKUP($A29,'Data Vlaue (Cr)'!$C:$FB,99)</f>
        <v>8274</v>
      </c>
      <c r="I29" s="49">
        <f>VLOOKUP($A29,'Data Vlaue (Cr)'!$C:$FB,100)</f>
        <v>8254</v>
      </c>
      <c r="J29" s="49">
        <f>VLOOKUP($A29,'Data Vlaue (Cr)'!$C:$FB,102)*100</f>
        <v>0.24</v>
      </c>
    </row>
    <row r="30" spans="1:10" x14ac:dyDescent="0.25">
      <c r="A30" s="101" t="str">
        <f>'NIFTY GRP'!C25</f>
        <v>INFY</v>
      </c>
      <c r="B30" s="140">
        <f>VLOOKUP($A30,'Data shares'!$C:$FA,7)</f>
        <v>1240.5999999999999</v>
      </c>
      <c r="C30" s="140">
        <f>VLOOKUP($A30,'Data shares'!$C:$FA,3)</f>
        <v>1237.5999999999999</v>
      </c>
      <c r="D30" s="50">
        <f>VLOOKUP($A30,'Data shares'!$C:$FA,6)*100</f>
        <v>-2.7199999999999998</v>
      </c>
      <c r="E30" s="51">
        <f>VLOOKUP($A30,'Data shares'!$C:$FA,98)</f>
        <v>159018400</v>
      </c>
      <c r="F30" s="51">
        <f>VLOOKUP($A30,'Data shares'!$C:$FA,99)</f>
        <v>139337200</v>
      </c>
      <c r="G30" s="50">
        <f>VLOOKUP($A30,'Data shares'!$C:$FA,101)*100</f>
        <v>14.12</v>
      </c>
      <c r="H30" s="49">
        <f>VLOOKUP($A30,'Data Vlaue (Cr)'!$C:$FB,99)</f>
        <v>19680</v>
      </c>
      <c r="I30" s="49">
        <f>VLOOKUP($A30,'Data Vlaue (Cr)'!$C:$FB,100)</f>
        <v>17244</v>
      </c>
      <c r="J30" s="49">
        <f>VLOOKUP($A30,'Data Vlaue (Cr)'!$C:$FB,102)*100</f>
        <v>14.12</v>
      </c>
    </row>
    <row r="31" spans="1:10" x14ac:dyDescent="0.25">
      <c r="A31" s="101" t="str">
        <f>'NIFTY GRP'!C26</f>
        <v>ITC</v>
      </c>
      <c r="B31" s="140">
        <f>VLOOKUP($A31,'Data shares'!$C:$FA,7)</f>
        <v>305.3</v>
      </c>
      <c r="C31" s="140">
        <f>VLOOKUP($A31,'Data shares'!$C:$FA,3)</f>
        <v>305.05</v>
      </c>
      <c r="D31" s="50">
        <f>VLOOKUP($A31,'Data shares'!$C:$FA,6)*100</f>
        <v>-0.25</v>
      </c>
      <c r="E31" s="51">
        <f>VLOOKUP($A31,'Data shares'!$C:$FA,98)</f>
        <v>365785600</v>
      </c>
      <c r="F31" s="51">
        <f>VLOOKUP($A31,'Data shares'!$C:$FA,99)</f>
        <v>364392000</v>
      </c>
      <c r="G31" s="50">
        <f>VLOOKUP($A31,'Data shares'!$C:$FA,101)*100</f>
        <v>0.38</v>
      </c>
      <c r="H31" s="49">
        <f>VLOOKUP($A31,'Data Vlaue (Cr)'!$C:$FB,99)</f>
        <v>11158</v>
      </c>
      <c r="I31" s="49">
        <f>VLOOKUP($A31,'Data Vlaue (Cr)'!$C:$FB,100)</f>
        <v>11116</v>
      </c>
      <c r="J31" s="49">
        <f>VLOOKUP($A31,'Data Vlaue (Cr)'!$C:$FB,102)*100</f>
        <v>0.38</v>
      </c>
    </row>
    <row r="32" spans="1:10" x14ac:dyDescent="0.25">
      <c r="A32" s="101" t="str">
        <f>'NIFTY GRP'!C27</f>
        <v>JIOFIN</v>
      </c>
      <c r="B32" s="140">
        <f>VLOOKUP($A32,'Data shares'!$C:$FA,7)</f>
        <v>248.66</v>
      </c>
      <c r="C32" s="140">
        <f>VLOOKUP($A32,'Data shares'!$C:$FA,3)</f>
        <v>248.92</v>
      </c>
      <c r="D32" s="50">
        <f>VLOOKUP($A32,'Data shares'!$C:$FA,6)*100</f>
        <v>4.17</v>
      </c>
      <c r="E32" s="51">
        <f>VLOOKUP($A32,'Data shares'!$C:$FA,98)</f>
        <v>316918650</v>
      </c>
      <c r="F32" s="51">
        <f>VLOOKUP($A32,'Data shares'!$C:$FA,99)</f>
        <v>314965800</v>
      </c>
      <c r="G32" s="50">
        <f>VLOOKUP($A32,'Data shares'!$C:$FA,101)*100</f>
        <v>0.62</v>
      </c>
      <c r="H32" s="49">
        <f>VLOOKUP($A32,'Data Vlaue (Cr)'!$C:$FB,99)</f>
        <v>7889</v>
      </c>
      <c r="I32" s="49">
        <f>VLOOKUP($A32,'Data Vlaue (Cr)'!$C:$FB,100)</f>
        <v>7840</v>
      </c>
      <c r="J32" s="49">
        <f>VLOOKUP($A32,'Data Vlaue (Cr)'!$C:$FB,102)*100</f>
        <v>0.62</v>
      </c>
    </row>
    <row r="33" spans="1:10" x14ac:dyDescent="0.25">
      <c r="A33" s="101" t="str">
        <f>'NIFTY GRP'!C28</f>
        <v>JSWSTEEL</v>
      </c>
      <c r="B33" s="140">
        <f>VLOOKUP($A33,'Data shares'!$C:$FA,7)</f>
        <v>1257</v>
      </c>
      <c r="C33" s="140">
        <f>VLOOKUP($A33,'Data shares'!$C:$FA,3)</f>
        <v>1254.9000000000001</v>
      </c>
      <c r="D33" s="50">
        <f>VLOOKUP($A33,'Data shares'!$C:$FA,6)*100</f>
        <v>-0.83</v>
      </c>
      <c r="E33" s="51">
        <f>VLOOKUP($A33,'Data shares'!$C:$FA,98)</f>
        <v>62635275</v>
      </c>
      <c r="F33" s="51">
        <f>VLOOKUP($A33,'Data shares'!$C:$FA,99)</f>
        <v>62841825</v>
      </c>
      <c r="G33" s="50">
        <f>VLOOKUP($A33,'Data shares'!$C:$FA,101)*100</f>
        <v>-0.33</v>
      </c>
      <c r="H33" s="49">
        <f>VLOOKUP($A33,'Data Vlaue (Cr)'!$C:$FB,99)</f>
        <v>7860</v>
      </c>
      <c r="I33" s="49">
        <f>VLOOKUP($A33,'Data Vlaue (Cr)'!$C:$FB,100)</f>
        <v>7886</v>
      </c>
      <c r="J33" s="49">
        <f>VLOOKUP($A33,'Data Vlaue (Cr)'!$C:$FB,102)*100</f>
        <v>-0.33</v>
      </c>
    </row>
    <row r="34" spans="1:10" x14ac:dyDescent="0.25">
      <c r="A34" s="101" t="str">
        <f>'NIFTY GRP'!C29</f>
        <v>KOTAKBANK</v>
      </c>
      <c r="B34" s="140">
        <f>VLOOKUP($A34,'Data shares'!$C:$FA,7)</f>
        <v>370.4</v>
      </c>
      <c r="C34" s="140">
        <f>VLOOKUP($A34,'Data shares'!$C:$FA,3)</f>
        <v>370.75</v>
      </c>
      <c r="D34" s="50">
        <f>VLOOKUP($A34,'Data shares'!$C:$FA,6)*100</f>
        <v>-1.7500000000000002</v>
      </c>
      <c r="E34" s="51">
        <f>VLOOKUP($A34,'Data shares'!$C:$FA,98)</f>
        <v>301968000</v>
      </c>
      <c r="F34" s="51">
        <f>VLOOKUP($A34,'Data shares'!$C:$FA,99)</f>
        <v>289612000</v>
      </c>
      <c r="G34" s="50">
        <f>VLOOKUP($A34,'Data shares'!$C:$FA,101)*100</f>
        <v>4.2700000000000005</v>
      </c>
      <c r="H34" s="49">
        <f>VLOOKUP($A34,'Data Vlaue (Cr)'!$C:$FB,99)</f>
        <v>11195</v>
      </c>
      <c r="I34" s="49">
        <f>VLOOKUP($A34,'Data Vlaue (Cr)'!$C:$FB,100)</f>
        <v>10737</v>
      </c>
      <c r="J34" s="49">
        <f>VLOOKUP($A34,'Data Vlaue (Cr)'!$C:$FB,102)*100</f>
        <v>4.2700000000000005</v>
      </c>
    </row>
    <row r="35" spans="1:10" x14ac:dyDescent="0.25">
      <c r="A35" s="101" t="str">
        <f>'NIFTY GRP'!C30</f>
        <v>LT</v>
      </c>
      <c r="B35" s="140">
        <f>VLOOKUP($A35,'Data shares'!$C:$FA,7)</f>
        <v>4054.1</v>
      </c>
      <c r="C35" s="140">
        <f>VLOOKUP($A35,'Data shares'!$C:$FA,3)</f>
        <v>4057.6</v>
      </c>
      <c r="D35" s="50">
        <f>VLOOKUP($A35,'Data shares'!$C:$FA,6)*100</f>
        <v>0.8</v>
      </c>
      <c r="E35" s="51">
        <f>VLOOKUP($A35,'Data shares'!$C:$FA,98)</f>
        <v>33584425</v>
      </c>
      <c r="F35" s="51">
        <f>VLOOKUP($A35,'Data shares'!$C:$FA,99)</f>
        <v>33511975</v>
      </c>
      <c r="G35" s="50">
        <f>VLOOKUP($A35,'Data shares'!$C:$FA,101)*100</f>
        <v>0.22</v>
      </c>
      <c r="H35" s="49">
        <f>VLOOKUP($A35,'Data Vlaue (Cr)'!$C:$FB,99)</f>
        <v>13627</v>
      </c>
      <c r="I35" s="49">
        <f>VLOOKUP($A35,'Data Vlaue (Cr)'!$C:$FB,100)</f>
        <v>13598</v>
      </c>
      <c r="J35" s="49">
        <f>VLOOKUP($A35,'Data Vlaue (Cr)'!$C:$FB,102)*100</f>
        <v>0.22</v>
      </c>
    </row>
    <row r="36" spans="1:10" x14ac:dyDescent="0.25">
      <c r="A36" s="101" t="str">
        <f>'NIFTY GRP'!C31</f>
        <v>M&amp;M</v>
      </c>
      <c r="B36" s="140">
        <f>VLOOKUP($A36,'Data shares'!$C:$FA,7)</f>
        <v>3047.7</v>
      </c>
      <c r="C36" s="140">
        <f>VLOOKUP($A36,'Data shares'!$C:$FA,3)</f>
        <v>3048.5</v>
      </c>
      <c r="D36" s="50">
        <f>VLOOKUP($A36,'Data shares'!$C:$FA,6)*100</f>
        <v>-3.27</v>
      </c>
      <c r="E36" s="51">
        <f>VLOOKUP($A36,'Data shares'!$C:$FA,98)</f>
        <v>29953800</v>
      </c>
      <c r="F36" s="51">
        <f>VLOOKUP($A36,'Data shares'!$C:$FA,99)</f>
        <v>29101000</v>
      </c>
      <c r="G36" s="50">
        <f>VLOOKUP($A36,'Data shares'!$C:$FA,101)*100</f>
        <v>2.93</v>
      </c>
      <c r="H36" s="49">
        <f>VLOOKUP($A36,'Data Vlaue (Cr)'!$C:$FB,99)</f>
        <v>9131</v>
      </c>
      <c r="I36" s="49">
        <f>VLOOKUP($A36,'Data Vlaue (Cr)'!$C:$FB,100)</f>
        <v>8871</v>
      </c>
      <c r="J36" s="49">
        <f>VLOOKUP($A36,'Data Vlaue (Cr)'!$C:$FB,102)*100</f>
        <v>2.93</v>
      </c>
    </row>
    <row r="37" spans="1:10" x14ac:dyDescent="0.25">
      <c r="A37" s="101" t="str">
        <f>'NIFTY GRP'!C32</f>
        <v>MARUTI</v>
      </c>
      <c r="B37" s="140">
        <f>VLOOKUP($A37,'Data shares'!$C:$FA,7)</f>
        <v>13160</v>
      </c>
      <c r="C37" s="140">
        <f>VLOOKUP($A37,'Data shares'!$C:$FA,3)</f>
        <v>13139</v>
      </c>
      <c r="D37" s="50">
        <f>VLOOKUP($A37,'Data shares'!$C:$FA,6)*100</f>
        <v>-1.37</v>
      </c>
      <c r="E37" s="51">
        <f>VLOOKUP($A37,'Data shares'!$C:$FA,98)</f>
        <v>7104100</v>
      </c>
      <c r="F37" s="51">
        <f>VLOOKUP($A37,'Data shares'!$C:$FA,99)</f>
        <v>7059000</v>
      </c>
      <c r="G37" s="50">
        <f>VLOOKUP($A37,'Data shares'!$C:$FA,101)*100</f>
        <v>0.64</v>
      </c>
      <c r="H37" s="49">
        <f>VLOOKUP($A37,'Data Vlaue (Cr)'!$C:$FB,99)</f>
        <v>9334</v>
      </c>
      <c r="I37" s="49">
        <f>VLOOKUP($A37,'Data Vlaue (Cr)'!$C:$FB,100)</f>
        <v>9275</v>
      </c>
      <c r="J37" s="49">
        <f>VLOOKUP($A37,'Data Vlaue (Cr)'!$C:$FB,102)*100</f>
        <v>0.64</v>
      </c>
    </row>
    <row r="38" spans="1:10" x14ac:dyDescent="0.25">
      <c r="A38" s="101" t="str">
        <f>'NIFTY GRP'!C33</f>
        <v>MAXHEALTH</v>
      </c>
      <c r="B38" s="140">
        <f>VLOOKUP($A38,'Data shares'!$C:$FA,7)</f>
        <v>1006.75</v>
      </c>
      <c r="C38" s="140">
        <f>VLOOKUP($A38,'Data shares'!$C:$FA,3)</f>
        <v>1008.4</v>
      </c>
      <c r="D38" s="50">
        <f>VLOOKUP($A38,'Data shares'!$C:$FA,6)*100</f>
        <v>0.55999999999999994</v>
      </c>
      <c r="E38" s="51">
        <f>VLOOKUP($A38,'Data shares'!$C:$FA,98)</f>
        <v>20417775</v>
      </c>
      <c r="F38" s="51">
        <f>VLOOKUP($A38,'Data shares'!$C:$FA,99)</f>
        <v>20491275</v>
      </c>
      <c r="G38" s="50">
        <f>VLOOKUP($A38,'Data shares'!$C:$FA,101)*100</f>
        <v>-0.36</v>
      </c>
      <c r="H38" s="49">
        <f>VLOOKUP($A38,'Data Vlaue (Cr)'!$C:$FB,99)</f>
        <v>2059</v>
      </c>
      <c r="I38" s="49">
        <f>VLOOKUP($A38,'Data Vlaue (Cr)'!$C:$FB,100)</f>
        <v>2066</v>
      </c>
      <c r="J38" s="49">
        <f>VLOOKUP($A38,'Data Vlaue (Cr)'!$C:$FB,102)*100</f>
        <v>-0.36</v>
      </c>
    </row>
    <row r="39" spans="1:10" x14ac:dyDescent="0.25">
      <c r="A39" s="101" t="str">
        <f>'NIFTY GRP'!C34</f>
        <v>NESTLEIND</v>
      </c>
      <c r="B39" s="140">
        <f>VLOOKUP($A39,'Data shares'!$C:$FA,7)</f>
        <v>1410.5</v>
      </c>
      <c r="C39" s="140">
        <f>VLOOKUP($A39,'Data shares'!$C:$FA,3)</f>
        <v>1408.6</v>
      </c>
      <c r="D39" s="50">
        <f>VLOOKUP($A39,'Data shares'!$C:$FA,6)*100</f>
        <v>1.04</v>
      </c>
      <c r="E39" s="51">
        <f>VLOOKUP($A39,'Data shares'!$C:$FA,98)</f>
        <v>35534500</v>
      </c>
      <c r="F39" s="51">
        <f>VLOOKUP($A39,'Data shares'!$C:$FA,99)</f>
        <v>37905500</v>
      </c>
      <c r="G39" s="50">
        <f>VLOOKUP($A39,'Data shares'!$C:$FA,101)*100</f>
        <v>-6.2600000000000007</v>
      </c>
      <c r="H39" s="49">
        <f>VLOOKUP($A39,'Data Vlaue (Cr)'!$C:$FB,99)</f>
        <v>5005</v>
      </c>
      <c r="I39" s="49">
        <f>VLOOKUP($A39,'Data Vlaue (Cr)'!$C:$FB,100)</f>
        <v>5339</v>
      </c>
      <c r="J39" s="49">
        <f>VLOOKUP($A39,'Data Vlaue (Cr)'!$C:$FB,102)*100</f>
        <v>-6.2600000000000007</v>
      </c>
    </row>
    <row r="40" spans="1:10" x14ac:dyDescent="0.25">
      <c r="A40" s="101" t="str">
        <f>'NIFTY GRP'!C35</f>
        <v>NTPC</v>
      </c>
      <c r="B40" s="140">
        <f>VLOOKUP($A40,'Data shares'!$C:$FA,7)</f>
        <v>402.25</v>
      </c>
      <c r="C40" s="140">
        <f>VLOOKUP($A40,'Data shares'!$C:$FA,3)</f>
        <v>401.75</v>
      </c>
      <c r="D40" s="50">
        <f>VLOOKUP($A40,'Data shares'!$C:$FA,6)*100</f>
        <v>-0.77999999999999992</v>
      </c>
      <c r="E40" s="51">
        <f>VLOOKUP($A40,'Data shares'!$C:$FA,98)</f>
        <v>228256500</v>
      </c>
      <c r="F40" s="51">
        <f>VLOOKUP($A40,'Data shares'!$C:$FA,99)</f>
        <v>227260500</v>
      </c>
      <c r="G40" s="50">
        <f>VLOOKUP($A40,'Data shares'!$C:$FA,101)*100</f>
        <v>0.44</v>
      </c>
      <c r="H40" s="49">
        <f>VLOOKUP($A40,'Data Vlaue (Cr)'!$C:$FB,99)</f>
        <v>9170</v>
      </c>
      <c r="I40" s="49">
        <f>VLOOKUP($A40,'Data Vlaue (Cr)'!$C:$FB,100)</f>
        <v>9130</v>
      </c>
      <c r="J40" s="49">
        <f>VLOOKUP($A40,'Data Vlaue (Cr)'!$C:$FB,102)*100</f>
        <v>0.44</v>
      </c>
    </row>
    <row r="41" spans="1:10" x14ac:dyDescent="0.25">
      <c r="A41" s="101" t="str">
        <f>'NIFTY GRP'!C36</f>
        <v>ONGC</v>
      </c>
      <c r="B41" s="140">
        <f>VLOOKUP($A41,'Data shares'!$C:$FA,7)</f>
        <v>286.25</v>
      </c>
      <c r="C41" s="140">
        <f>VLOOKUP($A41,'Data shares'!$C:$FA,3)</f>
        <v>286.64999999999998</v>
      </c>
      <c r="D41" s="50">
        <f>VLOOKUP($A41,'Data shares'!$C:$FA,6)*100</f>
        <v>0.76</v>
      </c>
      <c r="E41" s="51">
        <f>VLOOKUP($A41,'Data shares'!$C:$FA,98)</f>
        <v>237161250</v>
      </c>
      <c r="F41" s="51">
        <f>VLOOKUP($A41,'Data shares'!$C:$FA,99)</f>
        <v>233867250</v>
      </c>
      <c r="G41" s="50">
        <f>VLOOKUP($A41,'Data shares'!$C:$FA,101)*100</f>
        <v>1.41</v>
      </c>
      <c r="H41" s="49">
        <f>VLOOKUP($A41,'Data Vlaue (Cr)'!$C:$FB,99)</f>
        <v>6798</v>
      </c>
      <c r="I41" s="49">
        <f>VLOOKUP($A41,'Data Vlaue (Cr)'!$C:$FB,100)</f>
        <v>6704</v>
      </c>
      <c r="J41" s="49">
        <f>VLOOKUP($A41,'Data Vlaue (Cr)'!$C:$FB,102)*100</f>
        <v>1.41</v>
      </c>
    </row>
    <row r="42" spans="1:10" x14ac:dyDescent="0.25">
      <c r="A42" s="101" t="str">
        <f>'NIFTY GRP'!C37</f>
        <v>POWERGRID</v>
      </c>
      <c r="B42" s="140">
        <f>VLOOKUP($A42,'Data shares'!$C:$FA,7)</f>
        <v>319.14999999999998</v>
      </c>
      <c r="C42" s="140">
        <f>VLOOKUP($A42,'Data shares'!$C:$FA,3)</f>
        <v>318.25</v>
      </c>
      <c r="D42" s="50">
        <f>VLOOKUP($A42,'Data shares'!$C:$FA,6)*100</f>
        <v>-0.48</v>
      </c>
      <c r="E42" s="51">
        <f>VLOOKUP($A42,'Data shares'!$C:$FA,98)</f>
        <v>146987800</v>
      </c>
      <c r="F42" s="51">
        <f>VLOOKUP($A42,'Data shares'!$C:$FA,99)</f>
        <v>149279200</v>
      </c>
      <c r="G42" s="50">
        <f>VLOOKUP($A42,'Data shares'!$C:$FA,101)*100</f>
        <v>-1.53</v>
      </c>
      <c r="H42" s="49">
        <f>VLOOKUP($A42,'Data Vlaue (Cr)'!$C:$FB,99)</f>
        <v>4678</v>
      </c>
      <c r="I42" s="49">
        <f>VLOOKUP($A42,'Data Vlaue (Cr)'!$C:$FB,100)</f>
        <v>4751</v>
      </c>
      <c r="J42" s="49">
        <f>VLOOKUP($A42,'Data Vlaue (Cr)'!$C:$FB,102)*100</f>
        <v>-1.53</v>
      </c>
    </row>
    <row r="43" spans="1:10" x14ac:dyDescent="0.25">
      <c r="A43" s="101" t="str">
        <f>'NIFTY GRP'!C38</f>
        <v>RELIANCE</v>
      </c>
      <c r="B43" s="140">
        <f>VLOOKUP($A43,'Data shares'!$C:$FA,7)</f>
        <v>1343.4</v>
      </c>
      <c r="C43" s="140">
        <f>VLOOKUP($A43,'Data shares'!$C:$FA,3)</f>
        <v>1344.3</v>
      </c>
      <c r="D43" s="50">
        <f>VLOOKUP($A43,'Data shares'!$C:$FA,6)*100</f>
        <v>-1.31</v>
      </c>
      <c r="E43" s="51">
        <f>VLOOKUP($A43,'Data shares'!$C:$FA,98)</f>
        <v>226886500</v>
      </c>
      <c r="F43" s="51">
        <f>VLOOKUP($A43,'Data shares'!$C:$FA,99)</f>
        <v>218042000</v>
      </c>
      <c r="G43" s="50">
        <f>VLOOKUP($A43,'Data shares'!$C:$FA,101)*100</f>
        <v>4.0599999999999996</v>
      </c>
      <c r="H43" s="49">
        <f>VLOOKUP($A43,'Data Vlaue (Cr)'!$C:$FB,99)</f>
        <v>30500</v>
      </c>
      <c r="I43" s="49">
        <f>VLOOKUP($A43,'Data Vlaue (Cr)'!$C:$FB,100)</f>
        <v>29311</v>
      </c>
      <c r="J43" s="49">
        <f>VLOOKUP($A43,'Data Vlaue (Cr)'!$C:$FB,102)*100</f>
        <v>4.0599999999999996</v>
      </c>
    </row>
    <row r="44" spans="1:10" x14ac:dyDescent="0.25">
      <c r="A44" s="101" t="str">
        <f>'NIFTY GRP'!C39</f>
        <v>SBILIFE</v>
      </c>
      <c r="B44" s="140">
        <f>VLOOKUP($A44,'Data shares'!$C:$FA,7)</f>
        <v>1828.1</v>
      </c>
      <c r="C44" s="140">
        <f>VLOOKUP($A44,'Data shares'!$C:$FA,3)</f>
        <v>1826.1</v>
      </c>
      <c r="D44" s="50">
        <f>VLOOKUP($A44,'Data shares'!$C:$FA,6)*100</f>
        <v>-3.37</v>
      </c>
      <c r="E44" s="51">
        <f>VLOOKUP($A44,'Data shares'!$C:$FA,98)</f>
        <v>24101250</v>
      </c>
      <c r="F44" s="51">
        <f>VLOOKUP($A44,'Data shares'!$C:$FA,99)</f>
        <v>23014500</v>
      </c>
      <c r="G44" s="50">
        <f>VLOOKUP($A44,'Data shares'!$C:$FA,101)*100</f>
        <v>4.72</v>
      </c>
      <c r="H44" s="49">
        <f>VLOOKUP($A44,'Data Vlaue (Cr)'!$C:$FB,99)</f>
        <v>4401</v>
      </c>
      <c r="I44" s="49">
        <f>VLOOKUP($A44,'Data Vlaue (Cr)'!$C:$FB,100)</f>
        <v>4203</v>
      </c>
      <c r="J44" s="49">
        <f>VLOOKUP($A44,'Data Vlaue (Cr)'!$C:$FB,102)*100</f>
        <v>4.72</v>
      </c>
    </row>
    <row r="45" spans="1:10" x14ac:dyDescent="0.25">
      <c r="A45" s="101" t="str">
        <f>'NIFTY GRP'!C40</f>
        <v>SBIN</v>
      </c>
      <c r="B45" s="140">
        <f>VLOOKUP($A45,'Data shares'!$C:$FA,7)</f>
        <v>1094.25</v>
      </c>
      <c r="C45" s="140">
        <f>VLOOKUP($A45,'Data shares'!$C:$FA,3)</f>
        <v>1094.0999999999999</v>
      </c>
      <c r="D45" s="50">
        <f>VLOOKUP($A45,'Data shares'!$C:$FA,6)*100</f>
        <v>-1.03</v>
      </c>
      <c r="E45" s="51">
        <f>VLOOKUP($A45,'Data shares'!$C:$FA,98)</f>
        <v>177969000</v>
      </c>
      <c r="F45" s="51">
        <f>VLOOKUP($A45,'Data shares'!$C:$FA,99)</f>
        <v>176935500</v>
      </c>
      <c r="G45" s="50">
        <f>VLOOKUP($A45,'Data shares'!$C:$FA,101)*100</f>
        <v>0.57999999999999996</v>
      </c>
      <c r="H45" s="49">
        <f>VLOOKUP($A45,'Data Vlaue (Cr)'!$C:$FB,99)</f>
        <v>19472</v>
      </c>
      <c r="I45" s="49">
        <f>VLOOKUP($A45,'Data Vlaue (Cr)'!$C:$FB,100)</f>
        <v>19359</v>
      </c>
      <c r="J45" s="49">
        <f>VLOOKUP($A45,'Data Vlaue (Cr)'!$C:$FB,102)*100</f>
        <v>0.57999999999999996</v>
      </c>
    </row>
    <row r="46" spans="1:10" x14ac:dyDescent="0.25">
      <c r="A46" s="101" t="str">
        <f>'NIFTY GRP'!C41</f>
        <v>SHRIRAMFIN</v>
      </c>
      <c r="B46" s="140">
        <f>VLOOKUP($A46,'Data shares'!$C:$FA,7)</f>
        <v>1009.3</v>
      </c>
      <c r="C46" s="140">
        <f>VLOOKUP($A46,'Data shares'!$C:$FA,3)</f>
        <v>1010.2</v>
      </c>
      <c r="D46" s="50">
        <f>VLOOKUP($A46,'Data shares'!$C:$FA,6)*100</f>
        <v>-3.3000000000000003</v>
      </c>
      <c r="E46" s="51">
        <f>VLOOKUP($A46,'Data shares'!$C:$FA,98)</f>
        <v>65826750</v>
      </c>
      <c r="F46" s="51">
        <f>VLOOKUP($A46,'Data shares'!$C:$FA,99)</f>
        <v>64284825</v>
      </c>
      <c r="G46" s="50">
        <f>VLOOKUP($A46,'Data shares'!$C:$FA,101)*100</f>
        <v>2.4</v>
      </c>
      <c r="H46" s="49">
        <f>VLOOKUP($A46,'Data Vlaue (Cr)'!$C:$FB,99)</f>
        <v>6650</v>
      </c>
      <c r="I46" s="49">
        <f>VLOOKUP($A46,'Data Vlaue (Cr)'!$C:$FB,100)</f>
        <v>6494</v>
      </c>
      <c r="J46" s="49">
        <f>VLOOKUP($A46,'Data Vlaue (Cr)'!$C:$FB,102)*100</f>
        <v>2.4</v>
      </c>
    </row>
    <row r="47" spans="1:10" x14ac:dyDescent="0.25">
      <c r="A47" s="101" t="str">
        <f>'NIFTY GRP'!C42</f>
        <v>SUNPHARMA</v>
      </c>
      <c r="B47" s="140">
        <f>VLOOKUP($A47,'Data shares'!$C:$FA,7)</f>
        <v>1680.1</v>
      </c>
      <c r="C47" s="140">
        <f>VLOOKUP($A47,'Data shares'!$C:$FA,3)</f>
        <v>1676.7</v>
      </c>
      <c r="D47" s="50">
        <f>VLOOKUP($A47,'Data shares'!$C:$FA,6)*100</f>
        <v>0.57000000000000006</v>
      </c>
      <c r="E47" s="51">
        <f>VLOOKUP($A47,'Data shares'!$C:$FA,98)</f>
        <v>32668650</v>
      </c>
      <c r="F47" s="51">
        <f>VLOOKUP($A47,'Data shares'!$C:$FA,99)</f>
        <v>31696700</v>
      </c>
      <c r="G47" s="50">
        <f>VLOOKUP($A47,'Data shares'!$C:$FA,101)*100</f>
        <v>3.0700000000000003</v>
      </c>
      <c r="H47" s="49">
        <f>VLOOKUP($A47,'Data Vlaue (Cr)'!$C:$FB,99)</f>
        <v>5478</v>
      </c>
      <c r="I47" s="49">
        <f>VLOOKUP($A47,'Data Vlaue (Cr)'!$C:$FB,100)</f>
        <v>5315</v>
      </c>
      <c r="J47" s="49">
        <f>VLOOKUP($A47,'Data Vlaue (Cr)'!$C:$FB,102)*100</f>
        <v>3.0700000000000003</v>
      </c>
    </row>
    <row r="48" spans="1:10" x14ac:dyDescent="0.25">
      <c r="A48" s="101" t="str">
        <f>'NIFTY GRP'!C43</f>
        <v>TATACONSUM</v>
      </c>
      <c r="B48" s="140">
        <f>VLOOKUP($A48,'Data shares'!$C:$FA,7)</f>
        <v>1184.4000000000001</v>
      </c>
      <c r="C48" s="140">
        <f>VLOOKUP($A48,'Data shares'!$C:$FA,3)</f>
        <v>1182.8</v>
      </c>
      <c r="D48" s="50">
        <f>VLOOKUP($A48,'Data shares'!$C:$FA,6)*100</f>
        <v>0.47000000000000003</v>
      </c>
      <c r="E48" s="51">
        <f>VLOOKUP($A48,'Data shares'!$C:$FA,98)</f>
        <v>18318850</v>
      </c>
      <c r="F48" s="51">
        <f>VLOOKUP($A48,'Data shares'!$C:$FA,99)</f>
        <v>18424450</v>
      </c>
      <c r="G48" s="50">
        <f>VLOOKUP($A48,'Data shares'!$C:$FA,101)*100</f>
        <v>-0.57000000000000006</v>
      </c>
      <c r="H48" s="49">
        <f>VLOOKUP($A48,'Data Vlaue (Cr)'!$C:$FB,99)</f>
        <v>2167</v>
      </c>
      <c r="I48" s="49">
        <f>VLOOKUP($A48,'Data Vlaue (Cr)'!$C:$FB,100)</f>
        <v>2179</v>
      </c>
      <c r="J48" s="49">
        <f>VLOOKUP($A48,'Data Vlaue (Cr)'!$C:$FB,102)*100</f>
        <v>-0.57000000000000006</v>
      </c>
    </row>
    <row r="49" spans="1:10" x14ac:dyDescent="0.25">
      <c r="A49" s="101" t="str">
        <f>'NIFTY GRP'!C44</f>
        <v>TATASTEEL</v>
      </c>
      <c r="B49" s="140">
        <f>VLOOKUP($A49,'Data shares'!$C:$FA,7)</f>
        <v>210.91</v>
      </c>
      <c r="C49" s="140">
        <f>VLOOKUP($A49,'Data shares'!$C:$FA,3)</f>
        <v>210.67</v>
      </c>
      <c r="D49" s="50">
        <f>VLOOKUP($A49,'Data shares'!$C:$FA,6)*100</f>
        <v>-1.0999999999999999</v>
      </c>
      <c r="E49" s="51">
        <f>VLOOKUP($A49,'Data shares'!$C:$FA,98)</f>
        <v>400785000</v>
      </c>
      <c r="F49" s="51">
        <f>VLOOKUP($A49,'Data shares'!$C:$FA,99)</f>
        <v>405388500</v>
      </c>
      <c r="G49" s="50">
        <f>VLOOKUP($A49,'Data shares'!$C:$FA,101)*100</f>
        <v>-1.1400000000000001</v>
      </c>
      <c r="H49" s="49">
        <f>VLOOKUP($A49,'Data Vlaue (Cr)'!$C:$FB,99)</f>
        <v>8443</v>
      </c>
      <c r="I49" s="49">
        <f>VLOOKUP($A49,'Data Vlaue (Cr)'!$C:$FB,100)</f>
        <v>8540</v>
      </c>
      <c r="J49" s="49">
        <f>VLOOKUP($A49,'Data Vlaue (Cr)'!$C:$FB,102)*100</f>
        <v>-1.1400000000000001</v>
      </c>
    </row>
    <row r="50" spans="1:10" x14ac:dyDescent="0.25">
      <c r="A50" s="101" t="str">
        <f>'NIFTY GRP'!C45</f>
        <v>TCS</v>
      </c>
      <c r="B50" s="140">
        <f>VLOOKUP($A50,'Data shares'!$C:$FA,7)</f>
        <v>2521.8000000000002</v>
      </c>
      <c r="C50" s="140">
        <f>VLOOKUP($A50,'Data shares'!$C:$FA,3)</f>
        <v>2516.9</v>
      </c>
      <c r="D50" s="50">
        <f>VLOOKUP($A50,'Data shares'!$C:$FA,6)*100</f>
        <v>-0.49</v>
      </c>
      <c r="E50" s="51">
        <f>VLOOKUP($A50,'Data shares'!$C:$FA,98)</f>
        <v>66550400</v>
      </c>
      <c r="F50" s="51">
        <f>VLOOKUP($A50,'Data shares'!$C:$FA,99)</f>
        <v>66082975</v>
      </c>
      <c r="G50" s="50">
        <f>VLOOKUP($A50,'Data shares'!$C:$FA,101)*100</f>
        <v>0.71000000000000008</v>
      </c>
      <c r="H50" s="49">
        <f>VLOOKUP($A50,'Data Vlaue (Cr)'!$C:$FB,99)</f>
        <v>16750</v>
      </c>
      <c r="I50" s="49">
        <f>VLOOKUP($A50,'Data Vlaue (Cr)'!$C:$FB,100)</f>
        <v>16632</v>
      </c>
      <c r="J50" s="49">
        <f>VLOOKUP($A50,'Data Vlaue (Cr)'!$C:$FB,102)*100</f>
        <v>0.71000000000000008</v>
      </c>
    </row>
    <row r="51" spans="1:10" x14ac:dyDescent="0.25">
      <c r="A51" s="101" t="str">
        <f>'NIFTY GRP'!C46</f>
        <v>TECHM</v>
      </c>
      <c r="B51" s="140">
        <f>VLOOKUP($A51,'Data shares'!$C:$FA,7)</f>
        <v>1421.5</v>
      </c>
      <c r="C51" s="140">
        <f>VLOOKUP($A51,'Data shares'!$C:$FA,3)</f>
        <v>1424.8</v>
      </c>
      <c r="D51" s="50">
        <f>VLOOKUP($A51,'Data shares'!$C:$FA,6)*100</f>
        <v>-2.86</v>
      </c>
      <c r="E51" s="51">
        <f>VLOOKUP($A51,'Data shares'!$C:$FA,98)</f>
        <v>38566800</v>
      </c>
      <c r="F51" s="51">
        <f>VLOOKUP($A51,'Data shares'!$C:$FA,99)</f>
        <v>38723400</v>
      </c>
      <c r="G51" s="50">
        <f>VLOOKUP($A51,'Data shares'!$C:$FA,101)*100</f>
        <v>-0.4</v>
      </c>
      <c r="H51" s="49">
        <f>VLOOKUP($A51,'Data Vlaue (Cr)'!$C:$FB,99)</f>
        <v>5495</v>
      </c>
      <c r="I51" s="49">
        <f>VLOOKUP($A51,'Data Vlaue (Cr)'!$C:$FB,100)</f>
        <v>5517</v>
      </c>
      <c r="J51" s="49">
        <f>VLOOKUP($A51,'Data Vlaue (Cr)'!$C:$FB,102)*100</f>
        <v>-0.4</v>
      </c>
    </row>
    <row r="52" spans="1:10" x14ac:dyDescent="0.25">
      <c r="A52" s="101" t="str">
        <f>'NIFTY GRP'!C47</f>
        <v>TITAN</v>
      </c>
      <c r="B52" s="140">
        <f>VLOOKUP($A52,'Data shares'!$C:$FA,7)</f>
        <v>4456.5</v>
      </c>
      <c r="C52" s="140">
        <f>VLOOKUP($A52,'Data shares'!$C:$FA,3)</f>
        <v>4453.5</v>
      </c>
      <c r="D52" s="50">
        <f>VLOOKUP($A52,'Data shares'!$C:$FA,6)*100</f>
        <v>-0.05</v>
      </c>
      <c r="E52" s="51">
        <f>VLOOKUP($A52,'Data shares'!$C:$FA,98)</f>
        <v>15648675</v>
      </c>
      <c r="F52" s="51">
        <f>VLOOKUP($A52,'Data shares'!$C:$FA,99)</f>
        <v>15881600</v>
      </c>
      <c r="G52" s="50">
        <f>VLOOKUP($A52,'Data shares'!$C:$FA,101)*100</f>
        <v>-1.47</v>
      </c>
      <c r="H52" s="49">
        <f>VLOOKUP($A52,'Data Vlaue (Cr)'!$C:$FB,99)</f>
        <v>6969</v>
      </c>
      <c r="I52" s="49">
        <f>VLOOKUP($A52,'Data Vlaue (Cr)'!$C:$FB,100)</f>
        <v>7073</v>
      </c>
      <c r="J52" s="49">
        <f>VLOOKUP($A52,'Data Vlaue (Cr)'!$C:$FB,102)*100</f>
        <v>-1.47</v>
      </c>
    </row>
    <row r="53" spans="1:10" x14ac:dyDescent="0.25">
      <c r="A53" s="101" t="str">
        <f>'NIFTY GRP'!C48</f>
        <v>TMPV</v>
      </c>
      <c r="B53" s="140">
        <f>VLOOKUP($A53,'Data shares'!$C:$FA,7)</f>
        <v>351.95</v>
      </c>
      <c r="C53" s="140">
        <f>VLOOKUP($A53,'Data shares'!$C:$FA,3)</f>
        <v>350.95</v>
      </c>
      <c r="D53" s="50">
        <f>VLOOKUP($A53,'Data shares'!$C:$FA,6)*100</f>
        <v>-2.65</v>
      </c>
      <c r="E53" s="51">
        <f>VLOOKUP($A53,'Data shares'!$C:$FA,98)</f>
        <v>129237600</v>
      </c>
      <c r="F53" s="51">
        <f>VLOOKUP($A53,'Data shares'!$C:$FA,99)</f>
        <v>128685600</v>
      </c>
      <c r="G53" s="50">
        <f>VLOOKUP($A53,'Data shares'!$C:$FA,101)*100</f>
        <v>0.43</v>
      </c>
      <c r="H53" s="49">
        <f>VLOOKUP($A53,'Data Vlaue (Cr)'!$C:$FB,99)</f>
        <v>4536</v>
      </c>
      <c r="I53" s="49">
        <f>VLOOKUP($A53,'Data Vlaue (Cr)'!$C:$FB,100)</f>
        <v>4516</v>
      </c>
      <c r="J53" s="49">
        <f>VLOOKUP($A53,'Data Vlaue (Cr)'!$C:$FB,102)*100</f>
        <v>0.43</v>
      </c>
    </row>
    <row r="54" spans="1:10" x14ac:dyDescent="0.25">
      <c r="A54" s="101" t="str">
        <f>'NIFTY GRP'!C49</f>
        <v>TRENT</v>
      </c>
      <c r="B54" s="140">
        <f>VLOOKUP($A54,'Data shares'!$C:$FA,7)</f>
        <v>4251.3999999999996</v>
      </c>
      <c r="C54" s="140">
        <f>VLOOKUP($A54,'Data shares'!$C:$FA,3)</f>
        <v>4237.8</v>
      </c>
      <c r="D54" s="50">
        <f>VLOOKUP($A54,'Data shares'!$C:$FA,6)*100</f>
        <v>-4.51</v>
      </c>
      <c r="E54" s="51">
        <f>VLOOKUP($A54,'Data shares'!$C:$FA,98)</f>
        <v>18083900</v>
      </c>
      <c r="F54" s="51">
        <f>VLOOKUP($A54,'Data shares'!$C:$FA,99)</f>
        <v>17047400</v>
      </c>
      <c r="G54" s="50">
        <f>VLOOKUP($A54,'Data shares'!$C:$FA,101)*100</f>
        <v>6.08</v>
      </c>
      <c r="H54" s="49">
        <f>VLOOKUP($A54,'Data Vlaue (Cr)'!$C:$FB,99)</f>
        <v>7664</v>
      </c>
      <c r="I54" s="49">
        <f>VLOOKUP($A54,'Data Vlaue (Cr)'!$C:$FB,100)</f>
        <v>7224</v>
      </c>
      <c r="J54" s="49">
        <f>VLOOKUP($A54,'Data Vlaue (Cr)'!$C:$FB,102)*100</f>
        <v>6.08</v>
      </c>
    </row>
    <row r="55" spans="1:10" x14ac:dyDescent="0.25">
      <c r="A55" s="101" t="str">
        <f>'NIFTY GRP'!C50</f>
        <v>ULTRACEMCO</v>
      </c>
      <c r="B55" s="140">
        <f>VLOOKUP($A55,'Data shares'!$C:$FA,7)</f>
        <v>12167</v>
      </c>
      <c r="C55" s="140">
        <f>VLOOKUP($A55,'Data shares'!$C:$FA,3)</f>
        <v>12176</v>
      </c>
      <c r="D55" s="50">
        <f>VLOOKUP($A55,'Data shares'!$C:$FA,6)*100</f>
        <v>0.04</v>
      </c>
      <c r="E55" s="51">
        <f>VLOOKUP($A55,'Data shares'!$C:$FA,98)</f>
        <v>4346700</v>
      </c>
      <c r="F55" s="51">
        <f>VLOOKUP($A55,'Data shares'!$C:$FA,99)</f>
        <v>3951850</v>
      </c>
      <c r="G55" s="50">
        <f>VLOOKUP($A55,'Data shares'!$C:$FA,101)*100</f>
        <v>9.99</v>
      </c>
      <c r="H55" s="49">
        <f>VLOOKUP($A55,'Data Vlaue (Cr)'!$C:$FB,99)</f>
        <v>5293</v>
      </c>
      <c r="I55" s="49">
        <f>VLOOKUP($A55,'Data Vlaue (Cr)'!$C:$FB,100)</f>
        <v>4812</v>
      </c>
      <c r="J55" s="49">
        <f>VLOOKUP($A55,'Data Vlaue (Cr)'!$C:$FB,102)*100</f>
        <v>9.99</v>
      </c>
    </row>
    <row r="56" spans="1:10" x14ac:dyDescent="0.25">
      <c r="A56" s="101" t="str">
        <f>'NIFTY GRP'!C51</f>
        <v>WIPRO</v>
      </c>
      <c r="B56" s="140">
        <f>VLOOKUP($A56,'Data shares'!$C:$FA,7)</f>
        <v>202.76</v>
      </c>
      <c r="C56" s="140">
        <f>VLOOKUP($A56,'Data shares'!$C:$FA,3)</f>
        <v>202.85</v>
      </c>
      <c r="D56" s="50">
        <f>VLOOKUP($A56,'Data shares'!$C:$FA,6)*100</f>
        <v>-0.47000000000000003</v>
      </c>
      <c r="E56" s="51">
        <f>VLOOKUP($A56,'Data shares'!$C:$FA,98)</f>
        <v>552855000</v>
      </c>
      <c r="F56" s="51">
        <f>VLOOKUP($A56,'Data shares'!$C:$FA,99)</f>
        <v>586752000</v>
      </c>
      <c r="G56" s="50">
        <f>VLOOKUP($A56,'Data shares'!$C:$FA,101)*100</f>
        <v>-5.7799999999999994</v>
      </c>
      <c r="H56" s="49">
        <f>VLOOKUP($A56,'Data Vlaue (Cr)'!$C:$FB,99)</f>
        <v>11215</v>
      </c>
      <c r="I56" s="49">
        <f>VLOOKUP($A56,'Data Vlaue (Cr)'!$C:$FB,100)</f>
        <v>11902</v>
      </c>
      <c r="J56" s="49">
        <f>VLOOKUP($A56,'Data Vlaue (Cr)'!$C:$FB,102)*100</f>
        <v>-5.7799999999999994</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2"/>
      <c r="B62" s="17"/>
      <c r="C62" s="17"/>
      <c r="D62" s="17"/>
      <c r="E62" s="17"/>
      <c r="F62" s="17"/>
      <c r="G62" s="17"/>
      <c r="H62" s="17"/>
      <c r="I62" s="17"/>
      <c r="J62" s="17"/>
    </row>
    <row r="63" spans="1:10" x14ac:dyDescent="0.25">
      <c r="A63" s="102"/>
      <c r="B63" s="17"/>
      <c r="C63" s="17"/>
      <c r="D63" s="17"/>
      <c r="E63" s="17"/>
      <c r="F63" s="17"/>
      <c r="G63" s="17"/>
      <c r="H63" s="17"/>
      <c r="I63" s="17"/>
      <c r="J63" s="17"/>
    </row>
    <row r="64" spans="1:10" x14ac:dyDescent="0.25">
      <c r="A64" s="126" t="s">
        <v>391</v>
      </c>
      <c r="B64" s="122"/>
      <c r="C64" s="122"/>
      <c r="D64" s="122"/>
      <c r="E64" s="127">
        <f>SUM(E7:E62)</f>
        <v>5798147036</v>
      </c>
      <c r="F64" s="127">
        <f>SUM(F7:F62)</f>
        <v>5769499804</v>
      </c>
      <c r="G64" s="128">
        <f>(E64-F64)/F64</f>
        <v>4.9652886685495412E-3</v>
      </c>
      <c r="H64" s="127">
        <f>SUM(H7:H62)</f>
        <v>466172</v>
      </c>
      <c r="I64" s="127">
        <f>SUM(I7:I62)</f>
        <v>458870</v>
      </c>
      <c r="J64" s="128">
        <f>(H64-I64)/I64</f>
        <v>1.5913003682960315E-2</v>
      </c>
    </row>
    <row r="65" spans="1:10" x14ac:dyDescent="0.25">
      <c r="A65" s="126" t="s">
        <v>398</v>
      </c>
      <c r="B65" s="122"/>
      <c r="C65" s="122"/>
      <c r="D65" s="122"/>
      <c r="E65" s="125">
        <f>E64/10000000</f>
        <v>579.81470360000003</v>
      </c>
      <c r="F65" s="125">
        <f>F64/10000000</f>
        <v>576.94998039999996</v>
      </c>
      <c r="G65" s="128">
        <f>(E65-F65)/F65</f>
        <v>4.9652886685496653E-3</v>
      </c>
      <c r="H65" s="129">
        <f>H64/10000000</f>
        <v>4.6617199999999998E-2</v>
      </c>
      <c r="I65" s="129">
        <f>I64/10000000</f>
        <v>4.5886999999999997E-2</v>
      </c>
      <c r="J65" s="128">
        <f>(H65-I65)/I65</f>
        <v>1.5913003682960322E-2</v>
      </c>
    </row>
    <row r="70" spans="1:10" x14ac:dyDescent="0.25">
      <c r="A70" s="43"/>
      <c r="B70" s="43"/>
      <c r="C70" s="44"/>
    </row>
    <row r="71" spans="1:10" ht="34.5" x14ac:dyDescent="0.25">
      <c r="A71" s="95" t="s">
        <v>411</v>
      </c>
      <c r="B71" s="45"/>
      <c r="C71" s="45" t="s">
        <v>385</v>
      </c>
    </row>
    <row r="72" spans="1:10" x14ac:dyDescent="0.25">
      <c r="A72" s="22" t="s">
        <v>412</v>
      </c>
      <c r="B72" s="22" t="s">
        <v>413</v>
      </c>
      <c r="C72" s="22" t="s">
        <v>414</v>
      </c>
    </row>
    <row r="73" spans="1:10" x14ac:dyDescent="0.25">
      <c r="A73" s="38">
        <f>H64</f>
        <v>466172</v>
      </c>
      <c r="B73" s="38">
        <f>I64</f>
        <v>458870</v>
      </c>
      <c r="C73" s="42">
        <f>J64</f>
        <v>1.5913003682960315E-2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7" activePane="bottomLeft" state="frozen"/>
      <selection pane="bottomLeft" activeCell="A7" sqref="A7:A225"/>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8" t="s">
        <v>356</v>
      </c>
      <c r="B3" s="299"/>
      <c r="C3" s="299"/>
      <c r="D3" s="299"/>
      <c r="E3" s="299"/>
      <c r="F3" s="299"/>
      <c r="G3" s="299"/>
      <c r="H3" s="299"/>
      <c r="I3" s="299"/>
      <c r="J3" s="299"/>
      <c r="K3" s="299"/>
      <c r="L3" s="299"/>
      <c r="M3" s="299"/>
      <c r="N3" s="299"/>
      <c r="O3" s="300"/>
    </row>
    <row r="4" spans="1:15" s="93" customFormat="1" x14ac:dyDescent="0.25">
      <c r="A4" s="285" t="s">
        <v>330</v>
      </c>
      <c r="B4" s="287" t="s">
        <v>308</v>
      </c>
      <c r="C4" s="289"/>
      <c r="D4" s="287" t="s">
        <v>357</v>
      </c>
      <c r="E4" s="288"/>
      <c r="F4" s="288"/>
      <c r="G4" s="288"/>
      <c r="H4" s="288"/>
      <c r="I4" s="288"/>
      <c r="J4" s="288"/>
      <c r="K4" s="288"/>
      <c r="L4" s="288"/>
      <c r="M4" s="288"/>
      <c r="N4" s="288"/>
      <c r="O4" s="289"/>
    </row>
    <row r="5" spans="1:15" s="93" customFormat="1" x14ac:dyDescent="0.25">
      <c r="A5" s="286"/>
      <c r="B5" s="301" t="s">
        <v>312</v>
      </c>
      <c r="C5" s="291"/>
      <c r="D5" s="301" t="s">
        <v>357</v>
      </c>
      <c r="E5" s="290"/>
      <c r="F5" s="291"/>
      <c r="G5" s="301" t="s">
        <v>358</v>
      </c>
      <c r="H5" s="290"/>
      <c r="I5" s="291"/>
      <c r="J5" s="301" t="s">
        <v>359</v>
      </c>
      <c r="K5" s="290"/>
      <c r="L5" s="291"/>
      <c r="M5" s="301" t="s">
        <v>360</v>
      </c>
      <c r="N5" s="290"/>
      <c r="O5" s="291"/>
    </row>
    <row r="6" spans="1:15" s="93" customFormat="1" x14ac:dyDescent="0.25">
      <c r="A6" s="76" t="s">
        <v>318</v>
      </c>
      <c r="B6" s="3">
        <f>'Nifty Baskets'!B6</f>
        <v>46135</v>
      </c>
      <c r="C6" s="76" t="s">
        <v>328</v>
      </c>
      <c r="D6" s="3">
        <f>B6</f>
        <v>46135</v>
      </c>
      <c r="E6" s="76" t="s">
        <v>322</v>
      </c>
      <c r="F6" s="76" t="s">
        <v>328</v>
      </c>
      <c r="G6" s="3">
        <f>D6</f>
        <v>46135</v>
      </c>
      <c r="H6" s="76" t="s">
        <v>322</v>
      </c>
      <c r="I6" s="76" t="s">
        <v>328</v>
      </c>
      <c r="J6" s="3">
        <f>D6</f>
        <v>46135</v>
      </c>
      <c r="K6" s="76" t="s">
        <v>322</v>
      </c>
      <c r="L6" s="76" t="s">
        <v>328</v>
      </c>
      <c r="M6" s="3">
        <f>D6</f>
        <v>46135</v>
      </c>
      <c r="N6" s="76" t="s">
        <v>322</v>
      </c>
      <c r="O6" s="76" t="s">
        <v>328</v>
      </c>
    </row>
    <row r="7" spans="1:15" x14ac:dyDescent="0.25">
      <c r="A7" s="101" t="str">
        <f>'Data Vlaue (Cr)'!C2</f>
        <v>360ONE</v>
      </c>
      <c r="B7" s="50">
        <f>VLOOKUP($A7,'Data Vlaue (Cr)'!$C:$FB,8)</f>
        <v>1052.25</v>
      </c>
      <c r="C7" s="50">
        <f>VLOOKUP($A7,'Data Vlaue (Cr)'!$C:$FB,11)*100</f>
        <v>-0.25</v>
      </c>
      <c r="D7" s="50">
        <f>VLOOKUP($A7,'Data Vlaue (Cr)'!$C:$FB,143)</f>
        <v>1355.23</v>
      </c>
      <c r="E7" s="50">
        <f>VLOOKUP($A7,'Data Vlaue (Cr)'!$C:$FB,144)</f>
        <v>4850.12</v>
      </c>
      <c r="F7" s="50">
        <f>VLOOKUP($A7,'Data Vlaue (Cr)'!$C:$FB,146)*100</f>
        <v>-72.06</v>
      </c>
      <c r="G7" s="49">
        <f>VLOOKUP($A7,'Data Vlaue (Cr)'!$C:$FB,43)</f>
        <v>348</v>
      </c>
      <c r="H7" s="49">
        <f>VLOOKUP($A7,'Data Vlaue (Cr)'!$C:$FB,44)</f>
        <v>585</v>
      </c>
      <c r="I7" s="49">
        <f>VLOOKUP($A7,'Data Vlaue (Cr)'!$C:$FB,46)*100</f>
        <v>-40.56</v>
      </c>
      <c r="J7" s="51">
        <f>VLOOKUP($A7,'Data Vlaue (Cr)'!$C:$FB,59)</f>
        <v>735</v>
      </c>
      <c r="K7" s="51">
        <f>VLOOKUP($A7,'Data Vlaue (Cr)'!$C:$FB,60)</f>
        <v>2608</v>
      </c>
      <c r="L7" s="51">
        <f>VLOOKUP($A7,'Data Vlaue (Cr)'!$C:$FB,62)*100</f>
        <v>-71.8</v>
      </c>
      <c r="M7" s="51">
        <f>VLOOKUP($A7,'Data Vlaue (Cr)'!$C:$FB,63)</f>
        <v>223</v>
      </c>
      <c r="N7" s="51">
        <f>VLOOKUP($A7,'Data Vlaue (Cr)'!$C:$FB,64)</f>
        <v>1394</v>
      </c>
      <c r="O7" s="51">
        <f>VLOOKUP($A7,'Data Vlaue (Cr)'!$C:$FB,66)*100</f>
        <v>-84.009999999999991</v>
      </c>
    </row>
    <row r="8" spans="1:15" x14ac:dyDescent="0.25">
      <c r="A8" s="101" t="str">
        <f>'Data Vlaue (Cr)'!C3</f>
        <v>ABB</v>
      </c>
      <c r="B8" s="50">
        <f>VLOOKUP($A8,'Data Vlaue (Cr)'!$C:$FB,8)</f>
        <v>7575.5</v>
      </c>
      <c r="C8" s="50">
        <f>VLOOKUP($A8,'Data Vlaue (Cr)'!$C:$FB,11)*100</f>
        <v>-0.15</v>
      </c>
      <c r="D8" s="50">
        <f>VLOOKUP($A8,'Data Vlaue (Cr)'!$C:$FB,143)</f>
        <v>6533.16</v>
      </c>
      <c r="E8" s="50">
        <f>VLOOKUP($A8,'Data Vlaue (Cr)'!$C:$FB,144)</f>
        <v>31131.97</v>
      </c>
      <c r="F8" s="50">
        <f>VLOOKUP($A8,'Data Vlaue (Cr)'!$C:$FB,146)*100</f>
        <v>-79.010000000000005</v>
      </c>
      <c r="G8" s="49">
        <f>VLOOKUP($A8,'Data Vlaue (Cr)'!$C:$FB,43)</f>
        <v>1557</v>
      </c>
      <c r="H8" s="49">
        <f>VLOOKUP($A8,'Data Vlaue (Cr)'!$C:$FB,44)</f>
        <v>2347</v>
      </c>
      <c r="I8" s="49">
        <f>VLOOKUP($A8,'Data Vlaue (Cr)'!$C:$FB,46)*100</f>
        <v>-33.660000000000004</v>
      </c>
      <c r="J8" s="51">
        <f>VLOOKUP($A8,'Data Vlaue (Cr)'!$C:$FB,59)</f>
        <v>3211</v>
      </c>
      <c r="K8" s="51">
        <f>VLOOKUP($A8,'Data Vlaue (Cr)'!$C:$FB,60)</f>
        <v>18939</v>
      </c>
      <c r="L8" s="51">
        <f>VLOOKUP($A8,'Data Vlaue (Cr)'!$C:$FB,62)*100</f>
        <v>-83.04</v>
      </c>
      <c r="M8" s="51">
        <f>VLOOKUP($A8,'Data Vlaue (Cr)'!$C:$FB,63)</f>
        <v>1667</v>
      </c>
      <c r="N8" s="51">
        <f>VLOOKUP($A8,'Data Vlaue (Cr)'!$C:$FB,64)</f>
        <v>9267</v>
      </c>
      <c r="O8" s="51">
        <f>VLOOKUP($A8,'Data Vlaue (Cr)'!$C:$FB,66)*100</f>
        <v>-82.01</v>
      </c>
    </row>
    <row r="9" spans="1:15" x14ac:dyDescent="0.25">
      <c r="A9" s="101" t="str">
        <f>'Data Vlaue (Cr)'!C4</f>
        <v>ABCAPITAL</v>
      </c>
      <c r="B9" s="50">
        <f>VLOOKUP($A9,'Data Vlaue (Cr)'!$C:$FB,8)</f>
        <v>349.75</v>
      </c>
      <c r="C9" s="50">
        <f>VLOOKUP($A9,'Data Vlaue (Cr)'!$C:$FB,11)*100</f>
        <v>-0.27</v>
      </c>
      <c r="D9" s="50">
        <f>VLOOKUP($A9,'Data Vlaue (Cr)'!$C:$FB,143)</f>
        <v>1994.94</v>
      </c>
      <c r="E9" s="50">
        <f>VLOOKUP($A9,'Data Vlaue (Cr)'!$C:$FB,144)</f>
        <v>2078.4299999999998</v>
      </c>
      <c r="F9" s="50">
        <f>VLOOKUP($A9,'Data Vlaue (Cr)'!$C:$FB,146)*100</f>
        <v>-4.0199999999999996</v>
      </c>
      <c r="G9" s="49">
        <f>VLOOKUP($A9,'Data Vlaue (Cr)'!$C:$FB,43)</f>
        <v>927</v>
      </c>
      <c r="H9" s="49">
        <f>VLOOKUP($A9,'Data Vlaue (Cr)'!$C:$FB,44)</f>
        <v>311</v>
      </c>
      <c r="I9" s="49">
        <f>VLOOKUP($A9,'Data Vlaue (Cr)'!$C:$FB,46)*100</f>
        <v>198.15</v>
      </c>
      <c r="J9" s="51">
        <f>VLOOKUP($A9,'Data Vlaue (Cr)'!$C:$FB,59)</f>
        <v>683</v>
      </c>
      <c r="K9" s="51">
        <f>VLOOKUP($A9,'Data Vlaue (Cr)'!$C:$FB,60)</f>
        <v>1116</v>
      </c>
      <c r="L9" s="51">
        <f>VLOOKUP($A9,'Data Vlaue (Cr)'!$C:$FB,62)*100</f>
        <v>-38.79</v>
      </c>
      <c r="M9" s="51">
        <f>VLOOKUP($A9,'Data Vlaue (Cr)'!$C:$FB,63)</f>
        <v>364</v>
      </c>
      <c r="N9" s="51">
        <f>VLOOKUP($A9,'Data Vlaue (Cr)'!$C:$FB,64)</f>
        <v>640</v>
      </c>
      <c r="O9" s="51">
        <f>VLOOKUP($A9,'Data Vlaue (Cr)'!$C:$FB,66)*100</f>
        <v>-43.21</v>
      </c>
    </row>
    <row r="10" spans="1:15" x14ac:dyDescent="0.25">
      <c r="A10" s="101" t="str">
        <f>'Data Vlaue (Cr)'!C5</f>
        <v>ADANIENSOL</v>
      </c>
      <c r="B10" s="50">
        <f>VLOOKUP($A10,'Data Vlaue (Cr)'!$C:$FB,8)</f>
        <v>1361.25</v>
      </c>
      <c r="C10" s="50">
        <f>VLOOKUP($A10,'Data Vlaue (Cr)'!$C:$FB,11)*100</f>
        <v>-0.5</v>
      </c>
      <c r="D10" s="50">
        <f>VLOOKUP($A10,'Data Vlaue (Cr)'!$C:$FB,143)</f>
        <v>6021.84</v>
      </c>
      <c r="E10" s="50">
        <f>VLOOKUP($A10,'Data Vlaue (Cr)'!$C:$FB,144)</f>
        <v>7672.98</v>
      </c>
      <c r="F10" s="50">
        <f>VLOOKUP($A10,'Data Vlaue (Cr)'!$C:$FB,146)*100</f>
        <v>-21.52</v>
      </c>
      <c r="G10" s="49">
        <f>VLOOKUP($A10,'Data Vlaue (Cr)'!$C:$FB,43)</f>
        <v>1588</v>
      </c>
      <c r="H10" s="49">
        <f>VLOOKUP($A10,'Data Vlaue (Cr)'!$C:$FB,44)</f>
        <v>1189</v>
      </c>
      <c r="I10" s="49">
        <f>VLOOKUP($A10,'Data Vlaue (Cr)'!$C:$FB,46)*100</f>
        <v>33.6</v>
      </c>
      <c r="J10" s="51">
        <f>VLOOKUP($A10,'Data Vlaue (Cr)'!$C:$FB,59)</f>
        <v>3163</v>
      </c>
      <c r="K10" s="51">
        <f>VLOOKUP($A10,'Data Vlaue (Cr)'!$C:$FB,60)</f>
        <v>4910</v>
      </c>
      <c r="L10" s="51">
        <f>VLOOKUP($A10,'Data Vlaue (Cr)'!$C:$FB,62)*100</f>
        <v>-35.58</v>
      </c>
      <c r="M10" s="51">
        <f>VLOOKUP($A10,'Data Vlaue (Cr)'!$C:$FB,63)</f>
        <v>1082</v>
      </c>
      <c r="N10" s="51">
        <f>VLOOKUP($A10,'Data Vlaue (Cr)'!$C:$FB,64)</f>
        <v>1562</v>
      </c>
      <c r="O10" s="51">
        <f>VLOOKUP($A10,'Data Vlaue (Cr)'!$C:$FB,66)*100</f>
        <v>-30.73</v>
      </c>
    </row>
    <row r="11" spans="1:15" x14ac:dyDescent="0.25">
      <c r="A11" s="101" t="str">
        <f>'Data Vlaue (Cr)'!C6</f>
        <v>ADANIENT</v>
      </c>
      <c r="B11" s="50">
        <f>VLOOKUP($A11,'Data Vlaue (Cr)'!$C:$FB,8)</f>
        <v>2300</v>
      </c>
      <c r="C11" s="50">
        <f>VLOOKUP($A11,'Data Vlaue (Cr)'!$C:$FB,11)*100</f>
        <v>1.73</v>
      </c>
      <c r="D11" s="50">
        <f>VLOOKUP($A11,'Data Vlaue (Cr)'!$C:$FB,143)</f>
        <v>10544.39</v>
      </c>
      <c r="E11" s="50">
        <f>VLOOKUP($A11,'Data Vlaue (Cr)'!$C:$FB,144)</f>
        <v>6393.67</v>
      </c>
      <c r="F11" s="50">
        <f>VLOOKUP($A11,'Data Vlaue (Cr)'!$C:$FB,146)*100</f>
        <v>64.92</v>
      </c>
      <c r="G11" s="49">
        <f>VLOOKUP($A11,'Data Vlaue (Cr)'!$C:$FB,43)</f>
        <v>2197</v>
      </c>
      <c r="H11" s="49">
        <f>VLOOKUP($A11,'Data Vlaue (Cr)'!$C:$FB,44)</f>
        <v>1276</v>
      </c>
      <c r="I11" s="49">
        <f>VLOOKUP($A11,'Data Vlaue (Cr)'!$C:$FB,46)*100</f>
        <v>72.2</v>
      </c>
      <c r="J11" s="51">
        <f>VLOOKUP($A11,'Data Vlaue (Cr)'!$C:$FB,59)</f>
        <v>5957</v>
      </c>
      <c r="K11" s="51">
        <f>VLOOKUP($A11,'Data Vlaue (Cr)'!$C:$FB,60)</f>
        <v>3356</v>
      </c>
      <c r="L11" s="51">
        <f>VLOOKUP($A11,'Data Vlaue (Cr)'!$C:$FB,62)*100</f>
        <v>77.52</v>
      </c>
      <c r="M11" s="51">
        <f>VLOOKUP($A11,'Data Vlaue (Cr)'!$C:$FB,63)</f>
        <v>2268</v>
      </c>
      <c r="N11" s="51">
        <f>VLOOKUP($A11,'Data Vlaue (Cr)'!$C:$FB,64)</f>
        <v>1858</v>
      </c>
      <c r="O11" s="51">
        <f>VLOOKUP($A11,'Data Vlaue (Cr)'!$C:$FB,66)*100</f>
        <v>22.1</v>
      </c>
    </row>
    <row r="12" spans="1:15" x14ac:dyDescent="0.25">
      <c r="A12" s="101" t="str">
        <f>'Data Vlaue (Cr)'!C7</f>
        <v>ADANIGREEN</v>
      </c>
      <c r="B12" s="50">
        <f>VLOOKUP($A12,'Data Vlaue (Cr)'!$C:$FB,8)</f>
        <v>1214.1500000000001</v>
      </c>
      <c r="C12" s="50">
        <f>VLOOKUP($A12,'Data Vlaue (Cr)'!$C:$FB,11)*100</f>
        <v>1.27</v>
      </c>
      <c r="D12" s="50">
        <f>VLOOKUP($A12,'Data Vlaue (Cr)'!$C:$FB,143)</f>
        <v>8833.7199999999993</v>
      </c>
      <c r="E12" s="50">
        <f>VLOOKUP($A12,'Data Vlaue (Cr)'!$C:$FB,144)</f>
        <v>5944.33</v>
      </c>
      <c r="F12" s="50">
        <f>VLOOKUP($A12,'Data Vlaue (Cr)'!$C:$FB,146)*100</f>
        <v>48.61</v>
      </c>
      <c r="G12" s="49">
        <f>VLOOKUP($A12,'Data Vlaue (Cr)'!$C:$FB,43)</f>
        <v>1640</v>
      </c>
      <c r="H12" s="49">
        <f>VLOOKUP($A12,'Data Vlaue (Cr)'!$C:$FB,44)</f>
        <v>1127</v>
      </c>
      <c r="I12" s="49">
        <f>VLOOKUP($A12,'Data Vlaue (Cr)'!$C:$FB,46)*100</f>
        <v>45.6</v>
      </c>
      <c r="J12" s="51">
        <f>VLOOKUP($A12,'Data Vlaue (Cr)'!$C:$FB,59)</f>
        <v>5297</v>
      </c>
      <c r="K12" s="51">
        <f>VLOOKUP($A12,'Data Vlaue (Cr)'!$C:$FB,60)</f>
        <v>3624</v>
      </c>
      <c r="L12" s="51">
        <f>VLOOKUP($A12,'Data Vlaue (Cr)'!$C:$FB,62)*100</f>
        <v>46.150000000000006</v>
      </c>
      <c r="M12" s="51">
        <f>VLOOKUP($A12,'Data Vlaue (Cr)'!$C:$FB,63)</f>
        <v>1629</v>
      </c>
      <c r="N12" s="51">
        <f>VLOOKUP($A12,'Data Vlaue (Cr)'!$C:$FB,64)</f>
        <v>1205</v>
      </c>
      <c r="O12" s="51">
        <f>VLOOKUP($A12,'Data Vlaue (Cr)'!$C:$FB,66)*100</f>
        <v>35.19</v>
      </c>
    </row>
    <row r="13" spans="1:15" x14ac:dyDescent="0.25">
      <c r="A13" s="101" t="str">
        <f>'Data Vlaue (Cr)'!C8</f>
        <v>ADANIPORTS</v>
      </c>
      <c r="B13" s="50">
        <f>VLOOKUP($A13,'Data Vlaue (Cr)'!$C:$FB,8)</f>
        <v>1602.9</v>
      </c>
      <c r="C13" s="50">
        <f>VLOOKUP($A13,'Data Vlaue (Cr)'!$C:$FB,11)*100</f>
        <v>0.89999999999999991</v>
      </c>
      <c r="D13" s="50">
        <f>VLOOKUP($A13,'Data Vlaue (Cr)'!$C:$FB,143)</f>
        <v>5570.77</v>
      </c>
      <c r="E13" s="50">
        <f>VLOOKUP($A13,'Data Vlaue (Cr)'!$C:$FB,144)</f>
        <v>3718.89</v>
      </c>
      <c r="F13" s="50">
        <f>VLOOKUP($A13,'Data Vlaue (Cr)'!$C:$FB,146)*100</f>
        <v>49.8</v>
      </c>
      <c r="G13" s="49">
        <f>VLOOKUP($A13,'Data Vlaue (Cr)'!$C:$FB,43)</f>
        <v>1724</v>
      </c>
      <c r="H13" s="49">
        <f>VLOOKUP($A13,'Data Vlaue (Cr)'!$C:$FB,44)</f>
        <v>530</v>
      </c>
      <c r="I13" s="49">
        <f>VLOOKUP($A13,'Data Vlaue (Cr)'!$C:$FB,46)*100</f>
        <v>225.05</v>
      </c>
      <c r="J13" s="51">
        <f>VLOOKUP($A13,'Data Vlaue (Cr)'!$C:$FB,59)</f>
        <v>2416</v>
      </c>
      <c r="K13" s="51">
        <f>VLOOKUP($A13,'Data Vlaue (Cr)'!$C:$FB,60)</f>
        <v>1981</v>
      </c>
      <c r="L13" s="51">
        <f>VLOOKUP($A13,'Data Vlaue (Cr)'!$C:$FB,62)*100</f>
        <v>21.98</v>
      </c>
      <c r="M13" s="51">
        <f>VLOOKUP($A13,'Data Vlaue (Cr)'!$C:$FB,63)</f>
        <v>1400</v>
      </c>
      <c r="N13" s="51">
        <f>VLOOKUP($A13,'Data Vlaue (Cr)'!$C:$FB,64)</f>
        <v>1190</v>
      </c>
      <c r="O13" s="51">
        <f>VLOOKUP($A13,'Data Vlaue (Cr)'!$C:$FB,66)*100</f>
        <v>17.57</v>
      </c>
    </row>
    <row r="14" spans="1:15" x14ac:dyDescent="0.25">
      <c r="A14" s="101" t="str">
        <f>'Data Vlaue (Cr)'!C9</f>
        <v>ADANIPOWER</v>
      </c>
      <c r="B14" s="50">
        <f>VLOOKUP($A14,'Data Vlaue (Cr)'!$C:$FB,8)</f>
        <v>214.18</v>
      </c>
      <c r="C14" s="50">
        <f>VLOOKUP($A14,'Data Vlaue (Cr)'!$C:$FB,11)*100</f>
        <v>-0.67999999999999994</v>
      </c>
      <c r="D14" s="50">
        <f>VLOOKUP($A14,'Data Vlaue (Cr)'!$C:$FB,143)</f>
        <v>3533.08</v>
      </c>
      <c r="E14" s="50">
        <f>VLOOKUP($A14,'Data Vlaue (Cr)'!$C:$FB,144)</f>
        <v>7097.18</v>
      </c>
      <c r="F14" s="50">
        <f>VLOOKUP($A14,'Data Vlaue (Cr)'!$C:$FB,146)*100</f>
        <v>-50.22</v>
      </c>
      <c r="G14" s="49">
        <f>VLOOKUP($A14,'Data Vlaue (Cr)'!$C:$FB,43)</f>
        <v>1046</v>
      </c>
      <c r="H14" s="49">
        <f>VLOOKUP($A14,'Data Vlaue (Cr)'!$C:$FB,44)</f>
        <v>1218</v>
      </c>
      <c r="I14" s="49">
        <f>VLOOKUP($A14,'Data Vlaue (Cr)'!$C:$FB,46)*100</f>
        <v>-14.14</v>
      </c>
      <c r="J14" s="51">
        <f>VLOOKUP($A14,'Data Vlaue (Cr)'!$C:$FB,59)</f>
        <v>1629</v>
      </c>
      <c r="K14" s="51">
        <f>VLOOKUP($A14,'Data Vlaue (Cr)'!$C:$FB,60)</f>
        <v>4365</v>
      </c>
      <c r="L14" s="51">
        <f>VLOOKUP($A14,'Data Vlaue (Cr)'!$C:$FB,62)*100</f>
        <v>-62.68</v>
      </c>
      <c r="M14" s="51">
        <f>VLOOKUP($A14,'Data Vlaue (Cr)'!$C:$FB,63)</f>
        <v>784</v>
      </c>
      <c r="N14" s="51">
        <f>VLOOKUP($A14,'Data Vlaue (Cr)'!$C:$FB,64)</f>
        <v>1428</v>
      </c>
      <c r="O14" s="51">
        <f>VLOOKUP($A14,'Data Vlaue (Cr)'!$C:$FB,66)*100</f>
        <v>-45.08</v>
      </c>
    </row>
    <row r="15" spans="1:15" x14ac:dyDescent="0.25">
      <c r="A15" s="101" t="str">
        <f>'Data Vlaue (Cr)'!C10</f>
        <v>ALKEM</v>
      </c>
      <c r="B15" s="50">
        <f>VLOOKUP($A15,'Data Vlaue (Cr)'!$C:$FB,8)</f>
        <v>5520.5</v>
      </c>
      <c r="C15" s="50">
        <f>VLOOKUP($A15,'Data Vlaue (Cr)'!$C:$FB,11)*100</f>
        <v>-1.8900000000000001</v>
      </c>
      <c r="D15" s="50">
        <f>VLOOKUP($A15,'Data Vlaue (Cr)'!$C:$FB,143)</f>
        <v>1353.74</v>
      </c>
      <c r="E15" s="50">
        <f>VLOOKUP($A15,'Data Vlaue (Cr)'!$C:$FB,144)</f>
        <v>785.03</v>
      </c>
      <c r="F15" s="50">
        <f>VLOOKUP($A15,'Data Vlaue (Cr)'!$C:$FB,146)*100</f>
        <v>72.44</v>
      </c>
      <c r="G15" s="49">
        <f>VLOOKUP($A15,'Data Vlaue (Cr)'!$C:$FB,43)</f>
        <v>613</v>
      </c>
      <c r="H15" s="49">
        <f>VLOOKUP($A15,'Data Vlaue (Cr)'!$C:$FB,44)</f>
        <v>197</v>
      </c>
      <c r="I15" s="49">
        <f>VLOOKUP($A15,'Data Vlaue (Cr)'!$C:$FB,46)*100</f>
        <v>211.12</v>
      </c>
      <c r="J15" s="51">
        <f>VLOOKUP($A15,'Data Vlaue (Cr)'!$C:$FB,59)</f>
        <v>473</v>
      </c>
      <c r="K15" s="51">
        <f>VLOOKUP($A15,'Data Vlaue (Cr)'!$C:$FB,60)</f>
        <v>362</v>
      </c>
      <c r="L15" s="51">
        <f>VLOOKUP($A15,'Data Vlaue (Cr)'!$C:$FB,62)*100</f>
        <v>30.830000000000002</v>
      </c>
      <c r="M15" s="51">
        <f>VLOOKUP($A15,'Data Vlaue (Cr)'!$C:$FB,63)</f>
        <v>257</v>
      </c>
      <c r="N15" s="51">
        <f>VLOOKUP($A15,'Data Vlaue (Cr)'!$C:$FB,64)</f>
        <v>199</v>
      </c>
      <c r="O15" s="51">
        <f>VLOOKUP($A15,'Data Vlaue (Cr)'!$C:$FB,66)*100</f>
        <v>29.25</v>
      </c>
    </row>
    <row r="16" spans="1:15" x14ac:dyDescent="0.25">
      <c r="A16" s="101" t="str">
        <f>'Data Vlaue (Cr)'!C11</f>
        <v>AMBER</v>
      </c>
      <c r="B16" s="50">
        <f>VLOOKUP($A16,'Data Vlaue (Cr)'!$C:$FB,8)</f>
        <v>7795</v>
      </c>
      <c r="C16" s="50">
        <f>VLOOKUP($A16,'Data Vlaue (Cr)'!$C:$FB,11)*100</f>
        <v>-0.11</v>
      </c>
      <c r="D16" s="50">
        <f>VLOOKUP($A16,'Data Vlaue (Cr)'!$C:$FB,143)</f>
        <v>2505.31</v>
      </c>
      <c r="E16" s="50">
        <f>VLOOKUP($A16,'Data Vlaue (Cr)'!$C:$FB,144)</f>
        <v>1862.76</v>
      </c>
      <c r="F16" s="50">
        <f>VLOOKUP($A16,'Data Vlaue (Cr)'!$C:$FB,146)*100</f>
        <v>34.489999999999995</v>
      </c>
      <c r="G16" s="49">
        <f>VLOOKUP($A16,'Data Vlaue (Cr)'!$C:$FB,43)</f>
        <v>829</v>
      </c>
      <c r="H16" s="49">
        <f>VLOOKUP($A16,'Data Vlaue (Cr)'!$C:$FB,44)</f>
        <v>230</v>
      </c>
      <c r="I16" s="49">
        <f>VLOOKUP($A16,'Data Vlaue (Cr)'!$C:$FB,46)*100</f>
        <v>261.20999999999998</v>
      </c>
      <c r="J16" s="51">
        <f>VLOOKUP($A16,'Data Vlaue (Cr)'!$C:$FB,59)</f>
        <v>1024</v>
      </c>
      <c r="K16" s="51">
        <f>VLOOKUP($A16,'Data Vlaue (Cr)'!$C:$FB,60)</f>
        <v>1054</v>
      </c>
      <c r="L16" s="51">
        <f>VLOOKUP($A16,'Data Vlaue (Cr)'!$C:$FB,62)*100</f>
        <v>-2.87</v>
      </c>
      <c r="M16" s="51">
        <f>VLOOKUP($A16,'Data Vlaue (Cr)'!$C:$FB,63)</f>
        <v>644</v>
      </c>
      <c r="N16" s="51">
        <f>VLOOKUP($A16,'Data Vlaue (Cr)'!$C:$FB,64)</f>
        <v>549</v>
      </c>
      <c r="O16" s="51">
        <f>VLOOKUP($A16,'Data Vlaue (Cr)'!$C:$FB,66)*100</f>
        <v>17.39</v>
      </c>
    </row>
    <row r="17" spans="1:15" x14ac:dyDescent="0.25">
      <c r="A17" s="101" t="str">
        <f>'Data Vlaue (Cr)'!C12</f>
        <v>AMBUJACEM</v>
      </c>
      <c r="B17" s="50">
        <f>VLOOKUP($A17,'Data Vlaue (Cr)'!$C:$FB,8)</f>
        <v>450.4</v>
      </c>
      <c r="C17" s="50">
        <f>VLOOKUP($A17,'Data Vlaue (Cr)'!$C:$FB,11)*100</f>
        <v>-2.2800000000000002</v>
      </c>
      <c r="D17" s="50">
        <f>VLOOKUP($A17,'Data Vlaue (Cr)'!$C:$FB,143)</f>
        <v>1840.36</v>
      </c>
      <c r="E17" s="50">
        <f>VLOOKUP($A17,'Data Vlaue (Cr)'!$C:$FB,144)</f>
        <v>1928.73</v>
      </c>
      <c r="F17" s="50">
        <f>VLOOKUP($A17,'Data Vlaue (Cr)'!$C:$FB,146)*100</f>
        <v>-4.58</v>
      </c>
      <c r="G17" s="49">
        <f>VLOOKUP($A17,'Data Vlaue (Cr)'!$C:$FB,43)</f>
        <v>1204</v>
      </c>
      <c r="H17" s="49">
        <f>VLOOKUP($A17,'Data Vlaue (Cr)'!$C:$FB,44)</f>
        <v>1056</v>
      </c>
      <c r="I17" s="49">
        <f>VLOOKUP($A17,'Data Vlaue (Cr)'!$C:$FB,46)*100</f>
        <v>14.02</v>
      </c>
      <c r="J17" s="51">
        <f>VLOOKUP($A17,'Data Vlaue (Cr)'!$C:$FB,59)</f>
        <v>441</v>
      </c>
      <c r="K17" s="51">
        <f>VLOOKUP($A17,'Data Vlaue (Cr)'!$C:$FB,60)</f>
        <v>542</v>
      </c>
      <c r="L17" s="51">
        <f>VLOOKUP($A17,'Data Vlaue (Cr)'!$C:$FB,62)*100</f>
        <v>-18.7</v>
      </c>
      <c r="M17" s="51">
        <f>VLOOKUP($A17,'Data Vlaue (Cr)'!$C:$FB,63)</f>
        <v>159</v>
      </c>
      <c r="N17" s="51">
        <f>VLOOKUP($A17,'Data Vlaue (Cr)'!$C:$FB,64)</f>
        <v>261</v>
      </c>
      <c r="O17" s="51">
        <f>VLOOKUP($A17,'Data Vlaue (Cr)'!$C:$FB,66)*100</f>
        <v>-39.200000000000003</v>
      </c>
    </row>
    <row r="18" spans="1:15" x14ac:dyDescent="0.25">
      <c r="A18" s="101" t="str">
        <f>'Data Vlaue (Cr)'!C13</f>
        <v>ANGELONE</v>
      </c>
      <c r="B18" s="50">
        <f>VLOOKUP($A18,'Data Vlaue (Cr)'!$C:$FB,8)</f>
        <v>321.20999999999998</v>
      </c>
      <c r="C18" s="50">
        <f>VLOOKUP($A18,'Data Vlaue (Cr)'!$C:$FB,11)*100</f>
        <v>-2.25</v>
      </c>
      <c r="D18" s="50">
        <f>VLOOKUP($A18,'Data Vlaue (Cr)'!$C:$FB,143)</f>
        <v>3049.87</v>
      </c>
      <c r="E18" s="50">
        <f>VLOOKUP($A18,'Data Vlaue (Cr)'!$C:$FB,144)</f>
        <v>3221.51</v>
      </c>
      <c r="F18" s="50">
        <f>VLOOKUP($A18,'Data Vlaue (Cr)'!$C:$FB,146)*100</f>
        <v>-5.33</v>
      </c>
      <c r="G18" s="49">
        <f>VLOOKUP($A18,'Data Vlaue (Cr)'!$C:$FB,43)</f>
        <v>831</v>
      </c>
      <c r="H18" s="49">
        <f>VLOOKUP($A18,'Data Vlaue (Cr)'!$C:$FB,44)</f>
        <v>304</v>
      </c>
      <c r="I18" s="49">
        <f>VLOOKUP($A18,'Data Vlaue (Cr)'!$C:$FB,46)*100</f>
        <v>173.06</v>
      </c>
      <c r="J18" s="51">
        <f>VLOOKUP($A18,'Data Vlaue (Cr)'!$C:$FB,59)</f>
        <v>1113</v>
      </c>
      <c r="K18" s="51">
        <f>VLOOKUP($A18,'Data Vlaue (Cr)'!$C:$FB,60)</f>
        <v>1698</v>
      </c>
      <c r="L18" s="51">
        <f>VLOOKUP($A18,'Data Vlaue (Cr)'!$C:$FB,62)*100</f>
        <v>-34.479999999999997</v>
      </c>
      <c r="M18" s="51">
        <f>VLOOKUP($A18,'Data Vlaue (Cr)'!$C:$FB,63)</f>
        <v>1078</v>
      </c>
      <c r="N18" s="51">
        <f>VLOOKUP($A18,'Data Vlaue (Cr)'!$C:$FB,64)</f>
        <v>1163</v>
      </c>
      <c r="O18" s="51">
        <f>VLOOKUP($A18,'Data Vlaue (Cr)'!$C:$FB,66)*100</f>
        <v>-7.3400000000000007</v>
      </c>
    </row>
    <row r="19" spans="1:15" x14ac:dyDescent="0.25">
      <c r="A19" s="101" t="str">
        <f>'Data Vlaue (Cr)'!C14</f>
        <v>APLAPOLLO</v>
      </c>
      <c r="B19" s="50">
        <f>VLOOKUP($A19,'Data Vlaue (Cr)'!$C:$FB,8)</f>
        <v>2022.9</v>
      </c>
      <c r="C19" s="50">
        <f>VLOOKUP($A19,'Data Vlaue (Cr)'!$C:$FB,11)*100</f>
        <v>-4.67</v>
      </c>
      <c r="D19" s="50">
        <f>VLOOKUP($A19,'Data Vlaue (Cr)'!$C:$FB,143)</f>
        <v>1974.6</v>
      </c>
      <c r="E19" s="50">
        <f>VLOOKUP($A19,'Data Vlaue (Cr)'!$C:$FB,144)</f>
        <v>417.37</v>
      </c>
      <c r="F19" s="50">
        <f>VLOOKUP($A19,'Data Vlaue (Cr)'!$C:$FB,146)*100</f>
        <v>373.09999999999997</v>
      </c>
      <c r="G19" s="49">
        <f>VLOOKUP($A19,'Data Vlaue (Cr)'!$C:$FB,43)</f>
        <v>788</v>
      </c>
      <c r="H19" s="49">
        <f>VLOOKUP($A19,'Data Vlaue (Cr)'!$C:$FB,44)</f>
        <v>107</v>
      </c>
      <c r="I19" s="49">
        <f>VLOOKUP($A19,'Data Vlaue (Cr)'!$C:$FB,46)*100</f>
        <v>636.25</v>
      </c>
      <c r="J19" s="51">
        <f>VLOOKUP($A19,'Data Vlaue (Cr)'!$C:$FB,59)</f>
        <v>524</v>
      </c>
      <c r="K19" s="51">
        <f>VLOOKUP($A19,'Data Vlaue (Cr)'!$C:$FB,60)</f>
        <v>222</v>
      </c>
      <c r="L19" s="51">
        <f>VLOOKUP($A19,'Data Vlaue (Cr)'!$C:$FB,62)*100</f>
        <v>136.52000000000001</v>
      </c>
      <c r="M19" s="51">
        <f>VLOOKUP($A19,'Data Vlaue (Cr)'!$C:$FB,63)</f>
        <v>638</v>
      </c>
      <c r="N19" s="51">
        <f>VLOOKUP($A19,'Data Vlaue (Cr)'!$C:$FB,64)</f>
        <v>65</v>
      </c>
      <c r="O19" s="51">
        <f>VLOOKUP($A19,'Data Vlaue (Cr)'!$C:$FB,66)*100</f>
        <v>875.4899999999999</v>
      </c>
    </row>
    <row r="20" spans="1:15" x14ac:dyDescent="0.25">
      <c r="A20" s="101" t="str">
        <f>'Data Vlaue (Cr)'!C15</f>
        <v>APOLLOHOSP</v>
      </c>
      <c r="B20" s="50">
        <f>VLOOKUP($A20,'Data Vlaue (Cr)'!$C:$FB,8)</f>
        <v>7781</v>
      </c>
      <c r="C20" s="50">
        <f>VLOOKUP($A20,'Data Vlaue (Cr)'!$C:$FB,11)*100</f>
        <v>1.55</v>
      </c>
      <c r="D20" s="50">
        <f>VLOOKUP($A20,'Data Vlaue (Cr)'!$C:$FB,143)</f>
        <v>4667.6499999999996</v>
      </c>
      <c r="E20" s="50">
        <f>VLOOKUP($A20,'Data Vlaue (Cr)'!$C:$FB,144)</f>
        <v>5644.22</v>
      </c>
      <c r="F20" s="50">
        <f>VLOOKUP($A20,'Data Vlaue (Cr)'!$C:$FB,146)*100</f>
        <v>-17.299999999999997</v>
      </c>
      <c r="G20" s="49">
        <f>VLOOKUP($A20,'Data Vlaue (Cr)'!$C:$FB,43)</f>
        <v>958</v>
      </c>
      <c r="H20" s="49">
        <f>VLOOKUP($A20,'Data Vlaue (Cr)'!$C:$FB,44)</f>
        <v>738</v>
      </c>
      <c r="I20" s="49">
        <f>VLOOKUP($A20,'Data Vlaue (Cr)'!$C:$FB,46)*100</f>
        <v>29.73</v>
      </c>
      <c r="J20" s="51">
        <f>VLOOKUP($A20,'Data Vlaue (Cr)'!$C:$FB,59)</f>
        <v>2379</v>
      </c>
      <c r="K20" s="51">
        <f>VLOOKUP($A20,'Data Vlaue (Cr)'!$C:$FB,60)</f>
        <v>2360</v>
      </c>
      <c r="L20" s="51">
        <f>VLOOKUP($A20,'Data Vlaue (Cr)'!$C:$FB,62)*100</f>
        <v>0.83</v>
      </c>
      <c r="M20" s="51">
        <f>VLOOKUP($A20,'Data Vlaue (Cr)'!$C:$FB,63)</f>
        <v>1318</v>
      </c>
      <c r="N20" s="51">
        <f>VLOOKUP($A20,'Data Vlaue (Cr)'!$C:$FB,64)</f>
        <v>2571</v>
      </c>
      <c r="O20" s="51">
        <f>VLOOKUP($A20,'Data Vlaue (Cr)'!$C:$FB,66)*100</f>
        <v>-48.75</v>
      </c>
    </row>
    <row r="21" spans="1:15" x14ac:dyDescent="0.25">
      <c r="A21" s="101" t="str">
        <f>'Data Vlaue (Cr)'!C16</f>
        <v>ASHOKLEY</v>
      </c>
      <c r="B21" s="50">
        <f>VLOOKUP($A21,'Data Vlaue (Cr)'!$C:$FB,8)</f>
        <v>170.63</v>
      </c>
      <c r="C21" s="50">
        <f>VLOOKUP($A21,'Data Vlaue (Cr)'!$C:$FB,11)*100</f>
        <v>-4.66</v>
      </c>
      <c r="D21" s="50">
        <f>VLOOKUP($A21,'Data Vlaue (Cr)'!$C:$FB,143)</f>
        <v>6743.42</v>
      </c>
      <c r="E21" s="50">
        <f>VLOOKUP($A21,'Data Vlaue (Cr)'!$C:$FB,144)</f>
        <v>6067.24</v>
      </c>
      <c r="F21" s="50">
        <f>VLOOKUP($A21,'Data Vlaue (Cr)'!$C:$FB,146)*100</f>
        <v>11.14</v>
      </c>
      <c r="G21" s="49">
        <f>VLOOKUP($A21,'Data Vlaue (Cr)'!$C:$FB,43)</f>
        <v>1950</v>
      </c>
      <c r="H21" s="49">
        <f>VLOOKUP($A21,'Data Vlaue (Cr)'!$C:$FB,44)</f>
        <v>919</v>
      </c>
      <c r="I21" s="49">
        <f>VLOOKUP($A21,'Data Vlaue (Cr)'!$C:$FB,46)*100</f>
        <v>112.14999999999999</v>
      </c>
      <c r="J21" s="51">
        <f>VLOOKUP($A21,'Data Vlaue (Cr)'!$C:$FB,59)</f>
        <v>2866</v>
      </c>
      <c r="K21" s="51">
        <f>VLOOKUP($A21,'Data Vlaue (Cr)'!$C:$FB,60)</f>
        <v>3325</v>
      </c>
      <c r="L21" s="51">
        <f>VLOOKUP($A21,'Data Vlaue (Cr)'!$C:$FB,62)*100</f>
        <v>-13.780000000000001</v>
      </c>
      <c r="M21" s="51">
        <f>VLOOKUP($A21,'Data Vlaue (Cr)'!$C:$FB,63)</f>
        <v>1708</v>
      </c>
      <c r="N21" s="51">
        <f>VLOOKUP($A21,'Data Vlaue (Cr)'!$C:$FB,64)</f>
        <v>1454</v>
      </c>
      <c r="O21" s="51">
        <f>VLOOKUP($A21,'Data Vlaue (Cr)'!$C:$FB,66)*100</f>
        <v>17.47</v>
      </c>
    </row>
    <row r="22" spans="1:15" x14ac:dyDescent="0.25">
      <c r="A22" s="101" t="str">
        <f>'Data Vlaue (Cr)'!C17</f>
        <v>ASIANPAINT</v>
      </c>
      <c r="B22" s="50">
        <f>VLOOKUP($A22,'Data Vlaue (Cr)'!$C:$FB,8)</f>
        <v>2521.4</v>
      </c>
      <c r="C22" s="50">
        <f>VLOOKUP($A22,'Data Vlaue (Cr)'!$C:$FB,11)*100</f>
        <v>-1.6199999999999999</v>
      </c>
      <c r="D22" s="50">
        <f>VLOOKUP($A22,'Data Vlaue (Cr)'!$C:$FB,143)</f>
        <v>5187.25</v>
      </c>
      <c r="E22" s="50">
        <f>VLOOKUP($A22,'Data Vlaue (Cr)'!$C:$FB,144)</f>
        <v>4081.51</v>
      </c>
      <c r="F22" s="50">
        <f>VLOOKUP($A22,'Data Vlaue (Cr)'!$C:$FB,146)*100</f>
        <v>27.089999999999996</v>
      </c>
      <c r="G22" s="49">
        <f>VLOOKUP($A22,'Data Vlaue (Cr)'!$C:$FB,43)</f>
        <v>2076</v>
      </c>
      <c r="H22" s="49">
        <f>VLOOKUP($A22,'Data Vlaue (Cr)'!$C:$FB,44)</f>
        <v>457</v>
      </c>
      <c r="I22" s="49">
        <f>VLOOKUP($A22,'Data Vlaue (Cr)'!$C:$FB,46)*100</f>
        <v>354.8</v>
      </c>
      <c r="J22" s="51">
        <f>VLOOKUP($A22,'Data Vlaue (Cr)'!$C:$FB,59)</f>
        <v>1439</v>
      </c>
      <c r="K22" s="51">
        <f>VLOOKUP($A22,'Data Vlaue (Cr)'!$C:$FB,60)</f>
        <v>1953</v>
      </c>
      <c r="L22" s="51">
        <f>VLOOKUP($A22,'Data Vlaue (Cr)'!$C:$FB,62)*100</f>
        <v>-26.340000000000003</v>
      </c>
      <c r="M22" s="51">
        <f>VLOOKUP($A22,'Data Vlaue (Cr)'!$C:$FB,63)</f>
        <v>1644</v>
      </c>
      <c r="N22" s="51">
        <f>VLOOKUP($A22,'Data Vlaue (Cr)'!$C:$FB,64)</f>
        <v>1613</v>
      </c>
      <c r="O22" s="51">
        <f>VLOOKUP($A22,'Data Vlaue (Cr)'!$C:$FB,66)*100</f>
        <v>1.96</v>
      </c>
    </row>
    <row r="23" spans="1:15" x14ac:dyDescent="0.25">
      <c r="A23" s="101" t="str">
        <f>'Data Vlaue (Cr)'!C18</f>
        <v>ASTRAL</v>
      </c>
      <c r="B23" s="50">
        <f>VLOOKUP($A23,'Data Vlaue (Cr)'!$C:$FB,8)</f>
        <v>1574.9</v>
      </c>
      <c r="C23" s="50">
        <f>VLOOKUP($A23,'Data Vlaue (Cr)'!$C:$FB,11)*100</f>
        <v>-0.91999999999999993</v>
      </c>
      <c r="D23" s="50">
        <f>VLOOKUP($A23,'Data Vlaue (Cr)'!$C:$FB,143)</f>
        <v>2478.4699999999998</v>
      </c>
      <c r="E23" s="50">
        <f>VLOOKUP($A23,'Data Vlaue (Cr)'!$C:$FB,144)</f>
        <v>1113.23</v>
      </c>
      <c r="F23" s="50">
        <f>VLOOKUP($A23,'Data Vlaue (Cr)'!$C:$FB,146)*100</f>
        <v>122.63999999999999</v>
      </c>
      <c r="G23" s="49">
        <f>VLOOKUP($A23,'Data Vlaue (Cr)'!$C:$FB,43)</f>
        <v>1600</v>
      </c>
      <c r="H23" s="49">
        <f>VLOOKUP($A23,'Data Vlaue (Cr)'!$C:$FB,44)</f>
        <v>318</v>
      </c>
      <c r="I23" s="49">
        <f>VLOOKUP($A23,'Data Vlaue (Cr)'!$C:$FB,46)*100</f>
        <v>403.26000000000005</v>
      </c>
      <c r="J23" s="51">
        <f>VLOOKUP($A23,'Data Vlaue (Cr)'!$C:$FB,59)</f>
        <v>629</v>
      </c>
      <c r="K23" s="51">
        <f>VLOOKUP($A23,'Data Vlaue (Cr)'!$C:$FB,60)</f>
        <v>518</v>
      </c>
      <c r="L23" s="51">
        <f>VLOOKUP($A23,'Data Vlaue (Cr)'!$C:$FB,62)*100</f>
        <v>21.43</v>
      </c>
      <c r="M23" s="51">
        <f>VLOOKUP($A23,'Data Vlaue (Cr)'!$C:$FB,63)</f>
        <v>267</v>
      </c>
      <c r="N23" s="51">
        <f>VLOOKUP($A23,'Data Vlaue (Cr)'!$C:$FB,64)</f>
        <v>266</v>
      </c>
      <c r="O23" s="51">
        <f>VLOOKUP($A23,'Data Vlaue (Cr)'!$C:$FB,66)*100</f>
        <v>0.35000000000000003</v>
      </c>
    </row>
    <row r="24" spans="1:15" x14ac:dyDescent="0.25">
      <c r="A24" s="101" t="str">
        <f>'Data Vlaue (Cr)'!C19</f>
        <v>AUBANK</v>
      </c>
      <c r="B24" s="50">
        <f>VLOOKUP($A24,'Data Vlaue (Cr)'!$C:$FB,8)</f>
        <v>1056.25</v>
      </c>
      <c r="C24" s="50">
        <f>VLOOKUP($A24,'Data Vlaue (Cr)'!$C:$FB,11)*100</f>
        <v>1.25</v>
      </c>
      <c r="D24" s="50">
        <f>VLOOKUP($A24,'Data Vlaue (Cr)'!$C:$FB,143)</f>
        <v>4592.54</v>
      </c>
      <c r="E24" s="50">
        <f>VLOOKUP($A24,'Data Vlaue (Cr)'!$C:$FB,144)</f>
        <v>3753.58</v>
      </c>
      <c r="F24" s="50">
        <f>VLOOKUP($A24,'Data Vlaue (Cr)'!$C:$FB,146)*100</f>
        <v>22.35</v>
      </c>
      <c r="G24" s="49">
        <f>VLOOKUP($A24,'Data Vlaue (Cr)'!$C:$FB,43)</f>
        <v>1890</v>
      </c>
      <c r="H24" s="49">
        <f>VLOOKUP($A24,'Data Vlaue (Cr)'!$C:$FB,44)</f>
        <v>589</v>
      </c>
      <c r="I24" s="49">
        <f>VLOOKUP($A24,'Data Vlaue (Cr)'!$C:$FB,46)*100</f>
        <v>220.71</v>
      </c>
      <c r="J24" s="51">
        <f>VLOOKUP($A24,'Data Vlaue (Cr)'!$C:$FB,59)</f>
        <v>1741</v>
      </c>
      <c r="K24" s="51">
        <f>VLOOKUP($A24,'Data Vlaue (Cr)'!$C:$FB,60)</f>
        <v>2037</v>
      </c>
      <c r="L24" s="51">
        <f>VLOOKUP($A24,'Data Vlaue (Cr)'!$C:$FB,62)*100</f>
        <v>-14.549999999999999</v>
      </c>
      <c r="M24" s="51">
        <f>VLOOKUP($A24,'Data Vlaue (Cr)'!$C:$FB,63)</f>
        <v>939</v>
      </c>
      <c r="N24" s="51">
        <f>VLOOKUP($A24,'Data Vlaue (Cr)'!$C:$FB,64)</f>
        <v>1127</v>
      </c>
      <c r="O24" s="51">
        <f>VLOOKUP($A24,'Data Vlaue (Cr)'!$C:$FB,66)*100</f>
        <v>-16.650000000000002</v>
      </c>
    </row>
    <row r="25" spans="1:15" x14ac:dyDescent="0.25">
      <c r="A25" s="101" t="str">
        <f>'Data Vlaue (Cr)'!C20</f>
        <v>AUROPHARMA</v>
      </c>
      <c r="B25" s="50">
        <f>VLOOKUP($A25,'Data Vlaue (Cr)'!$C:$FB,8)</f>
        <v>1435.4</v>
      </c>
      <c r="C25" s="50">
        <f>VLOOKUP($A25,'Data Vlaue (Cr)'!$C:$FB,11)*100</f>
        <v>1</v>
      </c>
      <c r="D25" s="50">
        <f>VLOOKUP($A25,'Data Vlaue (Cr)'!$C:$FB,143)</f>
        <v>3455.05</v>
      </c>
      <c r="E25" s="50">
        <f>VLOOKUP($A25,'Data Vlaue (Cr)'!$C:$FB,144)</f>
        <v>1931.7</v>
      </c>
      <c r="F25" s="50">
        <f>VLOOKUP($A25,'Data Vlaue (Cr)'!$C:$FB,146)*100</f>
        <v>78.86</v>
      </c>
      <c r="G25" s="49">
        <f>VLOOKUP($A25,'Data Vlaue (Cr)'!$C:$FB,43)</f>
        <v>1237</v>
      </c>
      <c r="H25" s="49">
        <f>VLOOKUP($A25,'Data Vlaue (Cr)'!$C:$FB,44)</f>
        <v>686</v>
      </c>
      <c r="I25" s="49">
        <f>VLOOKUP($A25,'Data Vlaue (Cr)'!$C:$FB,46)*100</f>
        <v>80.259999999999991</v>
      </c>
      <c r="J25" s="51">
        <f>VLOOKUP($A25,'Data Vlaue (Cr)'!$C:$FB,59)</f>
        <v>1553</v>
      </c>
      <c r="K25" s="51">
        <f>VLOOKUP($A25,'Data Vlaue (Cr)'!$C:$FB,60)</f>
        <v>828</v>
      </c>
      <c r="L25" s="51">
        <f>VLOOKUP($A25,'Data Vlaue (Cr)'!$C:$FB,62)*100</f>
        <v>87.56</v>
      </c>
      <c r="M25" s="51">
        <f>VLOOKUP($A25,'Data Vlaue (Cr)'!$C:$FB,63)</f>
        <v>636</v>
      </c>
      <c r="N25" s="51">
        <f>VLOOKUP($A25,'Data Vlaue (Cr)'!$C:$FB,64)</f>
        <v>459</v>
      </c>
      <c r="O25" s="51">
        <f>VLOOKUP($A25,'Data Vlaue (Cr)'!$C:$FB,66)*100</f>
        <v>38.550000000000004</v>
      </c>
    </row>
    <row r="26" spans="1:15" x14ac:dyDescent="0.25">
      <c r="A26" s="101" t="str">
        <f>'Data Vlaue (Cr)'!C21</f>
        <v>AXISBANK</v>
      </c>
      <c r="B26" s="50">
        <f>VLOOKUP($A26,'Data Vlaue (Cr)'!$C:$FB,8)</f>
        <v>1369.6</v>
      </c>
      <c r="C26" s="50">
        <f>VLOOKUP($A26,'Data Vlaue (Cr)'!$C:$FB,11)*100</f>
        <v>-0.72</v>
      </c>
      <c r="D26" s="50">
        <f>VLOOKUP($A26,'Data Vlaue (Cr)'!$C:$FB,143)</f>
        <v>9641.9699999999993</v>
      </c>
      <c r="E26" s="50">
        <f>VLOOKUP($A26,'Data Vlaue (Cr)'!$C:$FB,144)</f>
        <v>6575.07</v>
      </c>
      <c r="F26" s="50">
        <f>VLOOKUP($A26,'Data Vlaue (Cr)'!$C:$FB,146)*100</f>
        <v>46.64</v>
      </c>
      <c r="G26" s="49">
        <f>VLOOKUP($A26,'Data Vlaue (Cr)'!$C:$FB,43)</f>
        <v>4565</v>
      </c>
      <c r="H26" s="49">
        <f>VLOOKUP($A26,'Data Vlaue (Cr)'!$C:$FB,44)</f>
        <v>1868</v>
      </c>
      <c r="I26" s="49">
        <f>VLOOKUP($A26,'Data Vlaue (Cr)'!$C:$FB,46)*100</f>
        <v>144.31</v>
      </c>
      <c r="J26" s="51">
        <f>VLOOKUP($A26,'Data Vlaue (Cr)'!$C:$FB,59)</f>
        <v>2800</v>
      </c>
      <c r="K26" s="51">
        <f>VLOOKUP($A26,'Data Vlaue (Cr)'!$C:$FB,60)</f>
        <v>2742</v>
      </c>
      <c r="L26" s="51">
        <f>VLOOKUP($A26,'Data Vlaue (Cr)'!$C:$FB,62)*100</f>
        <v>2.13</v>
      </c>
      <c r="M26" s="51">
        <f>VLOOKUP($A26,'Data Vlaue (Cr)'!$C:$FB,63)</f>
        <v>2215</v>
      </c>
      <c r="N26" s="51">
        <f>VLOOKUP($A26,'Data Vlaue (Cr)'!$C:$FB,64)</f>
        <v>1854</v>
      </c>
      <c r="O26" s="51">
        <f>VLOOKUP($A26,'Data Vlaue (Cr)'!$C:$FB,66)*100</f>
        <v>19.489999999999998</v>
      </c>
    </row>
    <row r="27" spans="1:15" x14ac:dyDescent="0.25">
      <c r="A27" s="101" t="str">
        <f>'Data Vlaue (Cr)'!C22</f>
        <v>BAJAJ-AUTO</v>
      </c>
      <c r="B27" s="50">
        <f>VLOOKUP($A27,'Data Vlaue (Cr)'!$C:$FB,8)</f>
        <v>9550.5</v>
      </c>
      <c r="C27" s="50">
        <f>VLOOKUP($A27,'Data Vlaue (Cr)'!$C:$FB,11)*100</f>
        <v>-0.54</v>
      </c>
      <c r="D27" s="50">
        <f>VLOOKUP($A27,'Data Vlaue (Cr)'!$C:$FB,143)</f>
        <v>5352.68</v>
      </c>
      <c r="E27" s="50">
        <f>VLOOKUP($A27,'Data Vlaue (Cr)'!$C:$FB,144)</f>
        <v>3343.07</v>
      </c>
      <c r="F27" s="50">
        <f>VLOOKUP($A27,'Data Vlaue (Cr)'!$C:$FB,146)*100</f>
        <v>60.11</v>
      </c>
      <c r="G27" s="49">
        <f>VLOOKUP($A27,'Data Vlaue (Cr)'!$C:$FB,43)</f>
        <v>2079</v>
      </c>
      <c r="H27" s="49">
        <f>VLOOKUP($A27,'Data Vlaue (Cr)'!$C:$FB,44)</f>
        <v>576</v>
      </c>
      <c r="I27" s="49">
        <f>VLOOKUP($A27,'Data Vlaue (Cr)'!$C:$FB,46)*100</f>
        <v>260.95999999999998</v>
      </c>
      <c r="J27" s="51">
        <f>VLOOKUP($A27,'Data Vlaue (Cr)'!$C:$FB,59)</f>
        <v>1864</v>
      </c>
      <c r="K27" s="51">
        <f>VLOOKUP($A27,'Data Vlaue (Cr)'!$C:$FB,60)</f>
        <v>1658</v>
      </c>
      <c r="L27" s="51">
        <f>VLOOKUP($A27,'Data Vlaue (Cr)'!$C:$FB,62)*100</f>
        <v>12.479999999999999</v>
      </c>
      <c r="M27" s="51">
        <f>VLOOKUP($A27,'Data Vlaue (Cr)'!$C:$FB,63)</f>
        <v>1381</v>
      </c>
      <c r="N27" s="51">
        <f>VLOOKUP($A27,'Data Vlaue (Cr)'!$C:$FB,64)</f>
        <v>1034</v>
      </c>
      <c r="O27" s="51">
        <f>VLOOKUP($A27,'Data Vlaue (Cr)'!$C:$FB,66)*100</f>
        <v>33.550000000000004</v>
      </c>
    </row>
    <row r="28" spans="1:15" x14ac:dyDescent="0.25">
      <c r="A28" s="101" t="str">
        <f>'Data Vlaue (Cr)'!C23</f>
        <v>BAJAJFINSV</v>
      </c>
      <c r="B28" s="50">
        <f>VLOOKUP($A28,'Data Vlaue (Cr)'!$C:$FB,8)</f>
        <v>1792.6</v>
      </c>
      <c r="C28" s="50">
        <f>VLOOKUP($A28,'Data Vlaue (Cr)'!$C:$FB,11)*100</f>
        <v>-2.73</v>
      </c>
      <c r="D28" s="50">
        <f>VLOOKUP($A28,'Data Vlaue (Cr)'!$C:$FB,143)</f>
        <v>2784.43</v>
      </c>
      <c r="E28" s="50">
        <f>VLOOKUP($A28,'Data Vlaue (Cr)'!$C:$FB,144)</f>
        <v>1253.44</v>
      </c>
      <c r="F28" s="50">
        <f>VLOOKUP($A28,'Data Vlaue (Cr)'!$C:$FB,146)*100</f>
        <v>122.14</v>
      </c>
      <c r="G28" s="49">
        <f>VLOOKUP($A28,'Data Vlaue (Cr)'!$C:$FB,43)</f>
        <v>872</v>
      </c>
      <c r="H28" s="49">
        <f>VLOOKUP($A28,'Data Vlaue (Cr)'!$C:$FB,44)</f>
        <v>275</v>
      </c>
      <c r="I28" s="49">
        <f>VLOOKUP($A28,'Data Vlaue (Cr)'!$C:$FB,46)*100</f>
        <v>216.69</v>
      </c>
      <c r="J28" s="51">
        <f>VLOOKUP($A28,'Data Vlaue (Cr)'!$C:$FB,59)</f>
        <v>1113</v>
      </c>
      <c r="K28" s="51">
        <f>VLOOKUP($A28,'Data Vlaue (Cr)'!$C:$FB,60)</f>
        <v>500</v>
      </c>
      <c r="L28" s="51">
        <f>VLOOKUP($A28,'Data Vlaue (Cr)'!$C:$FB,62)*100</f>
        <v>122.58</v>
      </c>
      <c r="M28" s="51">
        <f>VLOOKUP($A28,'Data Vlaue (Cr)'!$C:$FB,63)</f>
        <v>754</v>
      </c>
      <c r="N28" s="51">
        <f>VLOOKUP($A28,'Data Vlaue (Cr)'!$C:$FB,64)</f>
        <v>439</v>
      </c>
      <c r="O28" s="51">
        <f>VLOOKUP($A28,'Data Vlaue (Cr)'!$C:$FB,66)*100</f>
        <v>71.83</v>
      </c>
    </row>
    <row r="29" spans="1:15" x14ac:dyDescent="0.25">
      <c r="A29" s="101" t="str">
        <f>'Data Vlaue (Cr)'!C24</f>
        <v>BAJAJHLDNG</v>
      </c>
      <c r="B29" s="50">
        <f>VLOOKUP($A29,'Data Vlaue (Cr)'!$C:$FB,8)</f>
        <v>10376.5</v>
      </c>
      <c r="C29" s="50">
        <f>VLOOKUP($A29,'Data Vlaue (Cr)'!$C:$FB,11)*100</f>
        <v>0</v>
      </c>
      <c r="D29" s="50">
        <f>VLOOKUP($A29,'Data Vlaue (Cr)'!$C:$FB,143)</f>
        <v>453.87</v>
      </c>
      <c r="E29" s="50">
        <f>VLOOKUP($A29,'Data Vlaue (Cr)'!$C:$FB,144)</f>
        <v>348.09</v>
      </c>
      <c r="F29" s="50">
        <f>VLOOKUP($A29,'Data Vlaue (Cr)'!$C:$FB,146)*100</f>
        <v>30.39</v>
      </c>
      <c r="G29" s="49">
        <f>VLOOKUP($A29,'Data Vlaue (Cr)'!$C:$FB,43)</f>
        <v>192</v>
      </c>
      <c r="H29" s="49">
        <f>VLOOKUP($A29,'Data Vlaue (Cr)'!$C:$FB,44)</f>
        <v>38</v>
      </c>
      <c r="I29" s="49">
        <f>VLOOKUP($A29,'Data Vlaue (Cr)'!$C:$FB,46)*100</f>
        <v>412.03000000000003</v>
      </c>
      <c r="J29" s="51">
        <f>VLOOKUP($A29,'Data Vlaue (Cr)'!$C:$FB,59)</f>
        <v>128</v>
      </c>
      <c r="K29" s="51">
        <f>VLOOKUP($A29,'Data Vlaue (Cr)'!$C:$FB,60)</f>
        <v>114</v>
      </c>
      <c r="L29" s="51">
        <f>VLOOKUP($A29,'Data Vlaue (Cr)'!$C:$FB,62)*100</f>
        <v>12.43</v>
      </c>
      <c r="M29" s="51">
        <f>VLOOKUP($A29,'Data Vlaue (Cr)'!$C:$FB,63)</f>
        <v>146</v>
      </c>
      <c r="N29" s="51">
        <f>VLOOKUP($A29,'Data Vlaue (Cr)'!$C:$FB,64)</f>
        <v>205</v>
      </c>
      <c r="O29" s="51">
        <f>VLOOKUP($A29,'Data Vlaue (Cr)'!$C:$FB,66)*100</f>
        <v>-28.660000000000004</v>
      </c>
    </row>
    <row r="30" spans="1:15" x14ac:dyDescent="0.25">
      <c r="A30" s="101" t="str">
        <f>'Data Vlaue (Cr)'!C25</f>
        <v>BAJFINANCE</v>
      </c>
      <c r="B30" s="50">
        <f>VLOOKUP($A30,'Data Vlaue (Cr)'!$C:$FB,8)</f>
        <v>918.35</v>
      </c>
      <c r="C30" s="50">
        <f>VLOOKUP($A30,'Data Vlaue (Cr)'!$C:$FB,11)*100</f>
        <v>-1.7500000000000002</v>
      </c>
      <c r="D30" s="50">
        <f>VLOOKUP($A30,'Data Vlaue (Cr)'!$C:$FB,143)</f>
        <v>9301.01</v>
      </c>
      <c r="E30" s="50">
        <f>VLOOKUP($A30,'Data Vlaue (Cr)'!$C:$FB,144)</f>
        <v>6762.88</v>
      </c>
      <c r="F30" s="50">
        <f>VLOOKUP($A30,'Data Vlaue (Cr)'!$C:$FB,146)*100</f>
        <v>37.53</v>
      </c>
      <c r="G30" s="49">
        <f>VLOOKUP($A30,'Data Vlaue (Cr)'!$C:$FB,43)</f>
        <v>4291</v>
      </c>
      <c r="H30" s="49">
        <f>VLOOKUP($A30,'Data Vlaue (Cr)'!$C:$FB,44)</f>
        <v>1483</v>
      </c>
      <c r="I30" s="49">
        <f>VLOOKUP($A30,'Data Vlaue (Cr)'!$C:$FB,46)*100</f>
        <v>189.41</v>
      </c>
      <c r="J30" s="51">
        <f>VLOOKUP($A30,'Data Vlaue (Cr)'!$C:$FB,59)</f>
        <v>2814</v>
      </c>
      <c r="K30" s="51">
        <f>VLOOKUP($A30,'Data Vlaue (Cr)'!$C:$FB,60)</f>
        <v>3089</v>
      </c>
      <c r="L30" s="51">
        <f>VLOOKUP($A30,'Data Vlaue (Cr)'!$C:$FB,62)*100</f>
        <v>-8.91</v>
      </c>
      <c r="M30" s="51">
        <f>VLOOKUP($A30,'Data Vlaue (Cr)'!$C:$FB,63)</f>
        <v>2093</v>
      </c>
      <c r="N30" s="51">
        <f>VLOOKUP($A30,'Data Vlaue (Cr)'!$C:$FB,64)</f>
        <v>2003</v>
      </c>
      <c r="O30" s="51">
        <f>VLOOKUP($A30,'Data Vlaue (Cr)'!$C:$FB,66)*100</f>
        <v>4.53</v>
      </c>
    </row>
    <row r="31" spans="1:15" x14ac:dyDescent="0.25">
      <c r="A31" s="101" t="str">
        <f>'Data Vlaue (Cr)'!C26</f>
        <v>BANDHANBNK</v>
      </c>
      <c r="B31" s="50">
        <f>VLOOKUP($A31,'Data Vlaue (Cr)'!$C:$FB,8)</f>
        <v>173.9</v>
      </c>
      <c r="C31" s="50">
        <f>VLOOKUP($A31,'Data Vlaue (Cr)'!$C:$FB,11)*100</f>
        <v>-1.48</v>
      </c>
      <c r="D31" s="50">
        <f>VLOOKUP($A31,'Data Vlaue (Cr)'!$C:$FB,143)</f>
        <v>1286.1600000000001</v>
      </c>
      <c r="E31" s="50">
        <f>VLOOKUP($A31,'Data Vlaue (Cr)'!$C:$FB,144)</f>
        <v>994.48</v>
      </c>
      <c r="F31" s="50">
        <f>VLOOKUP($A31,'Data Vlaue (Cr)'!$C:$FB,146)*100</f>
        <v>29.330000000000002</v>
      </c>
      <c r="G31" s="49">
        <f>VLOOKUP($A31,'Data Vlaue (Cr)'!$C:$FB,43)</f>
        <v>653</v>
      </c>
      <c r="H31" s="49">
        <f>VLOOKUP($A31,'Data Vlaue (Cr)'!$C:$FB,44)</f>
        <v>353</v>
      </c>
      <c r="I31" s="49">
        <f>VLOOKUP($A31,'Data Vlaue (Cr)'!$C:$FB,46)*100</f>
        <v>84.72</v>
      </c>
      <c r="J31" s="51">
        <f>VLOOKUP($A31,'Data Vlaue (Cr)'!$C:$FB,59)</f>
        <v>344</v>
      </c>
      <c r="K31" s="51">
        <f>VLOOKUP($A31,'Data Vlaue (Cr)'!$C:$FB,60)</f>
        <v>360</v>
      </c>
      <c r="L31" s="51">
        <f>VLOOKUP($A31,'Data Vlaue (Cr)'!$C:$FB,62)*100</f>
        <v>-4.43</v>
      </c>
      <c r="M31" s="51">
        <f>VLOOKUP($A31,'Data Vlaue (Cr)'!$C:$FB,63)</f>
        <v>286</v>
      </c>
      <c r="N31" s="51">
        <f>VLOOKUP($A31,'Data Vlaue (Cr)'!$C:$FB,64)</f>
        <v>264</v>
      </c>
      <c r="O31" s="51">
        <f>VLOOKUP($A31,'Data Vlaue (Cr)'!$C:$FB,66)*100</f>
        <v>8.14</v>
      </c>
    </row>
    <row r="32" spans="1:15" x14ac:dyDescent="0.25">
      <c r="A32" s="101" t="str">
        <f>'Data Vlaue (Cr)'!C27</f>
        <v>BANKBARODA</v>
      </c>
      <c r="B32" s="50">
        <f>VLOOKUP($A32,'Data Vlaue (Cr)'!$C:$FB,8)</f>
        <v>276.33999999999997</v>
      </c>
      <c r="C32" s="50">
        <f>VLOOKUP($A32,'Data Vlaue (Cr)'!$C:$FB,11)*100</f>
        <v>-2.27</v>
      </c>
      <c r="D32" s="50">
        <f>VLOOKUP($A32,'Data Vlaue (Cr)'!$C:$FB,143)</f>
        <v>4918.24</v>
      </c>
      <c r="E32" s="50">
        <f>VLOOKUP($A32,'Data Vlaue (Cr)'!$C:$FB,144)</f>
        <v>2243.5500000000002</v>
      </c>
      <c r="F32" s="50">
        <f>VLOOKUP($A32,'Data Vlaue (Cr)'!$C:$FB,146)*100</f>
        <v>119.22</v>
      </c>
      <c r="G32" s="49">
        <f>VLOOKUP($A32,'Data Vlaue (Cr)'!$C:$FB,43)</f>
        <v>1481</v>
      </c>
      <c r="H32" s="49">
        <f>VLOOKUP($A32,'Data Vlaue (Cr)'!$C:$FB,44)</f>
        <v>627</v>
      </c>
      <c r="I32" s="49">
        <f>VLOOKUP($A32,'Data Vlaue (Cr)'!$C:$FB,46)*100</f>
        <v>136.28</v>
      </c>
      <c r="J32" s="51">
        <f>VLOOKUP($A32,'Data Vlaue (Cr)'!$C:$FB,59)</f>
        <v>2028</v>
      </c>
      <c r="K32" s="51">
        <f>VLOOKUP($A32,'Data Vlaue (Cr)'!$C:$FB,60)</f>
        <v>896</v>
      </c>
      <c r="L32" s="51">
        <f>VLOOKUP($A32,'Data Vlaue (Cr)'!$C:$FB,62)*100</f>
        <v>126.37</v>
      </c>
      <c r="M32" s="51">
        <f>VLOOKUP($A32,'Data Vlaue (Cr)'!$C:$FB,63)</f>
        <v>1311</v>
      </c>
      <c r="N32" s="51">
        <f>VLOOKUP($A32,'Data Vlaue (Cr)'!$C:$FB,64)</f>
        <v>645</v>
      </c>
      <c r="O32" s="51">
        <f>VLOOKUP($A32,'Data Vlaue (Cr)'!$C:$FB,66)*100</f>
        <v>103.10999999999999</v>
      </c>
    </row>
    <row r="33" spans="1:15" x14ac:dyDescent="0.25">
      <c r="A33" s="101" t="str">
        <f>'Data Vlaue (Cr)'!C28</f>
        <v>BANKINDIA</v>
      </c>
      <c r="B33" s="50">
        <f>VLOOKUP($A33,'Data Vlaue (Cr)'!$C:$FB,8)</f>
        <v>150.86000000000001</v>
      </c>
      <c r="C33" s="50">
        <f>VLOOKUP($A33,'Data Vlaue (Cr)'!$C:$FB,11)*100</f>
        <v>-1.35</v>
      </c>
      <c r="D33" s="50">
        <f>VLOOKUP($A33,'Data Vlaue (Cr)'!$C:$FB,143)</f>
        <v>1743.09</v>
      </c>
      <c r="E33" s="50">
        <f>VLOOKUP($A33,'Data Vlaue (Cr)'!$C:$FB,144)</f>
        <v>1550.53</v>
      </c>
      <c r="F33" s="50">
        <f>VLOOKUP($A33,'Data Vlaue (Cr)'!$C:$FB,146)*100</f>
        <v>12.42</v>
      </c>
      <c r="G33" s="49">
        <f>VLOOKUP($A33,'Data Vlaue (Cr)'!$C:$FB,43)</f>
        <v>773</v>
      </c>
      <c r="H33" s="49">
        <f>VLOOKUP($A33,'Data Vlaue (Cr)'!$C:$FB,44)</f>
        <v>397</v>
      </c>
      <c r="I33" s="49">
        <f>VLOOKUP($A33,'Data Vlaue (Cr)'!$C:$FB,46)*100</f>
        <v>94.81</v>
      </c>
      <c r="J33" s="51">
        <f>VLOOKUP($A33,'Data Vlaue (Cr)'!$C:$FB,59)</f>
        <v>609</v>
      </c>
      <c r="K33" s="51">
        <f>VLOOKUP($A33,'Data Vlaue (Cr)'!$C:$FB,60)</f>
        <v>784</v>
      </c>
      <c r="L33" s="51">
        <f>VLOOKUP($A33,'Data Vlaue (Cr)'!$C:$FB,62)*100</f>
        <v>-22.37</v>
      </c>
      <c r="M33" s="51">
        <f>VLOOKUP($A33,'Data Vlaue (Cr)'!$C:$FB,63)</f>
        <v>340</v>
      </c>
      <c r="N33" s="51">
        <f>VLOOKUP($A33,'Data Vlaue (Cr)'!$C:$FB,64)</f>
        <v>329</v>
      </c>
      <c r="O33" s="51">
        <f>VLOOKUP($A33,'Data Vlaue (Cr)'!$C:$FB,66)*100</f>
        <v>3.36</v>
      </c>
    </row>
    <row r="34" spans="1:15" x14ac:dyDescent="0.25">
      <c r="A34" s="101" t="str">
        <f>'Data Vlaue (Cr)'!C29</f>
        <v>BANKNIFTY</v>
      </c>
      <c r="B34" s="50">
        <f>VLOOKUP($A34,'Data Vlaue (Cr)'!$C:$FB,8)</f>
        <v>56305</v>
      </c>
      <c r="C34" s="50">
        <f>VLOOKUP($A34,'Data Vlaue (Cr)'!$C:$FB,11)*100</f>
        <v>-1.43</v>
      </c>
      <c r="D34" s="50">
        <f>VLOOKUP($A34,'Data Vlaue (Cr)'!$C:$FB,143)</f>
        <v>729589.12</v>
      </c>
      <c r="E34" s="50">
        <f>VLOOKUP($A34,'Data Vlaue (Cr)'!$C:$FB,144)</f>
        <v>665500.69999999995</v>
      </c>
      <c r="F34" s="50">
        <f>VLOOKUP($A34,'Data Vlaue (Cr)'!$C:$FB,146)*100</f>
        <v>9.629999999999999</v>
      </c>
      <c r="G34" s="49">
        <f>VLOOKUP($A34,'Data Vlaue (Cr)'!$C:$FB,43)</f>
        <v>7068</v>
      </c>
      <c r="H34" s="49">
        <f>VLOOKUP($A34,'Data Vlaue (Cr)'!$C:$FB,44)</f>
        <v>5056</v>
      </c>
      <c r="I34" s="49">
        <f>VLOOKUP($A34,'Data Vlaue (Cr)'!$C:$FB,46)*100</f>
        <v>39.79</v>
      </c>
      <c r="J34" s="51">
        <f>VLOOKUP($A34,'Data Vlaue (Cr)'!$C:$FB,59)</f>
        <v>377202</v>
      </c>
      <c r="K34" s="51">
        <f>VLOOKUP($A34,'Data Vlaue (Cr)'!$C:$FB,60)</f>
        <v>319594</v>
      </c>
      <c r="L34" s="51">
        <f>VLOOKUP($A34,'Data Vlaue (Cr)'!$C:$FB,62)*100</f>
        <v>18.029999999999998</v>
      </c>
      <c r="M34" s="51">
        <f>VLOOKUP($A34,'Data Vlaue (Cr)'!$C:$FB,63)</f>
        <v>336758</v>
      </c>
      <c r="N34" s="51">
        <f>VLOOKUP($A34,'Data Vlaue (Cr)'!$C:$FB,64)</f>
        <v>331627</v>
      </c>
      <c r="O34" s="51">
        <f>VLOOKUP($A34,'Data Vlaue (Cr)'!$C:$FB,66)*100</f>
        <v>1.55</v>
      </c>
    </row>
    <row r="35" spans="1:15" x14ac:dyDescent="0.25">
      <c r="A35" s="101" t="str">
        <f>'Data Vlaue (Cr)'!C30</f>
        <v>BDL</v>
      </c>
      <c r="B35" s="50">
        <f>VLOOKUP($A35,'Data Vlaue (Cr)'!$C:$FB,8)</f>
        <v>1423.3</v>
      </c>
      <c r="C35" s="50">
        <f>VLOOKUP($A35,'Data Vlaue (Cr)'!$C:$FB,11)*100</f>
        <v>3.1199999999999997</v>
      </c>
      <c r="D35" s="50">
        <f>VLOOKUP($A35,'Data Vlaue (Cr)'!$C:$FB,143)</f>
        <v>2540.23</v>
      </c>
      <c r="E35" s="50">
        <f>VLOOKUP($A35,'Data Vlaue (Cr)'!$C:$FB,144)</f>
        <v>858.47</v>
      </c>
      <c r="F35" s="50">
        <f>VLOOKUP($A35,'Data Vlaue (Cr)'!$C:$FB,146)*100</f>
        <v>195.9</v>
      </c>
      <c r="G35" s="49">
        <f>VLOOKUP($A35,'Data Vlaue (Cr)'!$C:$FB,43)</f>
        <v>585</v>
      </c>
      <c r="H35" s="49">
        <f>VLOOKUP($A35,'Data Vlaue (Cr)'!$C:$FB,44)</f>
        <v>172</v>
      </c>
      <c r="I35" s="49">
        <f>VLOOKUP($A35,'Data Vlaue (Cr)'!$C:$FB,46)*100</f>
        <v>239.98</v>
      </c>
      <c r="J35" s="51">
        <f>VLOOKUP($A35,'Data Vlaue (Cr)'!$C:$FB,59)</f>
        <v>1449</v>
      </c>
      <c r="K35" s="51">
        <f>VLOOKUP($A35,'Data Vlaue (Cr)'!$C:$FB,60)</f>
        <v>411</v>
      </c>
      <c r="L35" s="51">
        <f>VLOOKUP($A35,'Data Vlaue (Cr)'!$C:$FB,62)*100</f>
        <v>252.26000000000002</v>
      </c>
      <c r="M35" s="51">
        <f>VLOOKUP($A35,'Data Vlaue (Cr)'!$C:$FB,63)</f>
        <v>504</v>
      </c>
      <c r="N35" s="51">
        <f>VLOOKUP($A35,'Data Vlaue (Cr)'!$C:$FB,64)</f>
        <v>305</v>
      </c>
      <c r="O35" s="51">
        <f>VLOOKUP($A35,'Data Vlaue (Cr)'!$C:$FB,66)*100</f>
        <v>65.14</v>
      </c>
    </row>
    <row r="36" spans="1:15" x14ac:dyDescent="0.25">
      <c r="A36" s="101" t="str">
        <f>'Data Vlaue (Cr)'!C31</f>
        <v>BEL</v>
      </c>
      <c r="B36" s="50">
        <f>VLOOKUP($A36,'Data Vlaue (Cr)'!$C:$FB,8)</f>
        <v>449.95</v>
      </c>
      <c r="C36" s="50">
        <f>VLOOKUP($A36,'Data Vlaue (Cr)'!$C:$FB,11)*100</f>
        <v>0.27999999999999997</v>
      </c>
      <c r="D36" s="50">
        <f>VLOOKUP($A36,'Data Vlaue (Cr)'!$C:$FB,143)</f>
        <v>7437.59</v>
      </c>
      <c r="E36" s="50">
        <f>VLOOKUP($A36,'Data Vlaue (Cr)'!$C:$FB,144)</f>
        <v>5553.24</v>
      </c>
      <c r="F36" s="50">
        <f>VLOOKUP($A36,'Data Vlaue (Cr)'!$C:$FB,146)*100</f>
        <v>33.93</v>
      </c>
      <c r="G36" s="49">
        <f>VLOOKUP($A36,'Data Vlaue (Cr)'!$C:$FB,43)</f>
        <v>2047</v>
      </c>
      <c r="H36" s="49">
        <f>VLOOKUP($A36,'Data Vlaue (Cr)'!$C:$FB,44)</f>
        <v>988</v>
      </c>
      <c r="I36" s="49">
        <f>VLOOKUP($A36,'Data Vlaue (Cr)'!$C:$FB,46)*100</f>
        <v>107.22</v>
      </c>
      <c r="J36" s="51">
        <f>VLOOKUP($A36,'Data Vlaue (Cr)'!$C:$FB,59)</f>
        <v>3614</v>
      </c>
      <c r="K36" s="51">
        <f>VLOOKUP($A36,'Data Vlaue (Cr)'!$C:$FB,60)</f>
        <v>3070</v>
      </c>
      <c r="L36" s="51">
        <f>VLOOKUP($A36,'Data Vlaue (Cr)'!$C:$FB,62)*100</f>
        <v>17.75</v>
      </c>
      <c r="M36" s="51">
        <f>VLOOKUP($A36,'Data Vlaue (Cr)'!$C:$FB,63)</f>
        <v>1675</v>
      </c>
      <c r="N36" s="51">
        <f>VLOOKUP($A36,'Data Vlaue (Cr)'!$C:$FB,64)</f>
        <v>1387</v>
      </c>
      <c r="O36" s="51">
        <f>VLOOKUP($A36,'Data Vlaue (Cr)'!$C:$FB,66)*100</f>
        <v>20.69</v>
      </c>
    </row>
    <row r="37" spans="1:15" x14ac:dyDescent="0.25">
      <c r="A37" s="101" t="str">
        <f>'Data Vlaue (Cr)'!C32</f>
        <v>BHARATFORG</v>
      </c>
      <c r="B37" s="50">
        <f>VLOOKUP($A37,'Data Vlaue (Cr)'!$C:$FB,8)</f>
        <v>1874.1</v>
      </c>
      <c r="C37" s="50">
        <f>VLOOKUP($A37,'Data Vlaue (Cr)'!$C:$FB,11)*100</f>
        <v>-1.53</v>
      </c>
      <c r="D37" s="50">
        <f>VLOOKUP($A37,'Data Vlaue (Cr)'!$C:$FB,143)</f>
        <v>3281.27</v>
      </c>
      <c r="E37" s="50">
        <f>VLOOKUP($A37,'Data Vlaue (Cr)'!$C:$FB,144)</f>
        <v>1981.87</v>
      </c>
      <c r="F37" s="50">
        <f>VLOOKUP($A37,'Data Vlaue (Cr)'!$C:$FB,146)*100</f>
        <v>65.56</v>
      </c>
      <c r="G37" s="49">
        <f>VLOOKUP($A37,'Data Vlaue (Cr)'!$C:$FB,43)</f>
        <v>1301</v>
      </c>
      <c r="H37" s="49">
        <f>VLOOKUP($A37,'Data Vlaue (Cr)'!$C:$FB,44)</f>
        <v>407</v>
      </c>
      <c r="I37" s="49">
        <f>VLOOKUP($A37,'Data Vlaue (Cr)'!$C:$FB,46)*100</f>
        <v>220.00000000000003</v>
      </c>
      <c r="J37" s="51">
        <f>VLOOKUP($A37,'Data Vlaue (Cr)'!$C:$FB,59)</f>
        <v>1152</v>
      </c>
      <c r="K37" s="51">
        <f>VLOOKUP($A37,'Data Vlaue (Cr)'!$C:$FB,60)</f>
        <v>1059</v>
      </c>
      <c r="L37" s="51">
        <f>VLOOKUP($A37,'Data Vlaue (Cr)'!$C:$FB,62)*100</f>
        <v>8.7800000000000011</v>
      </c>
      <c r="M37" s="51">
        <f>VLOOKUP($A37,'Data Vlaue (Cr)'!$C:$FB,63)</f>
        <v>794</v>
      </c>
      <c r="N37" s="51">
        <f>VLOOKUP($A37,'Data Vlaue (Cr)'!$C:$FB,64)</f>
        <v>448</v>
      </c>
      <c r="O37" s="51">
        <f>VLOOKUP($A37,'Data Vlaue (Cr)'!$C:$FB,66)*100</f>
        <v>77.290000000000006</v>
      </c>
    </row>
    <row r="38" spans="1:15" x14ac:dyDescent="0.25">
      <c r="A38" s="101" t="str">
        <f>'Data Vlaue (Cr)'!C33</f>
        <v>BHARTIARTL</v>
      </c>
      <c r="B38" s="50">
        <f>VLOOKUP($A38,'Data Vlaue (Cr)'!$C:$FB,8)</f>
        <v>1841.2</v>
      </c>
      <c r="C38" s="50">
        <f>VLOOKUP($A38,'Data Vlaue (Cr)'!$C:$FB,11)*100</f>
        <v>0.67</v>
      </c>
      <c r="D38" s="50">
        <f>VLOOKUP($A38,'Data Vlaue (Cr)'!$C:$FB,143)</f>
        <v>10074.94</v>
      </c>
      <c r="E38" s="50">
        <f>VLOOKUP($A38,'Data Vlaue (Cr)'!$C:$FB,144)</f>
        <v>7202</v>
      </c>
      <c r="F38" s="50">
        <f>VLOOKUP($A38,'Data Vlaue (Cr)'!$C:$FB,146)*100</f>
        <v>39.89</v>
      </c>
      <c r="G38" s="49">
        <f>VLOOKUP($A38,'Data Vlaue (Cr)'!$C:$FB,43)</f>
        <v>3941</v>
      </c>
      <c r="H38" s="49">
        <f>VLOOKUP($A38,'Data Vlaue (Cr)'!$C:$FB,44)</f>
        <v>1529</v>
      </c>
      <c r="I38" s="49">
        <f>VLOOKUP($A38,'Data Vlaue (Cr)'!$C:$FB,46)*100</f>
        <v>157.80000000000001</v>
      </c>
      <c r="J38" s="51">
        <f>VLOOKUP($A38,'Data Vlaue (Cr)'!$C:$FB,59)</f>
        <v>4457</v>
      </c>
      <c r="K38" s="51">
        <f>VLOOKUP($A38,'Data Vlaue (Cr)'!$C:$FB,60)</f>
        <v>3579</v>
      </c>
      <c r="L38" s="51">
        <f>VLOOKUP($A38,'Data Vlaue (Cr)'!$C:$FB,62)*100</f>
        <v>24.52</v>
      </c>
      <c r="M38" s="51">
        <f>VLOOKUP($A38,'Data Vlaue (Cr)'!$C:$FB,63)</f>
        <v>1575</v>
      </c>
      <c r="N38" s="51">
        <f>VLOOKUP($A38,'Data Vlaue (Cr)'!$C:$FB,64)</f>
        <v>1997</v>
      </c>
      <c r="O38" s="51">
        <f>VLOOKUP($A38,'Data Vlaue (Cr)'!$C:$FB,66)*100</f>
        <v>-21.14</v>
      </c>
    </row>
    <row r="39" spans="1:15" x14ac:dyDescent="0.25">
      <c r="A39" s="101" t="str">
        <f>'Data Vlaue (Cr)'!C34</f>
        <v>BHEL</v>
      </c>
      <c r="B39" s="50">
        <f>VLOOKUP($A39,'Data Vlaue (Cr)'!$C:$FB,8)</f>
        <v>337.6</v>
      </c>
      <c r="C39" s="50">
        <f>VLOOKUP($A39,'Data Vlaue (Cr)'!$C:$FB,11)*100</f>
        <v>1.1900000000000002</v>
      </c>
      <c r="D39" s="50">
        <f>VLOOKUP($A39,'Data Vlaue (Cr)'!$C:$FB,143)</f>
        <v>8582.43</v>
      </c>
      <c r="E39" s="50">
        <f>VLOOKUP($A39,'Data Vlaue (Cr)'!$C:$FB,144)</f>
        <v>6960.8</v>
      </c>
      <c r="F39" s="50">
        <f>VLOOKUP($A39,'Data Vlaue (Cr)'!$C:$FB,146)*100</f>
        <v>23.3</v>
      </c>
      <c r="G39" s="49">
        <f>VLOOKUP($A39,'Data Vlaue (Cr)'!$C:$FB,43)</f>
        <v>2425</v>
      </c>
      <c r="H39" s="49">
        <f>VLOOKUP($A39,'Data Vlaue (Cr)'!$C:$FB,44)</f>
        <v>883</v>
      </c>
      <c r="I39" s="49">
        <f>VLOOKUP($A39,'Data Vlaue (Cr)'!$C:$FB,46)*100</f>
        <v>174.64</v>
      </c>
      <c r="J39" s="51">
        <f>VLOOKUP($A39,'Data Vlaue (Cr)'!$C:$FB,59)</f>
        <v>3825</v>
      </c>
      <c r="K39" s="51">
        <f>VLOOKUP($A39,'Data Vlaue (Cr)'!$C:$FB,60)</f>
        <v>3924</v>
      </c>
      <c r="L39" s="51">
        <f>VLOOKUP($A39,'Data Vlaue (Cr)'!$C:$FB,62)*100</f>
        <v>-2.52</v>
      </c>
      <c r="M39" s="51">
        <f>VLOOKUP($A39,'Data Vlaue (Cr)'!$C:$FB,63)</f>
        <v>2305</v>
      </c>
      <c r="N39" s="51">
        <f>VLOOKUP($A39,'Data Vlaue (Cr)'!$C:$FB,64)</f>
        <v>2151</v>
      </c>
      <c r="O39" s="51">
        <f>VLOOKUP($A39,'Data Vlaue (Cr)'!$C:$FB,66)*100</f>
        <v>7.17</v>
      </c>
    </row>
    <row r="40" spans="1:15" x14ac:dyDescent="0.25">
      <c r="A40" s="101" t="str">
        <f>'Data Vlaue (Cr)'!C35</f>
        <v>BIOCON</v>
      </c>
      <c r="B40" s="50">
        <f>VLOOKUP($A40,'Data Vlaue (Cr)'!$C:$FB,8)</f>
        <v>358</v>
      </c>
      <c r="C40" s="50">
        <f>VLOOKUP($A40,'Data Vlaue (Cr)'!$C:$FB,11)*100</f>
        <v>0.06</v>
      </c>
      <c r="D40" s="50">
        <f>VLOOKUP($A40,'Data Vlaue (Cr)'!$C:$FB,143)</f>
        <v>2528.23</v>
      </c>
      <c r="E40" s="50">
        <f>VLOOKUP($A40,'Data Vlaue (Cr)'!$C:$FB,144)</f>
        <v>1308.43</v>
      </c>
      <c r="F40" s="50">
        <f>VLOOKUP($A40,'Data Vlaue (Cr)'!$C:$FB,146)*100</f>
        <v>93.23</v>
      </c>
      <c r="G40" s="49">
        <f>VLOOKUP($A40,'Data Vlaue (Cr)'!$C:$FB,43)</f>
        <v>579</v>
      </c>
      <c r="H40" s="49">
        <f>VLOOKUP($A40,'Data Vlaue (Cr)'!$C:$FB,44)</f>
        <v>275</v>
      </c>
      <c r="I40" s="49">
        <f>VLOOKUP($A40,'Data Vlaue (Cr)'!$C:$FB,46)*100</f>
        <v>110.25</v>
      </c>
      <c r="J40" s="51">
        <f>VLOOKUP($A40,'Data Vlaue (Cr)'!$C:$FB,59)</f>
        <v>1506</v>
      </c>
      <c r="K40" s="51">
        <f>VLOOKUP($A40,'Data Vlaue (Cr)'!$C:$FB,60)</f>
        <v>734</v>
      </c>
      <c r="L40" s="51">
        <f>VLOOKUP($A40,'Data Vlaue (Cr)'!$C:$FB,62)*100</f>
        <v>105.23</v>
      </c>
      <c r="M40" s="51">
        <f>VLOOKUP($A40,'Data Vlaue (Cr)'!$C:$FB,63)</f>
        <v>378</v>
      </c>
      <c r="N40" s="51">
        <f>VLOOKUP($A40,'Data Vlaue (Cr)'!$C:$FB,64)</f>
        <v>263</v>
      </c>
      <c r="O40" s="51">
        <f>VLOOKUP($A40,'Data Vlaue (Cr)'!$C:$FB,66)*100</f>
        <v>43.51</v>
      </c>
    </row>
    <row r="41" spans="1:15" x14ac:dyDescent="0.25">
      <c r="A41" s="101" t="str">
        <f>'Data Vlaue (Cr)'!C36</f>
        <v>BLUESTARCO</v>
      </c>
      <c r="B41" s="50">
        <f>VLOOKUP($A41,'Data Vlaue (Cr)'!$C:$FB,8)</f>
        <v>1829.8</v>
      </c>
      <c r="C41" s="50">
        <f>VLOOKUP($A41,'Data Vlaue (Cr)'!$C:$FB,11)*100</f>
        <v>-3.11</v>
      </c>
      <c r="D41" s="50">
        <f>VLOOKUP($A41,'Data Vlaue (Cr)'!$C:$FB,143)</f>
        <v>1121.2</v>
      </c>
      <c r="E41" s="50">
        <f>VLOOKUP($A41,'Data Vlaue (Cr)'!$C:$FB,144)</f>
        <v>610.92999999999995</v>
      </c>
      <c r="F41" s="50">
        <f>VLOOKUP($A41,'Data Vlaue (Cr)'!$C:$FB,146)*100</f>
        <v>83.52000000000001</v>
      </c>
      <c r="G41" s="49">
        <f>VLOOKUP($A41,'Data Vlaue (Cr)'!$C:$FB,43)</f>
        <v>602</v>
      </c>
      <c r="H41" s="49">
        <f>VLOOKUP($A41,'Data Vlaue (Cr)'!$C:$FB,44)</f>
        <v>186</v>
      </c>
      <c r="I41" s="49">
        <f>VLOOKUP($A41,'Data Vlaue (Cr)'!$C:$FB,46)*100</f>
        <v>224.2</v>
      </c>
      <c r="J41" s="51">
        <f>VLOOKUP($A41,'Data Vlaue (Cr)'!$C:$FB,59)</f>
        <v>308</v>
      </c>
      <c r="K41" s="51">
        <f>VLOOKUP($A41,'Data Vlaue (Cr)'!$C:$FB,60)</f>
        <v>302</v>
      </c>
      <c r="L41" s="51">
        <f>VLOOKUP($A41,'Data Vlaue (Cr)'!$C:$FB,62)*100</f>
        <v>2.09</v>
      </c>
      <c r="M41" s="51">
        <f>VLOOKUP($A41,'Data Vlaue (Cr)'!$C:$FB,63)</f>
        <v>196</v>
      </c>
      <c r="N41" s="51">
        <f>VLOOKUP($A41,'Data Vlaue (Cr)'!$C:$FB,64)</f>
        <v>100</v>
      </c>
      <c r="O41" s="51">
        <f>VLOOKUP($A41,'Data Vlaue (Cr)'!$C:$FB,66)*100</f>
        <v>95.47</v>
      </c>
    </row>
    <row r="42" spans="1:15" x14ac:dyDescent="0.25">
      <c r="A42" s="101" t="str">
        <f>'Data Vlaue (Cr)'!C37</f>
        <v>BOSCHLTD</v>
      </c>
      <c r="B42" s="50">
        <f>VLOOKUP($A42,'Data Vlaue (Cr)'!$C:$FB,8)</f>
        <v>37380</v>
      </c>
      <c r="C42" s="50">
        <f>VLOOKUP($A42,'Data Vlaue (Cr)'!$C:$FB,11)*100</f>
        <v>-1.3299999999999998</v>
      </c>
      <c r="D42" s="50">
        <f>VLOOKUP($A42,'Data Vlaue (Cr)'!$C:$FB,143)</f>
        <v>5862.81</v>
      </c>
      <c r="E42" s="50">
        <f>VLOOKUP($A42,'Data Vlaue (Cr)'!$C:$FB,144)</f>
        <v>4447.95</v>
      </c>
      <c r="F42" s="50">
        <f>VLOOKUP($A42,'Data Vlaue (Cr)'!$C:$FB,146)*100</f>
        <v>31.81</v>
      </c>
      <c r="G42" s="49">
        <f>VLOOKUP($A42,'Data Vlaue (Cr)'!$C:$FB,43)</f>
        <v>641</v>
      </c>
      <c r="H42" s="49">
        <f>VLOOKUP($A42,'Data Vlaue (Cr)'!$C:$FB,44)</f>
        <v>155</v>
      </c>
      <c r="I42" s="49">
        <f>VLOOKUP($A42,'Data Vlaue (Cr)'!$C:$FB,46)*100</f>
        <v>312.56</v>
      </c>
      <c r="J42" s="51">
        <f>VLOOKUP($A42,'Data Vlaue (Cr)'!$C:$FB,59)</f>
        <v>812</v>
      </c>
      <c r="K42" s="51">
        <f>VLOOKUP($A42,'Data Vlaue (Cr)'!$C:$FB,60)</f>
        <v>752</v>
      </c>
      <c r="L42" s="51">
        <f>VLOOKUP($A42,'Data Vlaue (Cr)'!$C:$FB,62)*100</f>
        <v>8.0399999999999991</v>
      </c>
      <c r="M42" s="51">
        <f>VLOOKUP($A42,'Data Vlaue (Cr)'!$C:$FB,63)</f>
        <v>5344</v>
      </c>
      <c r="N42" s="51">
        <f>VLOOKUP($A42,'Data Vlaue (Cr)'!$C:$FB,64)</f>
        <v>4308</v>
      </c>
      <c r="O42" s="51">
        <f>VLOOKUP($A42,'Data Vlaue (Cr)'!$C:$FB,66)*100</f>
        <v>24.060000000000002</v>
      </c>
    </row>
    <row r="43" spans="1:15" x14ac:dyDescent="0.25">
      <c r="A43" s="101" t="str">
        <f>'Data Vlaue (Cr)'!C38</f>
        <v>BPCL</v>
      </c>
      <c r="B43" s="50">
        <f>VLOOKUP($A43,'Data Vlaue (Cr)'!$C:$FB,8)</f>
        <v>309.8</v>
      </c>
      <c r="C43" s="50">
        <f>VLOOKUP($A43,'Data Vlaue (Cr)'!$C:$FB,11)*100</f>
        <v>-1.46</v>
      </c>
      <c r="D43" s="50">
        <f>VLOOKUP($A43,'Data Vlaue (Cr)'!$C:$FB,143)</f>
        <v>2234.52</v>
      </c>
      <c r="E43" s="50">
        <f>VLOOKUP($A43,'Data Vlaue (Cr)'!$C:$FB,144)</f>
        <v>1639.37</v>
      </c>
      <c r="F43" s="50">
        <f>VLOOKUP($A43,'Data Vlaue (Cr)'!$C:$FB,146)*100</f>
        <v>36.299999999999997</v>
      </c>
      <c r="G43" s="49">
        <f>VLOOKUP($A43,'Data Vlaue (Cr)'!$C:$FB,43)</f>
        <v>821</v>
      </c>
      <c r="H43" s="49">
        <f>VLOOKUP($A43,'Data Vlaue (Cr)'!$C:$FB,44)</f>
        <v>398</v>
      </c>
      <c r="I43" s="49">
        <f>VLOOKUP($A43,'Data Vlaue (Cr)'!$C:$FB,46)*100</f>
        <v>106.35</v>
      </c>
      <c r="J43" s="51">
        <f>VLOOKUP($A43,'Data Vlaue (Cr)'!$C:$FB,59)</f>
        <v>738</v>
      </c>
      <c r="K43" s="51">
        <f>VLOOKUP($A43,'Data Vlaue (Cr)'!$C:$FB,60)</f>
        <v>773</v>
      </c>
      <c r="L43" s="51">
        <f>VLOOKUP($A43,'Data Vlaue (Cr)'!$C:$FB,62)*100</f>
        <v>-4.4400000000000004</v>
      </c>
      <c r="M43" s="51">
        <f>VLOOKUP($A43,'Data Vlaue (Cr)'!$C:$FB,63)</f>
        <v>629</v>
      </c>
      <c r="N43" s="51">
        <f>VLOOKUP($A43,'Data Vlaue (Cr)'!$C:$FB,64)</f>
        <v>409</v>
      </c>
      <c r="O43" s="51">
        <f>VLOOKUP($A43,'Data Vlaue (Cr)'!$C:$FB,66)*100</f>
        <v>53.76</v>
      </c>
    </row>
    <row r="44" spans="1:15" x14ac:dyDescent="0.25">
      <c r="A44" s="101" t="str">
        <f>'Data Vlaue (Cr)'!C39</f>
        <v>BRITANNIA</v>
      </c>
      <c r="B44" s="50">
        <f>VLOOKUP($A44,'Data Vlaue (Cr)'!$C:$FB,8)</f>
        <v>5671.5</v>
      </c>
      <c r="C44" s="50">
        <f>VLOOKUP($A44,'Data Vlaue (Cr)'!$C:$FB,11)*100</f>
        <v>-1.01</v>
      </c>
      <c r="D44" s="50">
        <f>VLOOKUP($A44,'Data Vlaue (Cr)'!$C:$FB,143)</f>
        <v>2646.07</v>
      </c>
      <c r="E44" s="50">
        <f>VLOOKUP($A44,'Data Vlaue (Cr)'!$C:$FB,144)</f>
        <v>4247.87</v>
      </c>
      <c r="F44" s="50">
        <f>VLOOKUP($A44,'Data Vlaue (Cr)'!$C:$FB,146)*100</f>
        <v>-37.71</v>
      </c>
      <c r="G44" s="49">
        <f>VLOOKUP($A44,'Data Vlaue (Cr)'!$C:$FB,43)</f>
        <v>1212</v>
      </c>
      <c r="H44" s="49">
        <f>VLOOKUP($A44,'Data Vlaue (Cr)'!$C:$FB,44)</f>
        <v>782</v>
      </c>
      <c r="I44" s="49">
        <f>VLOOKUP($A44,'Data Vlaue (Cr)'!$C:$FB,46)*100</f>
        <v>55.03</v>
      </c>
      <c r="J44" s="51">
        <f>VLOOKUP($A44,'Data Vlaue (Cr)'!$C:$FB,59)</f>
        <v>981</v>
      </c>
      <c r="K44" s="51">
        <f>VLOOKUP($A44,'Data Vlaue (Cr)'!$C:$FB,60)</f>
        <v>2479</v>
      </c>
      <c r="L44" s="51">
        <f>VLOOKUP($A44,'Data Vlaue (Cr)'!$C:$FB,62)*100</f>
        <v>-60.429999999999993</v>
      </c>
      <c r="M44" s="51">
        <f>VLOOKUP($A44,'Data Vlaue (Cr)'!$C:$FB,63)</f>
        <v>414</v>
      </c>
      <c r="N44" s="51">
        <f>VLOOKUP($A44,'Data Vlaue (Cr)'!$C:$FB,64)</f>
        <v>828</v>
      </c>
      <c r="O44" s="51">
        <f>VLOOKUP($A44,'Data Vlaue (Cr)'!$C:$FB,66)*100</f>
        <v>-49.97</v>
      </c>
    </row>
    <row r="45" spans="1:15" x14ac:dyDescent="0.25">
      <c r="A45" s="101" t="str">
        <f>'Data Vlaue (Cr)'!C40</f>
        <v>BSE</v>
      </c>
      <c r="B45" s="50">
        <f>VLOOKUP($A45,'Data Vlaue (Cr)'!$C:$FB,8)</f>
        <v>3463</v>
      </c>
      <c r="C45" s="50">
        <f>VLOOKUP($A45,'Data Vlaue (Cr)'!$C:$FB,11)*100</f>
        <v>-1.03</v>
      </c>
      <c r="D45" s="50">
        <f>VLOOKUP($A45,'Data Vlaue (Cr)'!$C:$FB,143)</f>
        <v>9428.01</v>
      </c>
      <c r="E45" s="50">
        <f>VLOOKUP($A45,'Data Vlaue (Cr)'!$C:$FB,144)</f>
        <v>7539.22</v>
      </c>
      <c r="F45" s="50">
        <f>VLOOKUP($A45,'Data Vlaue (Cr)'!$C:$FB,146)*100</f>
        <v>25.05</v>
      </c>
      <c r="G45" s="49">
        <f>VLOOKUP($A45,'Data Vlaue (Cr)'!$C:$FB,43)</f>
        <v>1602</v>
      </c>
      <c r="H45" s="49">
        <f>VLOOKUP($A45,'Data Vlaue (Cr)'!$C:$FB,44)</f>
        <v>642</v>
      </c>
      <c r="I45" s="49">
        <f>VLOOKUP($A45,'Data Vlaue (Cr)'!$C:$FB,46)*100</f>
        <v>149.5</v>
      </c>
      <c r="J45" s="51">
        <f>VLOOKUP($A45,'Data Vlaue (Cr)'!$C:$FB,59)</f>
        <v>3952</v>
      </c>
      <c r="K45" s="51">
        <f>VLOOKUP($A45,'Data Vlaue (Cr)'!$C:$FB,60)</f>
        <v>3288</v>
      </c>
      <c r="L45" s="51">
        <f>VLOOKUP($A45,'Data Vlaue (Cr)'!$C:$FB,62)*100</f>
        <v>20.21</v>
      </c>
      <c r="M45" s="51">
        <f>VLOOKUP($A45,'Data Vlaue (Cr)'!$C:$FB,63)</f>
        <v>3816</v>
      </c>
      <c r="N45" s="51">
        <f>VLOOKUP($A45,'Data Vlaue (Cr)'!$C:$FB,64)</f>
        <v>3556</v>
      </c>
      <c r="O45" s="51">
        <f>VLOOKUP($A45,'Data Vlaue (Cr)'!$C:$FB,66)*100</f>
        <v>7.3</v>
      </c>
    </row>
    <row r="46" spans="1:15" x14ac:dyDescent="0.25">
      <c r="A46" s="101" t="str">
        <f>'Data Vlaue (Cr)'!C41</f>
        <v>CAMS</v>
      </c>
      <c r="B46" s="50">
        <f>VLOOKUP($A46,'Data Vlaue (Cr)'!$C:$FB,8)</f>
        <v>770.4</v>
      </c>
      <c r="C46" s="50">
        <f>VLOOKUP($A46,'Data Vlaue (Cr)'!$C:$FB,11)*100</f>
        <v>1.96</v>
      </c>
      <c r="D46" s="50">
        <f>VLOOKUP($A46,'Data Vlaue (Cr)'!$C:$FB,143)</f>
        <v>1511.82</v>
      </c>
      <c r="E46" s="50">
        <f>VLOOKUP($A46,'Data Vlaue (Cr)'!$C:$FB,144)</f>
        <v>355.64</v>
      </c>
      <c r="F46" s="50">
        <f>VLOOKUP($A46,'Data Vlaue (Cr)'!$C:$FB,146)*100</f>
        <v>325.09999999999997</v>
      </c>
      <c r="G46" s="49">
        <f>VLOOKUP($A46,'Data Vlaue (Cr)'!$C:$FB,43)</f>
        <v>589</v>
      </c>
      <c r="H46" s="49">
        <f>VLOOKUP($A46,'Data Vlaue (Cr)'!$C:$FB,44)</f>
        <v>94</v>
      </c>
      <c r="I46" s="49">
        <f>VLOOKUP($A46,'Data Vlaue (Cr)'!$C:$FB,46)*100</f>
        <v>523.67999999999995</v>
      </c>
      <c r="J46" s="51">
        <f>VLOOKUP($A46,'Data Vlaue (Cr)'!$C:$FB,59)</f>
        <v>675</v>
      </c>
      <c r="K46" s="51">
        <f>VLOOKUP($A46,'Data Vlaue (Cr)'!$C:$FB,60)</f>
        <v>177</v>
      </c>
      <c r="L46" s="51">
        <f>VLOOKUP($A46,'Data Vlaue (Cr)'!$C:$FB,62)*100</f>
        <v>281.57</v>
      </c>
      <c r="M46" s="51">
        <f>VLOOKUP($A46,'Data Vlaue (Cr)'!$C:$FB,63)</f>
        <v>228</v>
      </c>
      <c r="N46" s="51">
        <f>VLOOKUP($A46,'Data Vlaue (Cr)'!$C:$FB,64)</f>
        <v>86</v>
      </c>
      <c r="O46" s="51">
        <f>VLOOKUP($A46,'Data Vlaue (Cr)'!$C:$FB,66)*100</f>
        <v>165.27</v>
      </c>
    </row>
    <row r="47" spans="1:15" x14ac:dyDescent="0.25">
      <c r="A47" s="101" t="str">
        <f>'Data Vlaue (Cr)'!C42</f>
        <v>CANBK</v>
      </c>
      <c r="B47" s="50">
        <f>VLOOKUP($A47,'Data Vlaue (Cr)'!$C:$FB,8)</f>
        <v>140.87</v>
      </c>
      <c r="C47" s="50">
        <f>VLOOKUP($A47,'Data Vlaue (Cr)'!$C:$FB,11)*100</f>
        <v>-3</v>
      </c>
      <c r="D47" s="50">
        <f>VLOOKUP($A47,'Data Vlaue (Cr)'!$C:$FB,143)</f>
        <v>5680.29</v>
      </c>
      <c r="E47" s="50">
        <f>VLOOKUP($A47,'Data Vlaue (Cr)'!$C:$FB,144)</f>
        <v>3817.78</v>
      </c>
      <c r="F47" s="50">
        <f>VLOOKUP($A47,'Data Vlaue (Cr)'!$C:$FB,146)*100</f>
        <v>48.78</v>
      </c>
      <c r="G47" s="49">
        <f>VLOOKUP($A47,'Data Vlaue (Cr)'!$C:$FB,43)</f>
        <v>1969</v>
      </c>
      <c r="H47" s="49">
        <f>VLOOKUP($A47,'Data Vlaue (Cr)'!$C:$FB,44)</f>
        <v>663</v>
      </c>
      <c r="I47" s="49">
        <f>VLOOKUP($A47,'Data Vlaue (Cr)'!$C:$FB,46)*100</f>
        <v>197.13</v>
      </c>
      <c r="J47" s="51">
        <f>VLOOKUP($A47,'Data Vlaue (Cr)'!$C:$FB,59)</f>
        <v>1907</v>
      </c>
      <c r="K47" s="51">
        <f>VLOOKUP($A47,'Data Vlaue (Cr)'!$C:$FB,60)</f>
        <v>1610</v>
      </c>
      <c r="L47" s="51">
        <f>VLOOKUP($A47,'Data Vlaue (Cr)'!$C:$FB,62)*100</f>
        <v>18.48</v>
      </c>
      <c r="M47" s="51">
        <f>VLOOKUP($A47,'Data Vlaue (Cr)'!$C:$FB,63)</f>
        <v>1678</v>
      </c>
      <c r="N47" s="51">
        <f>VLOOKUP($A47,'Data Vlaue (Cr)'!$C:$FB,64)</f>
        <v>1411</v>
      </c>
      <c r="O47" s="51">
        <f>VLOOKUP($A47,'Data Vlaue (Cr)'!$C:$FB,66)*100</f>
        <v>18.89</v>
      </c>
    </row>
    <row r="48" spans="1:15" x14ac:dyDescent="0.25">
      <c r="A48" s="101" t="str">
        <f>'Data Vlaue (Cr)'!C43</f>
        <v>CDSL</v>
      </c>
      <c r="B48" s="50">
        <f>VLOOKUP($A48,'Data Vlaue (Cr)'!$C:$FB,8)</f>
        <v>1323.6</v>
      </c>
      <c r="C48" s="50">
        <f>VLOOKUP($A48,'Data Vlaue (Cr)'!$C:$FB,11)*100</f>
        <v>0.18</v>
      </c>
      <c r="D48" s="50">
        <f>VLOOKUP($A48,'Data Vlaue (Cr)'!$C:$FB,143)</f>
        <v>2876.96</v>
      </c>
      <c r="E48" s="50">
        <f>VLOOKUP($A48,'Data Vlaue (Cr)'!$C:$FB,144)</f>
        <v>3938.32</v>
      </c>
      <c r="F48" s="50">
        <f>VLOOKUP($A48,'Data Vlaue (Cr)'!$C:$FB,146)*100</f>
        <v>-26.950000000000003</v>
      </c>
      <c r="G48" s="49">
        <f>VLOOKUP($A48,'Data Vlaue (Cr)'!$C:$FB,43)</f>
        <v>1118</v>
      </c>
      <c r="H48" s="49">
        <f>VLOOKUP($A48,'Data Vlaue (Cr)'!$C:$FB,44)</f>
        <v>686</v>
      </c>
      <c r="I48" s="49">
        <f>VLOOKUP($A48,'Data Vlaue (Cr)'!$C:$FB,46)*100</f>
        <v>63.070000000000007</v>
      </c>
      <c r="J48" s="51">
        <f>VLOOKUP($A48,'Data Vlaue (Cr)'!$C:$FB,59)</f>
        <v>1146</v>
      </c>
      <c r="K48" s="51">
        <f>VLOOKUP($A48,'Data Vlaue (Cr)'!$C:$FB,60)</f>
        <v>1873</v>
      </c>
      <c r="L48" s="51">
        <f>VLOOKUP($A48,'Data Vlaue (Cr)'!$C:$FB,62)*100</f>
        <v>-38.82</v>
      </c>
      <c r="M48" s="51">
        <f>VLOOKUP($A48,'Data Vlaue (Cr)'!$C:$FB,63)</f>
        <v>568</v>
      </c>
      <c r="N48" s="51">
        <f>VLOOKUP($A48,'Data Vlaue (Cr)'!$C:$FB,64)</f>
        <v>1262</v>
      </c>
      <c r="O48" s="51">
        <f>VLOOKUP($A48,'Data Vlaue (Cr)'!$C:$FB,66)*100</f>
        <v>-55.02</v>
      </c>
    </row>
    <row r="49" spans="1:15" x14ac:dyDescent="0.25">
      <c r="A49" s="101" t="str">
        <f>'Data Vlaue (Cr)'!C44</f>
        <v>CGPOWER</v>
      </c>
      <c r="B49" s="50">
        <f>VLOOKUP($A49,'Data Vlaue (Cr)'!$C:$FB,8)</f>
        <v>837.8</v>
      </c>
      <c r="C49" s="50">
        <f>VLOOKUP($A49,'Data Vlaue (Cr)'!$C:$FB,11)*100</f>
        <v>1.63</v>
      </c>
      <c r="D49" s="50">
        <f>VLOOKUP($A49,'Data Vlaue (Cr)'!$C:$FB,143)</f>
        <v>3846.19</v>
      </c>
      <c r="E49" s="50">
        <f>VLOOKUP($A49,'Data Vlaue (Cr)'!$C:$FB,144)</f>
        <v>3234.23</v>
      </c>
      <c r="F49" s="50">
        <f>VLOOKUP($A49,'Data Vlaue (Cr)'!$C:$FB,146)*100</f>
        <v>18.920000000000002</v>
      </c>
      <c r="G49" s="49">
        <f>VLOOKUP($A49,'Data Vlaue (Cr)'!$C:$FB,43)</f>
        <v>1161</v>
      </c>
      <c r="H49" s="49">
        <f>VLOOKUP($A49,'Data Vlaue (Cr)'!$C:$FB,44)</f>
        <v>549</v>
      </c>
      <c r="I49" s="49">
        <f>VLOOKUP($A49,'Data Vlaue (Cr)'!$C:$FB,46)*100</f>
        <v>111.71</v>
      </c>
      <c r="J49" s="51">
        <f>VLOOKUP($A49,'Data Vlaue (Cr)'!$C:$FB,59)</f>
        <v>1914</v>
      </c>
      <c r="K49" s="51">
        <f>VLOOKUP($A49,'Data Vlaue (Cr)'!$C:$FB,60)</f>
        <v>1927</v>
      </c>
      <c r="L49" s="51">
        <f>VLOOKUP($A49,'Data Vlaue (Cr)'!$C:$FB,62)*100</f>
        <v>-0.67</v>
      </c>
      <c r="M49" s="51">
        <f>VLOOKUP($A49,'Data Vlaue (Cr)'!$C:$FB,63)</f>
        <v>739</v>
      </c>
      <c r="N49" s="51">
        <f>VLOOKUP($A49,'Data Vlaue (Cr)'!$C:$FB,64)</f>
        <v>772</v>
      </c>
      <c r="O49" s="51">
        <f>VLOOKUP($A49,'Data Vlaue (Cr)'!$C:$FB,66)*100</f>
        <v>-4.32</v>
      </c>
    </row>
    <row r="50" spans="1:15" x14ac:dyDescent="0.25">
      <c r="A50" s="101" t="str">
        <f>'Data Vlaue (Cr)'!C45</f>
        <v>CHOLAFIN</v>
      </c>
      <c r="B50" s="50">
        <f>VLOOKUP($A50,'Data Vlaue (Cr)'!$C:$FB,8)</f>
        <v>1543.4</v>
      </c>
      <c r="C50" s="50">
        <f>VLOOKUP($A50,'Data Vlaue (Cr)'!$C:$FB,11)*100</f>
        <v>-1.4200000000000002</v>
      </c>
      <c r="D50" s="50">
        <f>VLOOKUP($A50,'Data Vlaue (Cr)'!$C:$FB,143)</f>
        <v>3745.35</v>
      </c>
      <c r="E50" s="50">
        <f>VLOOKUP($A50,'Data Vlaue (Cr)'!$C:$FB,144)</f>
        <v>2214.7199999999998</v>
      </c>
      <c r="F50" s="50">
        <f>VLOOKUP($A50,'Data Vlaue (Cr)'!$C:$FB,146)*100</f>
        <v>69.11</v>
      </c>
      <c r="G50" s="49">
        <f>VLOOKUP($A50,'Data Vlaue (Cr)'!$C:$FB,43)</f>
        <v>1803</v>
      </c>
      <c r="H50" s="49">
        <f>VLOOKUP($A50,'Data Vlaue (Cr)'!$C:$FB,44)</f>
        <v>479</v>
      </c>
      <c r="I50" s="49">
        <f>VLOOKUP($A50,'Data Vlaue (Cr)'!$C:$FB,46)*100</f>
        <v>276.71000000000004</v>
      </c>
      <c r="J50" s="51">
        <f>VLOOKUP($A50,'Data Vlaue (Cr)'!$C:$FB,59)</f>
        <v>1201</v>
      </c>
      <c r="K50" s="51">
        <f>VLOOKUP($A50,'Data Vlaue (Cr)'!$C:$FB,60)</f>
        <v>1110</v>
      </c>
      <c r="L50" s="51">
        <f>VLOOKUP($A50,'Data Vlaue (Cr)'!$C:$FB,62)*100</f>
        <v>8.16</v>
      </c>
      <c r="M50" s="51">
        <f>VLOOKUP($A50,'Data Vlaue (Cr)'!$C:$FB,63)</f>
        <v>684</v>
      </c>
      <c r="N50" s="51">
        <f>VLOOKUP($A50,'Data Vlaue (Cr)'!$C:$FB,64)</f>
        <v>547</v>
      </c>
      <c r="O50" s="51">
        <f>VLOOKUP($A50,'Data Vlaue (Cr)'!$C:$FB,66)*100</f>
        <v>25.11</v>
      </c>
    </row>
    <row r="51" spans="1:15" x14ac:dyDescent="0.25">
      <c r="A51" s="101" t="str">
        <f>'Data Vlaue (Cr)'!C46</f>
        <v>CIPLA</v>
      </c>
      <c r="B51" s="50">
        <f>VLOOKUP($A51,'Data Vlaue (Cr)'!$C:$FB,8)</f>
        <v>1305.9000000000001</v>
      </c>
      <c r="C51" s="50">
        <f>VLOOKUP($A51,'Data Vlaue (Cr)'!$C:$FB,11)*100</f>
        <v>5.63</v>
      </c>
      <c r="D51" s="50">
        <f>VLOOKUP($A51,'Data Vlaue (Cr)'!$C:$FB,143)</f>
        <v>10797.16</v>
      </c>
      <c r="E51" s="50">
        <f>VLOOKUP($A51,'Data Vlaue (Cr)'!$C:$FB,144)</f>
        <v>938.99</v>
      </c>
      <c r="F51" s="50">
        <f>VLOOKUP($A51,'Data Vlaue (Cr)'!$C:$FB,146)*100</f>
        <v>1049.8599999999999</v>
      </c>
      <c r="G51" s="49">
        <f>VLOOKUP($A51,'Data Vlaue (Cr)'!$C:$FB,43)</f>
        <v>1633</v>
      </c>
      <c r="H51" s="49">
        <f>VLOOKUP($A51,'Data Vlaue (Cr)'!$C:$FB,44)</f>
        <v>187</v>
      </c>
      <c r="I51" s="49">
        <f>VLOOKUP($A51,'Data Vlaue (Cr)'!$C:$FB,46)*100</f>
        <v>774.99</v>
      </c>
      <c r="J51" s="51">
        <f>VLOOKUP($A51,'Data Vlaue (Cr)'!$C:$FB,59)</f>
        <v>7305</v>
      </c>
      <c r="K51" s="51">
        <f>VLOOKUP($A51,'Data Vlaue (Cr)'!$C:$FB,60)</f>
        <v>564</v>
      </c>
      <c r="L51" s="51">
        <f>VLOOKUP($A51,'Data Vlaue (Cr)'!$C:$FB,62)*100</f>
        <v>1196.28</v>
      </c>
      <c r="M51" s="51">
        <f>VLOOKUP($A51,'Data Vlaue (Cr)'!$C:$FB,63)</f>
        <v>1879</v>
      </c>
      <c r="N51" s="51">
        <f>VLOOKUP($A51,'Data Vlaue (Cr)'!$C:$FB,64)</f>
        <v>232</v>
      </c>
      <c r="O51" s="51">
        <f>VLOOKUP($A51,'Data Vlaue (Cr)'!$C:$FB,66)*100</f>
        <v>709.91</v>
      </c>
    </row>
    <row r="52" spans="1:15" x14ac:dyDescent="0.25">
      <c r="A52" s="101" t="str">
        <f>'Data Vlaue (Cr)'!C47</f>
        <v>COALINDIA</v>
      </c>
      <c r="B52" s="50">
        <f>VLOOKUP($A52,'Data Vlaue (Cr)'!$C:$FB,8)</f>
        <v>450.65</v>
      </c>
      <c r="C52" s="50">
        <f>VLOOKUP($A52,'Data Vlaue (Cr)'!$C:$FB,11)*100</f>
        <v>1.46</v>
      </c>
      <c r="D52" s="50">
        <f>VLOOKUP($A52,'Data Vlaue (Cr)'!$C:$FB,143)</f>
        <v>7173.77</v>
      </c>
      <c r="E52" s="50">
        <f>VLOOKUP($A52,'Data Vlaue (Cr)'!$C:$FB,144)</f>
        <v>4605.8900000000003</v>
      </c>
      <c r="F52" s="50">
        <f>VLOOKUP($A52,'Data Vlaue (Cr)'!$C:$FB,146)*100</f>
        <v>55.75</v>
      </c>
      <c r="G52" s="49">
        <f>VLOOKUP($A52,'Data Vlaue (Cr)'!$C:$FB,43)</f>
        <v>2345</v>
      </c>
      <c r="H52" s="49">
        <f>VLOOKUP($A52,'Data Vlaue (Cr)'!$C:$FB,44)</f>
        <v>510</v>
      </c>
      <c r="I52" s="49">
        <f>VLOOKUP($A52,'Data Vlaue (Cr)'!$C:$FB,46)*100</f>
        <v>359.65</v>
      </c>
      <c r="J52" s="51">
        <f>VLOOKUP($A52,'Data Vlaue (Cr)'!$C:$FB,59)</f>
        <v>3056</v>
      </c>
      <c r="K52" s="51">
        <f>VLOOKUP($A52,'Data Vlaue (Cr)'!$C:$FB,60)</f>
        <v>2647</v>
      </c>
      <c r="L52" s="51">
        <f>VLOOKUP($A52,'Data Vlaue (Cr)'!$C:$FB,62)*100</f>
        <v>15.479999999999999</v>
      </c>
      <c r="M52" s="51">
        <f>VLOOKUP($A52,'Data Vlaue (Cr)'!$C:$FB,63)</f>
        <v>1767</v>
      </c>
      <c r="N52" s="51">
        <f>VLOOKUP($A52,'Data Vlaue (Cr)'!$C:$FB,64)</f>
        <v>1454</v>
      </c>
      <c r="O52" s="51">
        <f>VLOOKUP($A52,'Data Vlaue (Cr)'!$C:$FB,66)*100</f>
        <v>21.529999999999998</v>
      </c>
    </row>
    <row r="53" spans="1:15" x14ac:dyDescent="0.25">
      <c r="A53" s="101" t="str">
        <f>'Data Vlaue (Cr)'!C48</f>
        <v>COCHINSHIP</v>
      </c>
      <c r="B53" s="50">
        <f>VLOOKUP($A53,'Data Vlaue (Cr)'!$C:$FB,8)</f>
        <v>1592.8</v>
      </c>
      <c r="C53" s="50">
        <f>VLOOKUP($A53,'Data Vlaue (Cr)'!$C:$FB,11)*100</f>
        <v>0.61</v>
      </c>
      <c r="D53" s="50">
        <f>VLOOKUP($A53,'Data Vlaue (Cr)'!$C:$FB,143)</f>
        <v>1010.85</v>
      </c>
      <c r="E53" s="50">
        <f>VLOOKUP($A53,'Data Vlaue (Cr)'!$C:$FB,144)</f>
        <v>602.62</v>
      </c>
      <c r="F53" s="50">
        <f>VLOOKUP($A53,'Data Vlaue (Cr)'!$C:$FB,146)*100</f>
        <v>67.739999999999995</v>
      </c>
      <c r="G53" s="49">
        <f>VLOOKUP($A53,'Data Vlaue (Cr)'!$C:$FB,43)</f>
        <v>253</v>
      </c>
      <c r="H53" s="49">
        <f>VLOOKUP($A53,'Data Vlaue (Cr)'!$C:$FB,44)</f>
        <v>128</v>
      </c>
      <c r="I53" s="49">
        <f>VLOOKUP($A53,'Data Vlaue (Cr)'!$C:$FB,46)*100</f>
        <v>97.66</v>
      </c>
      <c r="J53" s="51">
        <f>VLOOKUP($A53,'Data Vlaue (Cr)'!$C:$FB,59)</f>
        <v>577</v>
      </c>
      <c r="K53" s="51">
        <f>VLOOKUP($A53,'Data Vlaue (Cr)'!$C:$FB,60)</f>
        <v>368</v>
      </c>
      <c r="L53" s="51">
        <f>VLOOKUP($A53,'Data Vlaue (Cr)'!$C:$FB,62)*100</f>
        <v>56.879999999999995</v>
      </c>
      <c r="M53" s="51">
        <f>VLOOKUP($A53,'Data Vlaue (Cr)'!$C:$FB,63)</f>
        <v>165</v>
      </c>
      <c r="N53" s="51">
        <f>VLOOKUP($A53,'Data Vlaue (Cr)'!$C:$FB,64)</f>
        <v>102</v>
      </c>
      <c r="O53" s="51">
        <f>VLOOKUP($A53,'Data Vlaue (Cr)'!$C:$FB,66)*100</f>
        <v>62.019999999999996</v>
      </c>
    </row>
    <row r="54" spans="1:15" x14ac:dyDescent="0.25">
      <c r="A54" s="101" t="str">
        <f>'Data Vlaue (Cr)'!C49</f>
        <v>COFORGE</v>
      </c>
      <c r="B54" s="50">
        <f>VLOOKUP($A54,'Data Vlaue (Cr)'!$C:$FB,8)</f>
        <v>1220.5999999999999</v>
      </c>
      <c r="C54" s="50">
        <f>VLOOKUP($A54,'Data Vlaue (Cr)'!$C:$FB,11)*100</f>
        <v>-1.23</v>
      </c>
      <c r="D54" s="50">
        <f>VLOOKUP($A54,'Data Vlaue (Cr)'!$C:$FB,143)</f>
        <v>3467.57</v>
      </c>
      <c r="E54" s="50">
        <f>VLOOKUP($A54,'Data Vlaue (Cr)'!$C:$FB,144)</f>
        <v>5658.49</v>
      </c>
      <c r="F54" s="50">
        <f>VLOOKUP($A54,'Data Vlaue (Cr)'!$C:$FB,146)*100</f>
        <v>-38.72</v>
      </c>
      <c r="G54" s="49">
        <f>VLOOKUP($A54,'Data Vlaue (Cr)'!$C:$FB,43)</f>
        <v>1496</v>
      </c>
      <c r="H54" s="49">
        <f>VLOOKUP($A54,'Data Vlaue (Cr)'!$C:$FB,44)</f>
        <v>874</v>
      </c>
      <c r="I54" s="49">
        <f>VLOOKUP($A54,'Data Vlaue (Cr)'!$C:$FB,46)*100</f>
        <v>71.19</v>
      </c>
      <c r="J54" s="51">
        <f>VLOOKUP($A54,'Data Vlaue (Cr)'!$C:$FB,59)</f>
        <v>1199</v>
      </c>
      <c r="K54" s="51">
        <f>VLOOKUP($A54,'Data Vlaue (Cr)'!$C:$FB,60)</f>
        <v>2790</v>
      </c>
      <c r="L54" s="51">
        <f>VLOOKUP($A54,'Data Vlaue (Cr)'!$C:$FB,62)*100</f>
        <v>-57.03</v>
      </c>
      <c r="M54" s="51">
        <f>VLOOKUP($A54,'Data Vlaue (Cr)'!$C:$FB,63)</f>
        <v>674</v>
      </c>
      <c r="N54" s="51">
        <f>VLOOKUP($A54,'Data Vlaue (Cr)'!$C:$FB,64)</f>
        <v>1734</v>
      </c>
      <c r="O54" s="51">
        <f>VLOOKUP($A54,'Data Vlaue (Cr)'!$C:$FB,66)*100</f>
        <v>-61.129999999999995</v>
      </c>
    </row>
    <row r="55" spans="1:15" x14ac:dyDescent="0.25">
      <c r="A55" s="101" t="str">
        <f>'Data Vlaue (Cr)'!C50</f>
        <v>COLPAL</v>
      </c>
      <c r="B55" s="50">
        <f>VLOOKUP($A55,'Data Vlaue (Cr)'!$C:$FB,8)</f>
        <v>2150.1999999999998</v>
      </c>
      <c r="C55" s="50">
        <f>VLOOKUP($A55,'Data Vlaue (Cr)'!$C:$FB,11)*100</f>
        <v>1.51</v>
      </c>
      <c r="D55" s="50">
        <f>VLOOKUP($A55,'Data Vlaue (Cr)'!$C:$FB,143)</f>
        <v>2483.0100000000002</v>
      </c>
      <c r="E55" s="50">
        <f>VLOOKUP($A55,'Data Vlaue (Cr)'!$C:$FB,144)</f>
        <v>1488.54</v>
      </c>
      <c r="F55" s="50">
        <f>VLOOKUP($A55,'Data Vlaue (Cr)'!$C:$FB,146)*100</f>
        <v>66.81</v>
      </c>
      <c r="G55" s="49">
        <f>VLOOKUP($A55,'Data Vlaue (Cr)'!$C:$FB,43)</f>
        <v>992</v>
      </c>
      <c r="H55" s="49">
        <f>VLOOKUP($A55,'Data Vlaue (Cr)'!$C:$FB,44)</f>
        <v>336</v>
      </c>
      <c r="I55" s="49">
        <f>VLOOKUP($A55,'Data Vlaue (Cr)'!$C:$FB,46)*100</f>
        <v>195.31</v>
      </c>
      <c r="J55" s="51">
        <f>VLOOKUP($A55,'Data Vlaue (Cr)'!$C:$FB,59)</f>
        <v>999</v>
      </c>
      <c r="K55" s="51">
        <f>VLOOKUP($A55,'Data Vlaue (Cr)'!$C:$FB,60)</f>
        <v>814</v>
      </c>
      <c r="L55" s="51">
        <f>VLOOKUP($A55,'Data Vlaue (Cr)'!$C:$FB,62)*100</f>
        <v>22.75</v>
      </c>
      <c r="M55" s="51">
        <f>VLOOKUP($A55,'Data Vlaue (Cr)'!$C:$FB,63)</f>
        <v>509</v>
      </c>
      <c r="N55" s="51">
        <f>VLOOKUP($A55,'Data Vlaue (Cr)'!$C:$FB,64)</f>
        <v>348</v>
      </c>
      <c r="O55" s="51">
        <f>VLOOKUP($A55,'Data Vlaue (Cr)'!$C:$FB,66)*100</f>
        <v>46.54</v>
      </c>
    </row>
    <row r="56" spans="1:15" x14ac:dyDescent="0.25">
      <c r="A56" s="101" t="str">
        <f>'Data Vlaue (Cr)'!C51</f>
        <v>CONCOR</v>
      </c>
      <c r="B56" s="50">
        <f>VLOOKUP($A56,'Data Vlaue (Cr)'!$C:$FB,8)</f>
        <v>505.05</v>
      </c>
      <c r="C56" s="50">
        <f>VLOOKUP($A56,'Data Vlaue (Cr)'!$C:$FB,11)*100</f>
        <v>-2.0699999999999998</v>
      </c>
      <c r="D56" s="50">
        <f>VLOOKUP($A56,'Data Vlaue (Cr)'!$C:$FB,143)</f>
        <v>1228.23</v>
      </c>
      <c r="E56" s="50">
        <f>VLOOKUP($A56,'Data Vlaue (Cr)'!$C:$FB,144)</f>
        <v>1220.71</v>
      </c>
      <c r="F56" s="50">
        <f>VLOOKUP($A56,'Data Vlaue (Cr)'!$C:$FB,146)*100</f>
        <v>0.62</v>
      </c>
      <c r="G56" s="49">
        <f>VLOOKUP($A56,'Data Vlaue (Cr)'!$C:$FB,43)</f>
        <v>605</v>
      </c>
      <c r="H56" s="49">
        <f>VLOOKUP($A56,'Data Vlaue (Cr)'!$C:$FB,44)</f>
        <v>212</v>
      </c>
      <c r="I56" s="49">
        <f>VLOOKUP($A56,'Data Vlaue (Cr)'!$C:$FB,46)*100</f>
        <v>184.94</v>
      </c>
      <c r="J56" s="51">
        <f>VLOOKUP($A56,'Data Vlaue (Cr)'!$C:$FB,59)</f>
        <v>438</v>
      </c>
      <c r="K56" s="51">
        <f>VLOOKUP($A56,'Data Vlaue (Cr)'!$C:$FB,60)</f>
        <v>816</v>
      </c>
      <c r="L56" s="51">
        <f>VLOOKUP($A56,'Data Vlaue (Cr)'!$C:$FB,62)*100</f>
        <v>-46.29</v>
      </c>
      <c r="M56" s="51">
        <f>VLOOKUP($A56,'Data Vlaue (Cr)'!$C:$FB,63)</f>
        <v>153</v>
      </c>
      <c r="N56" s="51">
        <f>VLOOKUP($A56,'Data Vlaue (Cr)'!$C:$FB,64)</f>
        <v>149</v>
      </c>
      <c r="O56" s="51">
        <f>VLOOKUP($A56,'Data Vlaue (Cr)'!$C:$FB,66)*100</f>
        <v>2.2399999999999998</v>
      </c>
    </row>
    <row r="57" spans="1:15" x14ac:dyDescent="0.25">
      <c r="A57" s="101" t="str">
        <f>'Data Vlaue (Cr)'!C52</f>
        <v>CROMPTON</v>
      </c>
      <c r="B57" s="50">
        <f>VLOOKUP($A57,'Data Vlaue (Cr)'!$C:$FB,8)</f>
        <v>253.39</v>
      </c>
      <c r="C57" s="50">
        <f>VLOOKUP($A57,'Data Vlaue (Cr)'!$C:$FB,11)*100</f>
        <v>-3.05</v>
      </c>
      <c r="D57" s="50">
        <f>VLOOKUP($A57,'Data Vlaue (Cr)'!$C:$FB,143)</f>
        <v>1810.57</v>
      </c>
      <c r="E57" s="50">
        <f>VLOOKUP($A57,'Data Vlaue (Cr)'!$C:$FB,144)</f>
        <v>545.78</v>
      </c>
      <c r="F57" s="50">
        <f>VLOOKUP($A57,'Data Vlaue (Cr)'!$C:$FB,146)*100</f>
        <v>231.74</v>
      </c>
      <c r="G57" s="49">
        <f>VLOOKUP($A57,'Data Vlaue (Cr)'!$C:$FB,43)</f>
        <v>913</v>
      </c>
      <c r="H57" s="49">
        <f>VLOOKUP($A57,'Data Vlaue (Cr)'!$C:$FB,44)</f>
        <v>144</v>
      </c>
      <c r="I57" s="49">
        <f>VLOOKUP($A57,'Data Vlaue (Cr)'!$C:$FB,46)*100</f>
        <v>533.22</v>
      </c>
      <c r="J57" s="51">
        <f>VLOOKUP($A57,'Data Vlaue (Cr)'!$C:$FB,59)</f>
        <v>555</v>
      </c>
      <c r="K57" s="51">
        <f>VLOOKUP($A57,'Data Vlaue (Cr)'!$C:$FB,60)</f>
        <v>285</v>
      </c>
      <c r="L57" s="51">
        <f>VLOOKUP($A57,'Data Vlaue (Cr)'!$C:$FB,62)*100</f>
        <v>94.61</v>
      </c>
      <c r="M57" s="51">
        <f>VLOOKUP($A57,'Data Vlaue (Cr)'!$C:$FB,63)</f>
        <v>305</v>
      </c>
      <c r="N57" s="51">
        <f>VLOOKUP($A57,'Data Vlaue (Cr)'!$C:$FB,64)</f>
        <v>93</v>
      </c>
      <c r="O57" s="51">
        <f>VLOOKUP($A57,'Data Vlaue (Cr)'!$C:$FB,66)*100</f>
        <v>228.65000000000003</v>
      </c>
    </row>
    <row r="58" spans="1:15" x14ac:dyDescent="0.25">
      <c r="A58" s="101" t="str">
        <f>'Data Vlaue (Cr)'!C53</f>
        <v>CUMMINSIND</v>
      </c>
      <c r="B58" s="50">
        <f>VLOOKUP($A58,'Data Vlaue (Cr)'!$C:$FB,8)</f>
        <v>5176.8999999999996</v>
      </c>
      <c r="C58" s="50">
        <f>VLOOKUP($A58,'Data Vlaue (Cr)'!$C:$FB,11)*100</f>
        <v>-0.67</v>
      </c>
      <c r="D58" s="50">
        <f>VLOOKUP($A58,'Data Vlaue (Cr)'!$C:$FB,143)</f>
        <v>4364.2299999999996</v>
      </c>
      <c r="E58" s="50">
        <f>VLOOKUP($A58,'Data Vlaue (Cr)'!$C:$FB,144)</f>
        <v>4934.18</v>
      </c>
      <c r="F58" s="50">
        <f>VLOOKUP($A58,'Data Vlaue (Cr)'!$C:$FB,146)*100</f>
        <v>-11.55</v>
      </c>
      <c r="G58" s="49">
        <f>VLOOKUP($A58,'Data Vlaue (Cr)'!$C:$FB,43)</f>
        <v>1392</v>
      </c>
      <c r="H58" s="49">
        <f>VLOOKUP($A58,'Data Vlaue (Cr)'!$C:$FB,44)</f>
        <v>670</v>
      </c>
      <c r="I58" s="49">
        <f>VLOOKUP($A58,'Data Vlaue (Cr)'!$C:$FB,46)*100</f>
        <v>107.89999999999999</v>
      </c>
      <c r="J58" s="51">
        <f>VLOOKUP($A58,'Data Vlaue (Cr)'!$C:$FB,59)</f>
        <v>1348</v>
      </c>
      <c r="K58" s="51">
        <f>VLOOKUP($A58,'Data Vlaue (Cr)'!$C:$FB,60)</f>
        <v>2801</v>
      </c>
      <c r="L58" s="51">
        <f>VLOOKUP($A58,'Data Vlaue (Cr)'!$C:$FB,62)*100</f>
        <v>-51.870000000000005</v>
      </c>
      <c r="M58" s="51">
        <f>VLOOKUP($A58,'Data Vlaue (Cr)'!$C:$FB,63)</f>
        <v>1657</v>
      </c>
      <c r="N58" s="51">
        <f>VLOOKUP($A58,'Data Vlaue (Cr)'!$C:$FB,64)</f>
        <v>1462</v>
      </c>
      <c r="O58" s="51">
        <f>VLOOKUP($A58,'Data Vlaue (Cr)'!$C:$FB,66)*100</f>
        <v>13.309999999999999</v>
      </c>
    </row>
    <row r="59" spans="1:15" x14ac:dyDescent="0.25">
      <c r="A59" s="101" t="str">
        <f>'Data Vlaue (Cr)'!C54</f>
        <v>DABUR</v>
      </c>
      <c r="B59" s="50">
        <f>VLOOKUP($A59,'Data Vlaue (Cr)'!$C:$FB,8)</f>
        <v>460</v>
      </c>
      <c r="C59" s="50">
        <f>VLOOKUP($A59,'Data Vlaue (Cr)'!$C:$FB,11)*100</f>
        <v>0</v>
      </c>
      <c r="D59" s="50">
        <f>VLOOKUP($A59,'Data Vlaue (Cr)'!$C:$FB,143)</f>
        <v>1584.71</v>
      </c>
      <c r="E59" s="50">
        <f>VLOOKUP($A59,'Data Vlaue (Cr)'!$C:$FB,144)</f>
        <v>1999.92</v>
      </c>
      <c r="F59" s="50">
        <f>VLOOKUP($A59,'Data Vlaue (Cr)'!$C:$FB,146)*100</f>
        <v>-20.76</v>
      </c>
      <c r="G59" s="49">
        <f>VLOOKUP($A59,'Data Vlaue (Cr)'!$C:$FB,43)</f>
        <v>887</v>
      </c>
      <c r="H59" s="49">
        <f>VLOOKUP($A59,'Data Vlaue (Cr)'!$C:$FB,44)</f>
        <v>238</v>
      </c>
      <c r="I59" s="49">
        <f>VLOOKUP($A59,'Data Vlaue (Cr)'!$C:$FB,46)*100</f>
        <v>272.2</v>
      </c>
      <c r="J59" s="51">
        <f>VLOOKUP($A59,'Data Vlaue (Cr)'!$C:$FB,59)</f>
        <v>483</v>
      </c>
      <c r="K59" s="51">
        <f>VLOOKUP($A59,'Data Vlaue (Cr)'!$C:$FB,60)</f>
        <v>1276</v>
      </c>
      <c r="L59" s="51">
        <f>VLOOKUP($A59,'Data Vlaue (Cr)'!$C:$FB,62)*100</f>
        <v>-62.129999999999995</v>
      </c>
      <c r="M59" s="51">
        <f>VLOOKUP($A59,'Data Vlaue (Cr)'!$C:$FB,63)</f>
        <v>207</v>
      </c>
      <c r="N59" s="51">
        <f>VLOOKUP($A59,'Data Vlaue (Cr)'!$C:$FB,64)</f>
        <v>460</v>
      </c>
      <c r="O59" s="51">
        <f>VLOOKUP($A59,'Data Vlaue (Cr)'!$C:$FB,66)*100</f>
        <v>-55.02</v>
      </c>
    </row>
    <row r="60" spans="1:15" x14ac:dyDescent="0.25">
      <c r="A60" s="101" t="str">
        <f>'Data Vlaue (Cr)'!C55</f>
        <v>DALBHARAT</v>
      </c>
      <c r="B60" s="50">
        <f>VLOOKUP($A60,'Data Vlaue (Cr)'!$C:$FB,8)</f>
        <v>1958.8</v>
      </c>
      <c r="C60" s="50">
        <f>VLOOKUP($A60,'Data Vlaue (Cr)'!$C:$FB,11)*100</f>
        <v>-1.71</v>
      </c>
      <c r="D60" s="50">
        <f>VLOOKUP($A60,'Data Vlaue (Cr)'!$C:$FB,143)</f>
        <v>947.74</v>
      </c>
      <c r="E60" s="50">
        <f>VLOOKUP($A60,'Data Vlaue (Cr)'!$C:$FB,144)</f>
        <v>396.29</v>
      </c>
      <c r="F60" s="50">
        <f>VLOOKUP($A60,'Data Vlaue (Cr)'!$C:$FB,146)*100</f>
        <v>139.15</v>
      </c>
      <c r="G60" s="49">
        <f>VLOOKUP($A60,'Data Vlaue (Cr)'!$C:$FB,43)</f>
        <v>506</v>
      </c>
      <c r="H60" s="49">
        <f>VLOOKUP($A60,'Data Vlaue (Cr)'!$C:$FB,44)</f>
        <v>93</v>
      </c>
      <c r="I60" s="49">
        <f>VLOOKUP($A60,'Data Vlaue (Cr)'!$C:$FB,46)*100</f>
        <v>443.82</v>
      </c>
      <c r="J60" s="51">
        <f>VLOOKUP($A60,'Data Vlaue (Cr)'!$C:$FB,59)</f>
        <v>248</v>
      </c>
      <c r="K60" s="51">
        <f>VLOOKUP($A60,'Data Vlaue (Cr)'!$C:$FB,60)</f>
        <v>200</v>
      </c>
      <c r="L60" s="51">
        <f>VLOOKUP($A60,'Data Vlaue (Cr)'!$C:$FB,62)*100</f>
        <v>23.75</v>
      </c>
      <c r="M60" s="51">
        <f>VLOOKUP($A60,'Data Vlaue (Cr)'!$C:$FB,63)</f>
        <v>178</v>
      </c>
      <c r="N60" s="51">
        <f>VLOOKUP($A60,'Data Vlaue (Cr)'!$C:$FB,64)</f>
        <v>95</v>
      </c>
      <c r="O60" s="51">
        <f>VLOOKUP($A60,'Data Vlaue (Cr)'!$C:$FB,66)*100</f>
        <v>87.99</v>
      </c>
    </row>
    <row r="61" spans="1:15" x14ac:dyDescent="0.25">
      <c r="A61" s="101" t="str">
        <f>'Data Vlaue (Cr)'!C56</f>
        <v>DELHIVERY</v>
      </c>
      <c r="B61" s="50">
        <f>VLOOKUP($A61,'Data Vlaue (Cr)'!$C:$FB,8)</f>
        <v>449.4</v>
      </c>
      <c r="C61" s="50">
        <f>VLOOKUP($A61,'Data Vlaue (Cr)'!$C:$FB,11)*100</f>
        <v>-2.87</v>
      </c>
      <c r="D61" s="50">
        <f>VLOOKUP($A61,'Data Vlaue (Cr)'!$C:$FB,143)</f>
        <v>2146.48</v>
      </c>
      <c r="E61" s="50">
        <f>VLOOKUP($A61,'Data Vlaue (Cr)'!$C:$FB,144)</f>
        <v>3287</v>
      </c>
      <c r="F61" s="50">
        <f>VLOOKUP($A61,'Data Vlaue (Cr)'!$C:$FB,146)*100</f>
        <v>-34.699999999999996</v>
      </c>
      <c r="G61" s="49">
        <f>VLOOKUP($A61,'Data Vlaue (Cr)'!$C:$FB,43)</f>
        <v>953</v>
      </c>
      <c r="H61" s="49">
        <f>VLOOKUP($A61,'Data Vlaue (Cr)'!$C:$FB,44)</f>
        <v>812</v>
      </c>
      <c r="I61" s="49">
        <f>VLOOKUP($A61,'Data Vlaue (Cr)'!$C:$FB,46)*100</f>
        <v>17.41</v>
      </c>
      <c r="J61" s="51">
        <f>VLOOKUP($A61,'Data Vlaue (Cr)'!$C:$FB,59)</f>
        <v>836</v>
      </c>
      <c r="K61" s="51">
        <f>VLOOKUP($A61,'Data Vlaue (Cr)'!$C:$FB,60)</f>
        <v>1475</v>
      </c>
      <c r="L61" s="51">
        <f>VLOOKUP($A61,'Data Vlaue (Cr)'!$C:$FB,62)*100</f>
        <v>-43.34</v>
      </c>
      <c r="M61" s="51">
        <f>VLOOKUP($A61,'Data Vlaue (Cr)'!$C:$FB,63)</f>
        <v>293</v>
      </c>
      <c r="N61" s="51">
        <f>VLOOKUP($A61,'Data Vlaue (Cr)'!$C:$FB,64)</f>
        <v>845</v>
      </c>
      <c r="O61" s="51">
        <f>VLOOKUP($A61,'Data Vlaue (Cr)'!$C:$FB,66)*100</f>
        <v>-65.259999999999991</v>
      </c>
    </row>
    <row r="62" spans="1:15" x14ac:dyDescent="0.25">
      <c r="A62" s="101" t="str">
        <f>'Data Vlaue (Cr)'!C57</f>
        <v>DIVISLAB</v>
      </c>
      <c r="B62" s="50">
        <f>VLOOKUP($A62,'Data Vlaue (Cr)'!$C:$FB,8)</f>
        <v>6378.5</v>
      </c>
      <c r="C62" s="50">
        <f>VLOOKUP($A62,'Data Vlaue (Cr)'!$C:$FB,11)*100</f>
        <v>1.48</v>
      </c>
      <c r="D62" s="50">
        <f>VLOOKUP($A62,'Data Vlaue (Cr)'!$C:$FB,143)</f>
        <v>4955.46</v>
      </c>
      <c r="E62" s="50">
        <f>VLOOKUP($A62,'Data Vlaue (Cr)'!$C:$FB,144)</f>
        <v>1510.21</v>
      </c>
      <c r="F62" s="50">
        <f>VLOOKUP($A62,'Data Vlaue (Cr)'!$C:$FB,146)*100</f>
        <v>228.13</v>
      </c>
      <c r="G62" s="49">
        <f>VLOOKUP($A62,'Data Vlaue (Cr)'!$C:$FB,43)</f>
        <v>1111</v>
      </c>
      <c r="H62" s="49">
        <f>VLOOKUP($A62,'Data Vlaue (Cr)'!$C:$FB,44)</f>
        <v>496</v>
      </c>
      <c r="I62" s="49">
        <f>VLOOKUP($A62,'Data Vlaue (Cr)'!$C:$FB,46)*100</f>
        <v>124.13000000000001</v>
      </c>
      <c r="J62" s="51">
        <f>VLOOKUP($A62,'Data Vlaue (Cr)'!$C:$FB,59)</f>
        <v>3008</v>
      </c>
      <c r="K62" s="51">
        <f>VLOOKUP($A62,'Data Vlaue (Cr)'!$C:$FB,60)</f>
        <v>675</v>
      </c>
      <c r="L62" s="51">
        <f>VLOOKUP($A62,'Data Vlaue (Cr)'!$C:$FB,62)*100</f>
        <v>345.49</v>
      </c>
      <c r="M62" s="51">
        <f>VLOOKUP($A62,'Data Vlaue (Cr)'!$C:$FB,63)</f>
        <v>757</v>
      </c>
      <c r="N62" s="51">
        <f>VLOOKUP($A62,'Data Vlaue (Cr)'!$C:$FB,64)</f>
        <v>348</v>
      </c>
      <c r="O62" s="51">
        <f>VLOOKUP($A62,'Data Vlaue (Cr)'!$C:$FB,66)*100</f>
        <v>117.30000000000001</v>
      </c>
    </row>
    <row r="63" spans="1:15" x14ac:dyDescent="0.25">
      <c r="A63" s="101" t="str">
        <f>'Data Vlaue (Cr)'!C58</f>
        <v>DIXON</v>
      </c>
      <c r="B63" s="50">
        <f>VLOOKUP($A63,'Data Vlaue (Cr)'!$C:$FB,8)</f>
        <v>10866.5</v>
      </c>
      <c r="C63" s="50">
        <f>VLOOKUP($A63,'Data Vlaue (Cr)'!$C:$FB,11)*100</f>
        <v>-3.55</v>
      </c>
      <c r="D63" s="50">
        <f>VLOOKUP($A63,'Data Vlaue (Cr)'!$C:$FB,143)</f>
        <v>10343.14</v>
      </c>
      <c r="E63" s="50">
        <f>VLOOKUP($A63,'Data Vlaue (Cr)'!$C:$FB,144)</f>
        <v>5073.34</v>
      </c>
      <c r="F63" s="50">
        <f>VLOOKUP($A63,'Data Vlaue (Cr)'!$C:$FB,146)*100</f>
        <v>103.86999999999999</v>
      </c>
      <c r="G63" s="49">
        <f>VLOOKUP($A63,'Data Vlaue (Cr)'!$C:$FB,43)</f>
        <v>3022</v>
      </c>
      <c r="H63" s="49">
        <f>VLOOKUP($A63,'Data Vlaue (Cr)'!$C:$FB,44)</f>
        <v>927</v>
      </c>
      <c r="I63" s="49">
        <f>VLOOKUP($A63,'Data Vlaue (Cr)'!$C:$FB,46)*100</f>
        <v>225.83</v>
      </c>
      <c r="J63" s="51">
        <f>VLOOKUP($A63,'Data Vlaue (Cr)'!$C:$FB,59)</f>
        <v>4269</v>
      </c>
      <c r="K63" s="51">
        <f>VLOOKUP($A63,'Data Vlaue (Cr)'!$C:$FB,60)</f>
        <v>2426</v>
      </c>
      <c r="L63" s="51">
        <f>VLOOKUP($A63,'Data Vlaue (Cr)'!$C:$FB,62)*100</f>
        <v>75.949999999999989</v>
      </c>
      <c r="M63" s="51">
        <f>VLOOKUP($A63,'Data Vlaue (Cr)'!$C:$FB,63)</f>
        <v>2755</v>
      </c>
      <c r="N63" s="51">
        <f>VLOOKUP($A63,'Data Vlaue (Cr)'!$C:$FB,64)</f>
        <v>1460</v>
      </c>
      <c r="O63" s="51">
        <f>VLOOKUP($A63,'Data Vlaue (Cr)'!$C:$FB,66)*100</f>
        <v>88.73</v>
      </c>
    </row>
    <row r="64" spans="1:15" x14ac:dyDescent="0.25">
      <c r="A64" s="101" t="str">
        <f>'Data Vlaue (Cr)'!C59</f>
        <v>DLF</v>
      </c>
      <c r="B64" s="50">
        <f>VLOOKUP($A64,'Data Vlaue (Cr)'!$C:$FB,8)</f>
        <v>592.79999999999995</v>
      </c>
      <c r="C64" s="50">
        <f>VLOOKUP($A64,'Data Vlaue (Cr)'!$C:$FB,11)*100</f>
        <v>-2.92</v>
      </c>
      <c r="D64" s="50">
        <f>VLOOKUP($A64,'Data Vlaue (Cr)'!$C:$FB,143)</f>
        <v>2719.12</v>
      </c>
      <c r="E64" s="50">
        <f>VLOOKUP($A64,'Data Vlaue (Cr)'!$C:$FB,144)</f>
        <v>2112.4899999999998</v>
      </c>
      <c r="F64" s="50">
        <f>VLOOKUP($A64,'Data Vlaue (Cr)'!$C:$FB,146)*100</f>
        <v>28.720000000000002</v>
      </c>
      <c r="G64" s="49">
        <f>VLOOKUP($A64,'Data Vlaue (Cr)'!$C:$FB,43)</f>
        <v>1159</v>
      </c>
      <c r="H64" s="49">
        <f>VLOOKUP($A64,'Data Vlaue (Cr)'!$C:$FB,44)</f>
        <v>717</v>
      </c>
      <c r="I64" s="49">
        <f>VLOOKUP($A64,'Data Vlaue (Cr)'!$C:$FB,46)*100</f>
        <v>61.77</v>
      </c>
      <c r="J64" s="51">
        <f>VLOOKUP($A64,'Data Vlaue (Cr)'!$C:$FB,59)</f>
        <v>879</v>
      </c>
      <c r="K64" s="51">
        <f>VLOOKUP($A64,'Data Vlaue (Cr)'!$C:$FB,60)</f>
        <v>850</v>
      </c>
      <c r="L64" s="51">
        <f>VLOOKUP($A64,'Data Vlaue (Cr)'!$C:$FB,62)*100</f>
        <v>3.44</v>
      </c>
      <c r="M64" s="51">
        <f>VLOOKUP($A64,'Data Vlaue (Cr)'!$C:$FB,63)</f>
        <v>625</v>
      </c>
      <c r="N64" s="51">
        <f>VLOOKUP($A64,'Data Vlaue (Cr)'!$C:$FB,64)</f>
        <v>467</v>
      </c>
      <c r="O64" s="51">
        <f>VLOOKUP($A64,'Data Vlaue (Cr)'!$C:$FB,66)*100</f>
        <v>33.68</v>
      </c>
    </row>
    <row r="65" spans="1:15" x14ac:dyDescent="0.25">
      <c r="A65" s="101" t="str">
        <f>'Data Vlaue (Cr)'!C60</f>
        <v>DMART</v>
      </c>
      <c r="B65" s="50">
        <f>VLOOKUP($A65,'Data Vlaue (Cr)'!$C:$FB,8)</f>
        <v>4521.2</v>
      </c>
      <c r="C65" s="50">
        <f>VLOOKUP($A65,'Data Vlaue (Cr)'!$C:$FB,11)*100</f>
        <v>-1.6</v>
      </c>
      <c r="D65" s="50">
        <f>VLOOKUP($A65,'Data Vlaue (Cr)'!$C:$FB,143)</f>
        <v>3534.34</v>
      </c>
      <c r="E65" s="50">
        <f>VLOOKUP($A65,'Data Vlaue (Cr)'!$C:$FB,144)</f>
        <v>2707.43</v>
      </c>
      <c r="F65" s="50">
        <f>VLOOKUP($A65,'Data Vlaue (Cr)'!$C:$FB,146)*100</f>
        <v>30.54</v>
      </c>
      <c r="G65" s="49">
        <f>VLOOKUP($A65,'Data Vlaue (Cr)'!$C:$FB,43)</f>
        <v>1702</v>
      </c>
      <c r="H65" s="49">
        <f>VLOOKUP($A65,'Data Vlaue (Cr)'!$C:$FB,44)</f>
        <v>314</v>
      </c>
      <c r="I65" s="49">
        <f>VLOOKUP($A65,'Data Vlaue (Cr)'!$C:$FB,46)*100</f>
        <v>441.24</v>
      </c>
      <c r="J65" s="51">
        <f>VLOOKUP($A65,'Data Vlaue (Cr)'!$C:$FB,59)</f>
        <v>1020</v>
      </c>
      <c r="K65" s="51">
        <f>VLOOKUP($A65,'Data Vlaue (Cr)'!$C:$FB,60)</f>
        <v>1329</v>
      </c>
      <c r="L65" s="51">
        <f>VLOOKUP($A65,'Data Vlaue (Cr)'!$C:$FB,62)*100</f>
        <v>-23.26</v>
      </c>
      <c r="M65" s="51">
        <f>VLOOKUP($A65,'Data Vlaue (Cr)'!$C:$FB,63)</f>
        <v>784</v>
      </c>
      <c r="N65" s="51">
        <f>VLOOKUP($A65,'Data Vlaue (Cr)'!$C:$FB,64)</f>
        <v>1031</v>
      </c>
      <c r="O65" s="51">
        <f>VLOOKUP($A65,'Data Vlaue (Cr)'!$C:$FB,66)*100</f>
        <v>-23.97</v>
      </c>
    </row>
    <row r="66" spans="1:15" x14ac:dyDescent="0.25">
      <c r="A66" s="101" t="str">
        <f>'Data Vlaue (Cr)'!C61</f>
        <v>DRREDDY</v>
      </c>
      <c r="B66" s="50">
        <f>VLOOKUP($A66,'Data Vlaue (Cr)'!$C:$FB,8)</f>
        <v>1331</v>
      </c>
      <c r="C66" s="50">
        <f>VLOOKUP($A66,'Data Vlaue (Cr)'!$C:$FB,11)*100</f>
        <v>9.370000000000001</v>
      </c>
      <c r="D66" s="50">
        <f>VLOOKUP($A66,'Data Vlaue (Cr)'!$C:$FB,143)</f>
        <v>39724.46</v>
      </c>
      <c r="E66" s="50">
        <f>VLOOKUP($A66,'Data Vlaue (Cr)'!$C:$FB,144)</f>
        <v>2320.04</v>
      </c>
      <c r="F66" s="50">
        <f>VLOOKUP($A66,'Data Vlaue (Cr)'!$C:$FB,146)*100</f>
        <v>1612.23</v>
      </c>
      <c r="G66" s="49">
        <f>VLOOKUP($A66,'Data Vlaue (Cr)'!$C:$FB,43)</f>
        <v>4282</v>
      </c>
      <c r="H66" s="49">
        <f>VLOOKUP($A66,'Data Vlaue (Cr)'!$C:$FB,44)</f>
        <v>497</v>
      </c>
      <c r="I66" s="49">
        <f>VLOOKUP($A66,'Data Vlaue (Cr)'!$C:$FB,46)*100</f>
        <v>761.87</v>
      </c>
      <c r="J66" s="51">
        <f>VLOOKUP($A66,'Data Vlaue (Cr)'!$C:$FB,59)</f>
        <v>25309</v>
      </c>
      <c r="K66" s="51">
        <f>VLOOKUP($A66,'Data Vlaue (Cr)'!$C:$FB,60)</f>
        <v>1378</v>
      </c>
      <c r="L66" s="51">
        <f>VLOOKUP($A66,'Data Vlaue (Cr)'!$C:$FB,62)*100</f>
        <v>1736.5300000000002</v>
      </c>
      <c r="M66" s="51">
        <f>VLOOKUP($A66,'Data Vlaue (Cr)'!$C:$FB,63)</f>
        <v>10179</v>
      </c>
      <c r="N66" s="51">
        <f>VLOOKUP($A66,'Data Vlaue (Cr)'!$C:$FB,64)</f>
        <v>613</v>
      </c>
      <c r="O66" s="51">
        <f>VLOOKUP($A66,'Data Vlaue (Cr)'!$C:$FB,66)*100</f>
        <v>1559.92</v>
      </c>
    </row>
    <row r="67" spans="1:15" x14ac:dyDescent="0.25">
      <c r="A67" s="101" t="str">
        <f>'Data Vlaue (Cr)'!C62</f>
        <v>EICHERMOT</v>
      </c>
      <c r="B67" s="50">
        <f>VLOOKUP($A67,'Data Vlaue (Cr)'!$C:$FB,8)</f>
        <v>7092.5</v>
      </c>
      <c r="C67" s="50">
        <f>VLOOKUP($A67,'Data Vlaue (Cr)'!$C:$FB,11)*100</f>
        <v>-1.9</v>
      </c>
      <c r="D67" s="50">
        <f>VLOOKUP($A67,'Data Vlaue (Cr)'!$C:$FB,143)</f>
        <v>4771.58</v>
      </c>
      <c r="E67" s="50">
        <f>VLOOKUP($A67,'Data Vlaue (Cr)'!$C:$FB,144)</f>
        <v>3058.06</v>
      </c>
      <c r="F67" s="50">
        <f>VLOOKUP($A67,'Data Vlaue (Cr)'!$C:$FB,146)*100</f>
        <v>56.03</v>
      </c>
      <c r="G67" s="49">
        <f>VLOOKUP($A67,'Data Vlaue (Cr)'!$C:$FB,43)</f>
        <v>1631</v>
      </c>
      <c r="H67" s="49">
        <f>VLOOKUP($A67,'Data Vlaue (Cr)'!$C:$FB,44)</f>
        <v>415</v>
      </c>
      <c r="I67" s="49">
        <f>VLOOKUP($A67,'Data Vlaue (Cr)'!$C:$FB,46)*100</f>
        <v>293.2</v>
      </c>
      <c r="J67" s="51">
        <f>VLOOKUP($A67,'Data Vlaue (Cr)'!$C:$FB,59)</f>
        <v>1832</v>
      </c>
      <c r="K67" s="51">
        <f>VLOOKUP($A67,'Data Vlaue (Cr)'!$C:$FB,60)</f>
        <v>1652</v>
      </c>
      <c r="L67" s="51">
        <f>VLOOKUP($A67,'Data Vlaue (Cr)'!$C:$FB,62)*100</f>
        <v>10.86</v>
      </c>
      <c r="M67" s="51">
        <f>VLOOKUP($A67,'Data Vlaue (Cr)'!$C:$FB,63)</f>
        <v>1218</v>
      </c>
      <c r="N67" s="51">
        <f>VLOOKUP($A67,'Data Vlaue (Cr)'!$C:$FB,64)</f>
        <v>900</v>
      </c>
      <c r="O67" s="51">
        <f>VLOOKUP($A67,'Data Vlaue (Cr)'!$C:$FB,66)*100</f>
        <v>35.35</v>
      </c>
    </row>
    <row r="68" spans="1:15" x14ac:dyDescent="0.25">
      <c r="A68" s="101" t="str">
        <f>'Data Vlaue (Cr)'!C63</f>
        <v>ETERNAL</v>
      </c>
      <c r="B68" s="50">
        <f>VLOOKUP($A68,'Data Vlaue (Cr)'!$C:$FB,8)</f>
        <v>259.92</v>
      </c>
      <c r="C68" s="50">
        <f>VLOOKUP($A68,'Data Vlaue (Cr)'!$C:$FB,11)*100</f>
        <v>-1.17</v>
      </c>
      <c r="D68" s="50">
        <f>VLOOKUP($A68,'Data Vlaue (Cr)'!$C:$FB,143)</f>
        <v>6277.97</v>
      </c>
      <c r="E68" s="50">
        <f>VLOOKUP($A68,'Data Vlaue (Cr)'!$C:$FB,144)</f>
        <v>5585.35</v>
      </c>
      <c r="F68" s="50">
        <f>VLOOKUP($A68,'Data Vlaue (Cr)'!$C:$FB,146)*100</f>
        <v>12.4</v>
      </c>
      <c r="G68" s="49">
        <f>VLOOKUP($A68,'Data Vlaue (Cr)'!$C:$FB,43)</f>
        <v>2809</v>
      </c>
      <c r="H68" s="49">
        <f>VLOOKUP($A68,'Data Vlaue (Cr)'!$C:$FB,44)</f>
        <v>1448</v>
      </c>
      <c r="I68" s="49">
        <f>VLOOKUP($A68,'Data Vlaue (Cr)'!$C:$FB,46)*100</f>
        <v>93.97999999999999</v>
      </c>
      <c r="J68" s="51">
        <f>VLOOKUP($A68,'Data Vlaue (Cr)'!$C:$FB,59)</f>
        <v>1998</v>
      </c>
      <c r="K68" s="51">
        <f>VLOOKUP($A68,'Data Vlaue (Cr)'!$C:$FB,60)</f>
        <v>2489</v>
      </c>
      <c r="L68" s="51">
        <f>VLOOKUP($A68,'Data Vlaue (Cr)'!$C:$FB,62)*100</f>
        <v>-19.739999999999998</v>
      </c>
      <c r="M68" s="51">
        <f>VLOOKUP($A68,'Data Vlaue (Cr)'!$C:$FB,63)</f>
        <v>1416</v>
      </c>
      <c r="N68" s="51">
        <f>VLOOKUP($A68,'Data Vlaue (Cr)'!$C:$FB,64)</f>
        <v>1593</v>
      </c>
      <c r="O68" s="51">
        <f>VLOOKUP($A68,'Data Vlaue (Cr)'!$C:$FB,66)*100</f>
        <v>-11.12</v>
      </c>
    </row>
    <row r="69" spans="1:15" x14ac:dyDescent="0.25">
      <c r="A69" s="101" t="str">
        <f>'Data Vlaue (Cr)'!C64</f>
        <v>EXIDEIND</v>
      </c>
      <c r="B69" s="50">
        <f>VLOOKUP($A69,'Data Vlaue (Cr)'!$C:$FB,8)</f>
        <v>347.25</v>
      </c>
      <c r="C69" s="50">
        <f>VLOOKUP($A69,'Data Vlaue (Cr)'!$C:$FB,11)*100</f>
        <v>-2.06</v>
      </c>
      <c r="D69" s="50">
        <f>VLOOKUP($A69,'Data Vlaue (Cr)'!$C:$FB,143)</f>
        <v>2674.02</v>
      </c>
      <c r="E69" s="50">
        <f>VLOOKUP($A69,'Data Vlaue (Cr)'!$C:$FB,144)</f>
        <v>6312.67</v>
      </c>
      <c r="F69" s="50">
        <f>VLOOKUP($A69,'Data Vlaue (Cr)'!$C:$FB,146)*100</f>
        <v>-57.64</v>
      </c>
      <c r="G69" s="49">
        <f>VLOOKUP($A69,'Data Vlaue (Cr)'!$C:$FB,43)</f>
        <v>590</v>
      </c>
      <c r="H69" s="49">
        <f>VLOOKUP($A69,'Data Vlaue (Cr)'!$C:$FB,44)</f>
        <v>683</v>
      </c>
      <c r="I69" s="49">
        <f>VLOOKUP($A69,'Data Vlaue (Cr)'!$C:$FB,46)*100</f>
        <v>-13.530000000000001</v>
      </c>
      <c r="J69" s="51">
        <f>VLOOKUP($A69,'Data Vlaue (Cr)'!$C:$FB,59)</f>
        <v>1439</v>
      </c>
      <c r="K69" s="51">
        <f>VLOOKUP($A69,'Data Vlaue (Cr)'!$C:$FB,60)</f>
        <v>4136</v>
      </c>
      <c r="L69" s="51">
        <f>VLOOKUP($A69,'Data Vlaue (Cr)'!$C:$FB,62)*100</f>
        <v>-65.210000000000008</v>
      </c>
      <c r="M69" s="51">
        <f>VLOOKUP($A69,'Data Vlaue (Cr)'!$C:$FB,63)</f>
        <v>548</v>
      </c>
      <c r="N69" s="51">
        <f>VLOOKUP($A69,'Data Vlaue (Cr)'!$C:$FB,64)</f>
        <v>1312</v>
      </c>
      <c r="O69" s="51">
        <f>VLOOKUP($A69,'Data Vlaue (Cr)'!$C:$FB,66)*100</f>
        <v>-58.209999999999994</v>
      </c>
    </row>
    <row r="70" spans="1:15" x14ac:dyDescent="0.25">
      <c r="A70" s="101" t="str">
        <f>'Data Vlaue (Cr)'!C65</f>
        <v>FEDERALBNK</v>
      </c>
      <c r="B70" s="50">
        <f>VLOOKUP($A70,'Data Vlaue (Cr)'!$C:$FB,8)</f>
        <v>295.39999999999998</v>
      </c>
      <c r="C70" s="50">
        <f>VLOOKUP($A70,'Data Vlaue (Cr)'!$C:$FB,11)*100</f>
        <v>-0.35000000000000003</v>
      </c>
      <c r="D70" s="50">
        <f>VLOOKUP($A70,'Data Vlaue (Cr)'!$C:$FB,143)</f>
        <v>2872.85</v>
      </c>
      <c r="E70" s="50">
        <f>VLOOKUP($A70,'Data Vlaue (Cr)'!$C:$FB,144)</f>
        <v>2425.27</v>
      </c>
      <c r="F70" s="50">
        <f>VLOOKUP($A70,'Data Vlaue (Cr)'!$C:$FB,146)*100</f>
        <v>18.45</v>
      </c>
      <c r="G70" s="49">
        <f>VLOOKUP($A70,'Data Vlaue (Cr)'!$C:$FB,43)</f>
        <v>1051</v>
      </c>
      <c r="H70" s="49">
        <f>VLOOKUP($A70,'Data Vlaue (Cr)'!$C:$FB,44)</f>
        <v>523</v>
      </c>
      <c r="I70" s="49">
        <f>VLOOKUP($A70,'Data Vlaue (Cr)'!$C:$FB,46)*100</f>
        <v>100.88</v>
      </c>
      <c r="J70" s="51">
        <f>VLOOKUP($A70,'Data Vlaue (Cr)'!$C:$FB,59)</f>
        <v>1125</v>
      </c>
      <c r="K70" s="51">
        <f>VLOOKUP($A70,'Data Vlaue (Cr)'!$C:$FB,60)</f>
        <v>1119</v>
      </c>
      <c r="L70" s="51">
        <f>VLOOKUP($A70,'Data Vlaue (Cr)'!$C:$FB,62)*100</f>
        <v>0.57000000000000006</v>
      </c>
      <c r="M70" s="51">
        <f>VLOOKUP($A70,'Data Vlaue (Cr)'!$C:$FB,63)</f>
        <v>680</v>
      </c>
      <c r="N70" s="51">
        <f>VLOOKUP($A70,'Data Vlaue (Cr)'!$C:$FB,64)</f>
        <v>757</v>
      </c>
      <c r="O70" s="51">
        <f>VLOOKUP($A70,'Data Vlaue (Cr)'!$C:$FB,66)*100</f>
        <v>-10.130000000000001</v>
      </c>
    </row>
    <row r="71" spans="1:15" x14ac:dyDescent="0.25">
      <c r="A71" s="101" t="str">
        <f>'Data Vlaue (Cr)'!C66</f>
        <v>FINNIFTY</v>
      </c>
      <c r="B71" s="50">
        <f>VLOOKUP($A71,'Data Vlaue (Cr)'!$C:$FB,8)</f>
        <v>26247.200000000001</v>
      </c>
      <c r="C71" s="50">
        <f>VLOOKUP($A71,'Data Vlaue (Cr)'!$C:$FB,11)*100</f>
        <v>-1.4200000000000002</v>
      </c>
      <c r="D71" s="50">
        <f>VLOOKUP($A71,'Data Vlaue (Cr)'!$C:$FB,143)</f>
        <v>8817.9</v>
      </c>
      <c r="E71" s="50">
        <f>VLOOKUP($A71,'Data Vlaue (Cr)'!$C:$FB,144)</f>
        <v>6719.64</v>
      </c>
      <c r="F71" s="50">
        <f>VLOOKUP($A71,'Data Vlaue (Cr)'!$C:$FB,146)*100</f>
        <v>31.230000000000004</v>
      </c>
      <c r="G71" s="49">
        <f>VLOOKUP($A71,'Data Vlaue (Cr)'!$C:$FB,43)</f>
        <v>43</v>
      </c>
      <c r="H71" s="49">
        <f>VLOOKUP($A71,'Data Vlaue (Cr)'!$C:$FB,44)</f>
        <v>38</v>
      </c>
      <c r="I71" s="49">
        <f>VLOOKUP($A71,'Data Vlaue (Cr)'!$C:$FB,46)*100</f>
        <v>14.71</v>
      </c>
      <c r="J71" s="51">
        <f>VLOOKUP($A71,'Data Vlaue (Cr)'!$C:$FB,59)</f>
        <v>4876</v>
      </c>
      <c r="K71" s="51">
        <f>VLOOKUP($A71,'Data Vlaue (Cr)'!$C:$FB,60)</f>
        <v>3584</v>
      </c>
      <c r="L71" s="51">
        <f>VLOOKUP($A71,'Data Vlaue (Cr)'!$C:$FB,62)*100</f>
        <v>36.04</v>
      </c>
      <c r="M71" s="51">
        <f>VLOOKUP($A71,'Data Vlaue (Cr)'!$C:$FB,63)</f>
        <v>3780</v>
      </c>
      <c r="N71" s="51">
        <f>VLOOKUP($A71,'Data Vlaue (Cr)'!$C:$FB,64)</f>
        <v>2945</v>
      </c>
      <c r="O71" s="51">
        <f>VLOOKUP($A71,'Data Vlaue (Cr)'!$C:$FB,66)*100</f>
        <v>28.360000000000003</v>
      </c>
    </row>
    <row r="72" spans="1:15" x14ac:dyDescent="0.25">
      <c r="A72" s="101" t="str">
        <f>'Data Vlaue (Cr)'!C67</f>
        <v>FORCEMOT</v>
      </c>
      <c r="B72" s="50">
        <f>VLOOKUP($A72,'Data Vlaue (Cr)'!$C:$FB,8)</f>
        <v>20750</v>
      </c>
      <c r="C72" s="50">
        <f>VLOOKUP($A72,'Data Vlaue (Cr)'!$C:$FB,11)*100</f>
        <v>-4.6899999999999995</v>
      </c>
      <c r="D72" s="50">
        <f>VLOOKUP($A72,'Data Vlaue (Cr)'!$C:$FB,143)</f>
        <v>963.15</v>
      </c>
      <c r="E72" s="50">
        <f>VLOOKUP($A72,'Data Vlaue (Cr)'!$C:$FB,144)</f>
        <v>374.94</v>
      </c>
      <c r="F72" s="50">
        <f>VLOOKUP($A72,'Data Vlaue (Cr)'!$C:$FB,146)*100</f>
        <v>156.88</v>
      </c>
      <c r="G72" s="49">
        <f>VLOOKUP($A72,'Data Vlaue (Cr)'!$C:$FB,43)</f>
        <v>334</v>
      </c>
      <c r="H72" s="49">
        <f>VLOOKUP($A72,'Data Vlaue (Cr)'!$C:$FB,44)</f>
        <v>108</v>
      </c>
      <c r="I72" s="49">
        <f>VLOOKUP($A72,'Data Vlaue (Cr)'!$C:$FB,46)*100</f>
        <v>208.74</v>
      </c>
      <c r="J72" s="51">
        <f>VLOOKUP($A72,'Data Vlaue (Cr)'!$C:$FB,59)</f>
        <v>389</v>
      </c>
      <c r="K72" s="51">
        <f>VLOOKUP($A72,'Data Vlaue (Cr)'!$C:$FB,60)</f>
        <v>141</v>
      </c>
      <c r="L72" s="51">
        <f>VLOOKUP($A72,'Data Vlaue (Cr)'!$C:$FB,62)*100</f>
        <v>175.26</v>
      </c>
      <c r="M72" s="51">
        <f>VLOOKUP($A72,'Data Vlaue (Cr)'!$C:$FB,63)</f>
        <v>192</v>
      </c>
      <c r="N72" s="51">
        <f>VLOOKUP($A72,'Data Vlaue (Cr)'!$C:$FB,64)</f>
        <v>111</v>
      </c>
      <c r="O72" s="51">
        <f>VLOOKUP($A72,'Data Vlaue (Cr)'!$C:$FB,66)*100</f>
        <v>72.38</v>
      </c>
    </row>
    <row r="73" spans="1:15" x14ac:dyDescent="0.25">
      <c r="A73" s="101" t="str">
        <f>'Data Vlaue (Cr)'!C68</f>
        <v>FORTIS</v>
      </c>
      <c r="B73" s="50">
        <f>VLOOKUP($A73,'Data Vlaue (Cr)'!$C:$FB,8)</f>
        <v>926.75</v>
      </c>
      <c r="C73" s="50">
        <f>VLOOKUP($A73,'Data Vlaue (Cr)'!$C:$FB,11)*100</f>
        <v>0.4</v>
      </c>
      <c r="D73" s="50">
        <f>VLOOKUP($A73,'Data Vlaue (Cr)'!$C:$FB,143)</f>
        <v>1129.8900000000001</v>
      </c>
      <c r="E73" s="50">
        <f>VLOOKUP($A73,'Data Vlaue (Cr)'!$C:$FB,144)</f>
        <v>1760.44</v>
      </c>
      <c r="F73" s="50">
        <f>VLOOKUP($A73,'Data Vlaue (Cr)'!$C:$FB,146)*100</f>
        <v>-35.82</v>
      </c>
      <c r="G73" s="49">
        <f>VLOOKUP($A73,'Data Vlaue (Cr)'!$C:$FB,43)</f>
        <v>673</v>
      </c>
      <c r="H73" s="49">
        <f>VLOOKUP($A73,'Data Vlaue (Cr)'!$C:$FB,44)</f>
        <v>348</v>
      </c>
      <c r="I73" s="49">
        <f>VLOOKUP($A73,'Data Vlaue (Cr)'!$C:$FB,46)*100</f>
        <v>93.25</v>
      </c>
      <c r="J73" s="51">
        <f>VLOOKUP($A73,'Data Vlaue (Cr)'!$C:$FB,59)</f>
        <v>326</v>
      </c>
      <c r="K73" s="51">
        <f>VLOOKUP($A73,'Data Vlaue (Cr)'!$C:$FB,60)</f>
        <v>770</v>
      </c>
      <c r="L73" s="51">
        <f>VLOOKUP($A73,'Data Vlaue (Cr)'!$C:$FB,62)*100</f>
        <v>-57.620000000000005</v>
      </c>
      <c r="M73" s="51">
        <f>VLOOKUP($A73,'Data Vlaue (Cr)'!$C:$FB,63)</f>
        <v>127</v>
      </c>
      <c r="N73" s="51">
        <f>VLOOKUP($A73,'Data Vlaue (Cr)'!$C:$FB,64)</f>
        <v>648</v>
      </c>
      <c r="O73" s="51">
        <f>VLOOKUP($A73,'Data Vlaue (Cr)'!$C:$FB,66)*100</f>
        <v>-80.459999999999994</v>
      </c>
    </row>
    <row r="74" spans="1:15" x14ac:dyDescent="0.25">
      <c r="A74" s="101" t="str">
        <f>'Data Vlaue (Cr)'!C69</f>
        <v>GAIL</v>
      </c>
      <c r="B74" s="50">
        <f>VLOOKUP($A74,'Data Vlaue (Cr)'!$C:$FB,8)</f>
        <v>164.96</v>
      </c>
      <c r="C74" s="50">
        <f>VLOOKUP($A74,'Data Vlaue (Cr)'!$C:$FB,11)*100</f>
        <v>-0.70000000000000007</v>
      </c>
      <c r="D74" s="50">
        <f>VLOOKUP($A74,'Data Vlaue (Cr)'!$C:$FB,143)</f>
        <v>1637.88</v>
      </c>
      <c r="E74" s="50">
        <f>VLOOKUP($A74,'Data Vlaue (Cr)'!$C:$FB,144)</f>
        <v>1621.84</v>
      </c>
      <c r="F74" s="50">
        <f>VLOOKUP($A74,'Data Vlaue (Cr)'!$C:$FB,146)*100</f>
        <v>0.9900000000000001</v>
      </c>
      <c r="G74" s="49">
        <f>VLOOKUP($A74,'Data Vlaue (Cr)'!$C:$FB,43)</f>
        <v>896</v>
      </c>
      <c r="H74" s="49">
        <f>VLOOKUP($A74,'Data Vlaue (Cr)'!$C:$FB,44)</f>
        <v>294</v>
      </c>
      <c r="I74" s="49">
        <f>VLOOKUP($A74,'Data Vlaue (Cr)'!$C:$FB,46)*100</f>
        <v>204.49</v>
      </c>
      <c r="J74" s="51">
        <f>VLOOKUP($A74,'Data Vlaue (Cr)'!$C:$FB,59)</f>
        <v>406</v>
      </c>
      <c r="K74" s="51">
        <f>VLOOKUP($A74,'Data Vlaue (Cr)'!$C:$FB,60)</f>
        <v>748</v>
      </c>
      <c r="L74" s="51">
        <f>VLOOKUP($A74,'Data Vlaue (Cr)'!$C:$FB,62)*100</f>
        <v>-45.7</v>
      </c>
      <c r="M74" s="51">
        <f>VLOOKUP($A74,'Data Vlaue (Cr)'!$C:$FB,63)</f>
        <v>330</v>
      </c>
      <c r="N74" s="51">
        <f>VLOOKUP($A74,'Data Vlaue (Cr)'!$C:$FB,64)</f>
        <v>597</v>
      </c>
      <c r="O74" s="51">
        <f>VLOOKUP($A74,'Data Vlaue (Cr)'!$C:$FB,66)*100</f>
        <v>-44.629999999999995</v>
      </c>
    </row>
    <row r="75" spans="1:15" x14ac:dyDescent="0.25">
      <c r="A75" s="101" t="str">
        <f>'Data Vlaue (Cr)'!C70</f>
        <v>GLENMARK</v>
      </c>
      <c r="B75" s="50">
        <f>VLOOKUP($A75,'Data Vlaue (Cr)'!$C:$FB,8)</f>
        <v>2335</v>
      </c>
      <c r="C75" s="50">
        <f>VLOOKUP($A75,'Data Vlaue (Cr)'!$C:$FB,11)*100</f>
        <v>4.24</v>
      </c>
      <c r="D75" s="50">
        <f>VLOOKUP($A75,'Data Vlaue (Cr)'!$C:$FB,143)</f>
        <v>9952.26</v>
      </c>
      <c r="E75" s="50">
        <f>VLOOKUP($A75,'Data Vlaue (Cr)'!$C:$FB,144)</f>
        <v>1139.95</v>
      </c>
      <c r="F75" s="50">
        <f>VLOOKUP($A75,'Data Vlaue (Cr)'!$C:$FB,146)*100</f>
        <v>773.04000000000008</v>
      </c>
      <c r="G75" s="49">
        <f>VLOOKUP($A75,'Data Vlaue (Cr)'!$C:$FB,43)</f>
        <v>2889</v>
      </c>
      <c r="H75" s="49">
        <f>VLOOKUP($A75,'Data Vlaue (Cr)'!$C:$FB,44)</f>
        <v>198</v>
      </c>
      <c r="I75" s="49">
        <f>VLOOKUP($A75,'Data Vlaue (Cr)'!$C:$FB,46)*100</f>
        <v>1362.04</v>
      </c>
      <c r="J75" s="51">
        <f>VLOOKUP($A75,'Data Vlaue (Cr)'!$C:$FB,59)</f>
        <v>5430</v>
      </c>
      <c r="K75" s="51">
        <f>VLOOKUP($A75,'Data Vlaue (Cr)'!$C:$FB,60)</f>
        <v>571</v>
      </c>
      <c r="L75" s="51">
        <f>VLOOKUP($A75,'Data Vlaue (Cr)'!$C:$FB,62)*100</f>
        <v>851.46999999999991</v>
      </c>
      <c r="M75" s="51">
        <f>VLOOKUP($A75,'Data Vlaue (Cr)'!$C:$FB,63)</f>
        <v>1588</v>
      </c>
      <c r="N75" s="51">
        <f>VLOOKUP($A75,'Data Vlaue (Cr)'!$C:$FB,64)</f>
        <v>416</v>
      </c>
      <c r="O75" s="51">
        <f>VLOOKUP($A75,'Data Vlaue (Cr)'!$C:$FB,66)*100</f>
        <v>281.40999999999997</v>
      </c>
    </row>
    <row r="76" spans="1:15" x14ac:dyDescent="0.25">
      <c r="A76" s="101" t="str">
        <f>'Data Vlaue (Cr)'!C71</f>
        <v>GMRAIRPORT</v>
      </c>
      <c r="B76" s="50">
        <f>VLOOKUP($A76,'Data Vlaue (Cr)'!$C:$FB,8)</f>
        <v>96.44</v>
      </c>
      <c r="C76" s="50">
        <f>VLOOKUP($A76,'Data Vlaue (Cr)'!$C:$FB,11)*100</f>
        <v>-0.98</v>
      </c>
      <c r="D76" s="50">
        <f>VLOOKUP($A76,'Data Vlaue (Cr)'!$C:$FB,143)</f>
        <v>1284.57</v>
      </c>
      <c r="E76" s="50">
        <f>VLOOKUP($A76,'Data Vlaue (Cr)'!$C:$FB,144)</f>
        <v>692.9</v>
      </c>
      <c r="F76" s="50">
        <f>VLOOKUP($A76,'Data Vlaue (Cr)'!$C:$FB,146)*100</f>
        <v>85.39</v>
      </c>
      <c r="G76" s="49">
        <f>VLOOKUP($A76,'Data Vlaue (Cr)'!$C:$FB,43)</f>
        <v>719</v>
      </c>
      <c r="H76" s="49">
        <f>VLOOKUP($A76,'Data Vlaue (Cr)'!$C:$FB,44)</f>
        <v>194</v>
      </c>
      <c r="I76" s="49">
        <f>VLOOKUP($A76,'Data Vlaue (Cr)'!$C:$FB,46)*100</f>
        <v>270.26</v>
      </c>
      <c r="J76" s="51">
        <f>VLOOKUP($A76,'Data Vlaue (Cr)'!$C:$FB,59)</f>
        <v>370</v>
      </c>
      <c r="K76" s="51">
        <f>VLOOKUP($A76,'Data Vlaue (Cr)'!$C:$FB,60)</f>
        <v>366</v>
      </c>
      <c r="L76" s="51">
        <f>VLOOKUP($A76,'Data Vlaue (Cr)'!$C:$FB,62)*100</f>
        <v>0.94000000000000006</v>
      </c>
      <c r="M76" s="51">
        <f>VLOOKUP($A76,'Data Vlaue (Cr)'!$C:$FB,63)</f>
        <v>179</v>
      </c>
      <c r="N76" s="51">
        <f>VLOOKUP($A76,'Data Vlaue (Cr)'!$C:$FB,64)</f>
        <v>109</v>
      </c>
      <c r="O76" s="51">
        <f>VLOOKUP($A76,'Data Vlaue (Cr)'!$C:$FB,66)*100</f>
        <v>64.759999999999991</v>
      </c>
    </row>
    <row r="77" spans="1:15" x14ac:dyDescent="0.25">
      <c r="A77" s="101" t="str">
        <f>'Data Vlaue (Cr)'!C72</f>
        <v>GODFRYPHLP</v>
      </c>
      <c r="B77" s="50">
        <f>VLOOKUP($A77,'Data Vlaue (Cr)'!$C:$FB,8)</f>
        <v>2153.3000000000002</v>
      </c>
      <c r="C77" s="50">
        <f>VLOOKUP($A77,'Data Vlaue (Cr)'!$C:$FB,11)*100</f>
        <v>-0.52</v>
      </c>
      <c r="D77" s="50">
        <f>VLOOKUP($A77,'Data Vlaue (Cr)'!$C:$FB,143)</f>
        <v>705.58</v>
      </c>
      <c r="E77" s="50">
        <f>VLOOKUP($A77,'Data Vlaue (Cr)'!$C:$FB,144)</f>
        <v>879.73</v>
      </c>
      <c r="F77" s="50">
        <f>VLOOKUP($A77,'Data Vlaue (Cr)'!$C:$FB,146)*100</f>
        <v>-19.8</v>
      </c>
      <c r="G77" s="49">
        <f>VLOOKUP($A77,'Data Vlaue (Cr)'!$C:$FB,43)</f>
        <v>228</v>
      </c>
      <c r="H77" s="49">
        <f>VLOOKUP($A77,'Data Vlaue (Cr)'!$C:$FB,44)</f>
        <v>184</v>
      </c>
      <c r="I77" s="49">
        <f>VLOOKUP($A77,'Data Vlaue (Cr)'!$C:$FB,46)*100</f>
        <v>23.86</v>
      </c>
      <c r="J77" s="51">
        <f>VLOOKUP($A77,'Data Vlaue (Cr)'!$C:$FB,59)</f>
        <v>309</v>
      </c>
      <c r="K77" s="51">
        <f>VLOOKUP($A77,'Data Vlaue (Cr)'!$C:$FB,60)</f>
        <v>530</v>
      </c>
      <c r="L77" s="51">
        <f>VLOOKUP($A77,'Data Vlaue (Cr)'!$C:$FB,62)*100</f>
        <v>-41.72</v>
      </c>
      <c r="M77" s="51">
        <f>VLOOKUP($A77,'Data Vlaue (Cr)'!$C:$FB,63)</f>
        <v>166</v>
      </c>
      <c r="N77" s="51">
        <f>VLOOKUP($A77,'Data Vlaue (Cr)'!$C:$FB,64)</f>
        <v>135</v>
      </c>
      <c r="O77" s="51">
        <f>VLOOKUP($A77,'Data Vlaue (Cr)'!$C:$FB,66)*100</f>
        <v>22.91</v>
      </c>
    </row>
    <row r="78" spans="1:15" x14ac:dyDescent="0.25">
      <c r="A78" s="101" t="str">
        <f>'Data Vlaue (Cr)'!C73</f>
        <v>GODREJCP</v>
      </c>
      <c r="B78" s="50">
        <f>VLOOKUP($A78,'Data Vlaue (Cr)'!$C:$FB,8)</f>
        <v>1142.95</v>
      </c>
      <c r="C78" s="50">
        <f>VLOOKUP($A78,'Data Vlaue (Cr)'!$C:$FB,11)*100</f>
        <v>0.3</v>
      </c>
      <c r="D78" s="50">
        <f>VLOOKUP($A78,'Data Vlaue (Cr)'!$C:$FB,143)</f>
        <v>1070.3399999999999</v>
      </c>
      <c r="E78" s="50">
        <f>VLOOKUP($A78,'Data Vlaue (Cr)'!$C:$FB,144)</f>
        <v>879.21</v>
      </c>
      <c r="F78" s="50">
        <f>VLOOKUP($A78,'Data Vlaue (Cr)'!$C:$FB,146)*100</f>
        <v>21.740000000000002</v>
      </c>
      <c r="G78" s="49">
        <f>VLOOKUP($A78,'Data Vlaue (Cr)'!$C:$FB,43)</f>
        <v>746</v>
      </c>
      <c r="H78" s="49">
        <f>VLOOKUP($A78,'Data Vlaue (Cr)'!$C:$FB,44)</f>
        <v>208</v>
      </c>
      <c r="I78" s="49">
        <f>VLOOKUP($A78,'Data Vlaue (Cr)'!$C:$FB,46)*100</f>
        <v>258.32</v>
      </c>
      <c r="J78" s="51">
        <f>VLOOKUP($A78,'Data Vlaue (Cr)'!$C:$FB,59)</f>
        <v>210</v>
      </c>
      <c r="K78" s="51">
        <f>VLOOKUP($A78,'Data Vlaue (Cr)'!$C:$FB,60)</f>
        <v>484</v>
      </c>
      <c r="L78" s="51">
        <f>VLOOKUP($A78,'Data Vlaue (Cr)'!$C:$FB,62)*100</f>
        <v>-56.66</v>
      </c>
      <c r="M78" s="51">
        <f>VLOOKUP($A78,'Data Vlaue (Cr)'!$C:$FB,63)</f>
        <v>117</v>
      </c>
      <c r="N78" s="51">
        <f>VLOOKUP($A78,'Data Vlaue (Cr)'!$C:$FB,64)</f>
        <v>177</v>
      </c>
      <c r="O78" s="51">
        <f>VLOOKUP($A78,'Data Vlaue (Cr)'!$C:$FB,66)*100</f>
        <v>-33.97</v>
      </c>
    </row>
    <row r="79" spans="1:15" x14ac:dyDescent="0.25">
      <c r="A79" s="101" t="str">
        <f>'Data Vlaue (Cr)'!C74</f>
        <v>GODREJPROP</v>
      </c>
      <c r="B79" s="50">
        <f>VLOOKUP($A79,'Data Vlaue (Cr)'!$C:$FB,8)</f>
        <v>1791</v>
      </c>
      <c r="C79" s="50">
        <f>VLOOKUP($A79,'Data Vlaue (Cr)'!$C:$FB,11)*100</f>
        <v>-2.25</v>
      </c>
      <c r="D79" s="50">
        <f>VLOOKUP($A79,'Data Vlaue (Cr)'!$C:$FB,143)</f>
        <v>2453.1799999999998</v>
      </c>
      <c r="E79" s="50">
        <f>VLOOKUP($A79,'Data Vlaue (Cr)'!$C:$FB,144)</f>
        <v>2134.9</v>
      </c>
      <c r="F79" s="50">
        <f>VLOOKUP($A79,'Data Vlaue (Cr)'!$C:$FB,146)*100</f>
        <v>14.91</v>
      </c>
      <c r="G79" s="49">
        <f>VLOOKUP($A79,'Data Vlaue (Cr)'!$C:$FB,43)</f>
        <v>1015</v>
      </c>
      <c r="H79" s="49">
        <f>VLOOKUP($A79,'Data Vlaue (Cr)'!$C:$FB,44)</f>
        <v>508</v>
      </c>
      <c r="I79" s="49">
        <f>VLOOKUP($A79,'Data Vlaue (Cr)'!$C:$FB,46)*100</f>
        <v>99.67</v>
      </c>
      <c r="J79" s="51">
        <f>VLOOKUP($A79,'Data Vlaue (Cr)'!$C:$FB,59)</f>
        <v>830</v>
      </c>
      <c r="K79" s="51">
        <f>VLOOKUP($A79,'Data Vlaue (Cr)'!$C:$FB,60)</f>
        <v>880</v>
      </c>
      <c r="L79" s="51">
        <f>VLOOKUP($A79,'Data Vlaue (Cr)'!$C:$FB,62)*100</f>
        <v>-5.75</v>
      </c>
      <c r="M79" s="51">
        <f>VLOOKUP($A79,'Data Vlaue (Cr)'!$C:$FB,63)</f>
        <v>562</v>
      </c>
      <c r="N79" s="51">
        <f>VLOOKUP($A79,'Data Vlaue (Cr)'!$C:$FB,64)</f>
        <v>719</v>
      </c>
      <c r="O79" s="51">
        <f>VLOOKUP($A79,'Data Vlaue (Cr)'!$C:$FB,66)*100</f>
        <v>-21.82</v>
      </c>
    </row>
    <row r="80" spans="1:15" x14ac:dyDescent="0.25">
      <c r="A80" s="101" t="str">
        <f>'Data Vlaue (Cr)'!C75</f>
        <v>GRASIM</v>
      </c>
      <c r="B80" s="50">
        <f>VLOOKUP($A80,'Data Vlaue (Cr)'!$C:$FB,8)</f>
        <v>2735</v>
      </c>
      <c r="C80" s="50">
        <f>VLOOKUP($A80,'Data Vlaue (Cr)'!$C:$FB,11)*100</f>
        <v>-1.5</v>
      </c>
      <c r="D80" s="50">
        <f>VLOOKUP($A80,'Data Vlaue (Cr)'!$C:$FB,143)</f>
        <v>2526.29</v>
      </c>
      <c r="E80" s="50">
        <f>VLOOKUP($A80,'Data Vlaue (Cr)'!$C:$FB,144)</f>
        <v>2254.33</v>
      </c>
      <c r="F80" s="50">
        <f>VLOOKUP($A80,'Data Vlaue (Cr)'!$C:$FB,146)*100</f>
        <v>12.06</v>
      </c>
      <c r="G80" s="49">
        <f>VLOOKUP($A80,'Data Vlaue (Cr)'!$C:$FB,43)</f>
        <v>1957</v>
      </c>
      <c r="H80" s="49">
        <f>VLOOKUP($A80,'Data Vlaue (Cr)'!$C:$FB,44)</f>
        <v>1153</v>
      </c>
      <c r="I80" s="49">
        <f>VLOOKUP($A80,'Data Vlaue (Cr)'!$C:$FB,46)*100</f>
        <v>69.73</v>
      </c>
      <c r="J80" s="51">
        <f>VLOOKUP($A80,'Data Vlaue (Cr)'!$C:$FB,59)</f>
        <v>312</v>
      </c>
      <c r="K80" s="51">
        <f>VLOOKUP($A80,'Data Vlaue (Cr)'!$C:$FB,60)</f>
        <v>720</v>
      </c>
      <c r="L80" s="51">
        <f>VLOOKUP($A80,'Data Vlaue (Cr)'!$C:$FB,62)*100</f>
        <v>-56.65</v>
      </c>
      <c r="M80" s="51">
        <f>VLOOKUP($A80,'Data Vlaue (Cr)'!$C:$FB,63)</f>
        <v>230</v>
      </c>
      <c r="N80" s="51">
        <f>VLOOKUP($A80,'Data Vlaue (Cr)'!$C:$FB,64)</f>
        <v>329</v>
      </c>
      <c r="O80" s="51">
        <f>VLOOKUP($A80,'Data Vlaue (Cr)'!$C:$FB,66)*100</f>
        <v>-30.14</v>
      </c>
    </row>
    <row r="81" spans="1:15" x14ac:dyDescent="0.25">
      <c r="A81" s="101" t="str">
        <f>'Data Vlaue (Cr)'!C76</f>
        <v>HAL</v>
      </c>
      <c r="B81" s="50">
        <f>VLOOKUP($A81,'Data Vlaue (Cr)'!$C:$FB,8)</f>
        <v>4352.5</v>
      </c>
      <c r="C81" s="50">
        <f>VLOOKUP($A81,'Data Vlaue (Cr)'!$C:$FB,11)*100</f>
        <v>-1.0900000000000001</v>
      </c>
      <c r="D81" s="50">
        <f>VLOOKUP($A81,'Data Vlaue (Cr)'!$C:$FB,143)</f>
        <v>4286.17</v>
      </c>
      <c r="E81" s="50">
        <f>VLOOKUP($A81,'Data Vlaue (Cr)'!$C:$FB,144)</f>
        <v>4219.7299999999996</v>
      </c>
      <c r="F81" s="50">
        <f>VLOOKUP($A81,'Data Vlaue (Cr)'!$C:$FB,146)*100</f>
        <v>1.5699999999999998</v>
      </c>
      <c r="G81" s="49">
        <f>VLOOKUP($A81,'Data Vlaue (Cr)'!$C:$FB,43)</f>
        <v>1178</v>
      </c>
      <c r="H81" s="49">
        <f>VLOOKUP($A81,'Data Vlaue (Cr)'!$C:$FB,44)</f>
        <v>897</v>
      </c>
      <c r="I81" s="49">
        <f>VLOOKUP($A81,'Data Vlaue (Cr)'!$C:$FB,46)*100</f>
        <v>31.34</v>
      </c>
      <c r="J81" s="51">
        <f>VLOOKUP($A81,'Data Vlaue (Cr)'!$C:$FB,59)</f>
        <v>1999</v>
      </c>
      <c r="K81" s="51">
        <f>VLOOKUP($A81,'Data Vlaue (Cr)'!$C:$FB,60)</f>
        <v>2181</v>
      </c>
      <c r="L81" s="51">
        <f>VLOOKUP($A81,'Data Vlaue (Cr)'!$C:$FB,62)*100</f>
        <v>-8.35</v>
      </c>
      <c r="M81" s="51">
        <f>VLOOKUP($A81,'Data Vlaue (Cr)'!$C:$FB,63)</f>
        <v>1059</v>
      </c>
      <c r="N81" s="51">
        <f>VLOOKUP($A81,'Data Vlaue (Cr)'!$C:$FB,64)</f>
        <v>1082</v>
      </c>
      <c r="O81" s="51">
        <f>VLOOKUP($A81,'Data Vlaue (Cr)'!$C:$FB,66)*100</f>
        <v>-2.13</v>
      </c>
    </row>
    <row r="82" spans="1:15" x14ac:dyDescent="0.25">
      <c r="A82" s="101" t="str">
        <f>'Data Vlaue (Cr)'!C77</f>
        <v>HAVELLS</v>
      </c>
      <c r="B82" s="50">
        <f>VLOOKUP($A82,'Data Vlaue (Cr)'!$C:$FB,8)</f>
        <v>1260.3</v>
      </c>
      <c r="C82" s="50">
        <f>VLOOKUP($A82,'Data Vlaue (Cr)'!$C:$FB,11)*100</f>
        <v>-6.5500000000000007</v>
      </c>
      <c r="D82" s="50">
        <f>VLOOKUP($A82,'Data Vlaue (Cr)'!$C:$FB,143)</f>
        <v>12527.97</v>
      </c>
      <c r="E82" s="50">
        <f>VLOOKUP($A82,'Data Vlaue (Cr)'!$C:$FB,144)</f>
        <v>18254.04</v>
      </c>
      <c r="F82" s="50">
        <f>VLOOKUP($A82,'Data Vlaue (Cr)'!$C:$FB,146)*100</f>
        <v>-31.369999999999997</v>
      </c>
      <c r="G82" s="49">
        <f>VLOOKUP($A82,'Data Vlaue (Cr)'!$C:$FB,43)</f>
        <v>1921</v>
      </c>
      <c r="H82" s="49">
        <f>VLOOKUP($A82,'Data Vlaue (Cr)'!$C:$FB,44)</f>
        <v>1736</v>
      </c>
      <c r="I82" s="49">
        <f>VLOOKUP($A82,'Data Vlaue (Cr)'!$C:$FB,46)*100</f>
        <v>10.66</v>
      </c>
      <c r="J82" s="51">
        <f>VLOOKUP($A82,'Data Vlaue (Cr)'!$C:$FB,59)</f>
        <v>6164</v>
      </c>
      <c r="K82" s="51">
        <f>VLOOKUP($A82,'Data Vlaue (Cr)'!$C:$FB,60)</f>
        <v>10295</v>
      </c>
      <c r="L82" s="51">
        <f>VLOOKUP($A82,'Data Vlaue (Cr)'!$C:$FB,62)*100</f>
        <v>-40.129999999999995</v>
      </c>
      <c r="M82" s="51">
        <f>VLOOKUP($A82,'Data Vlaue (Cr)'!$C:$FB,63)</f>
        <v>3782</v>
      </c>
      <c r="N82" s="51">
        <f>VLOOKUP($A82,'Data Vlaue (Cr)'!$C:$FB,64)</f>
        <v>4264</v>
      </c>
      <c r="O82" s="51">
        <f>VLOOKUP($A82,'Data Vlaue (Cr)'!$C:$FB,66)*100</f>
        <v>-11.31</v>
      </c>
    </row>
    <row r="83" spans="1:15" x14ac:dyDescent="0.25">
      <c r="A83" s="101" t="str">
        <f>'Data Vlaue (Cr)'!C78</f>
        <v>HCLTECH</v>
      </c>
      <c r="B83" s="50">
        <f>VLOOKUP($A83,'Data Vlaue (Cr)'!$C:$FB,8)</f>
        <v>1277.5999999999999</v>
      </c>
      <c r="C83" s="50">
        <f>VLOOKUP($A83,'Data Vlaue (Cr)'!$C:$FB,11)*100</f>
        <v>-0.6</v>
      </c>
      <c r="D83" s="50">
        <f>VLOOKUP($A83,'Data Vlaue (Cr)'!$C:$FB,143)</f>
        <v>17802.18</v>
      </c>
      <c r="E83" s="50">
        <f>VLOOKUP($A83,'Data Vlaue (Cr)'!$C:$FB,144)</f>
        <v>39517.86</v>
      </c>
      <c r="F83" s="50">
        <f>VLOOKUP($A83,'Data Vlaue (Cr)'!$C:$FB,146)*100</f>
        <v>-54.949999999999996</v>
      </c>
      <c r="G83" s="49">
        <f>VLOOKUP($A83,'Data Vlaue (Cr)'!$C:$FB,43)</f>
        <v>4603</v>
      </c>
      <c r="H83" s="49">
        <f>VLOOKUP($A83,'Data Vlaue (Cr)'!$C:$FB,44)</f>
        <v>5326</v>
      </c>
      <c r="I83" s="49">
        <f>VLOOKUP($A83,'Data Vlaue (Cr)'!$C:$FB,46)*100</f>
        <v>-13.58</v>
      </c>
      <c r="J83" s="51">
        <f>VLOOKUP($A83,'Data Vlaue (Cr)'!$C:$FB,59)</f>
        <v>9203</v>
      </c>
      <c r="K83" s="51">
        <f>VLOOKUP($A83,'Data Vlaue (Cr)'!$C:$FB,60)</f>
        <v>19317</v>
      </c>
      <c r="L83" s="51">
        <f>VLOOKUP($A83,'Data Vlaue (Cr)'!$C:$FB,62)*100</f>
        <v>-52.359999999999992</v>
      </c>
      <c r="M83" s="51">
        <f>VLOOKUP($A83,'Data Vlaue (Cr)'!$C:$FB,63)</f>
        <v>3376</v>
      </c>
      <c r="N83" s="51">
        <f>VLOOKUP($A83,'Data Vlaue (Cr)'!$C:$FB,64)</f>
        <v>12323</v>
      </c>
      <c r="O83" s="51">
        <f>VLOOKUP($A83,'Data Vlaue (Cr)'!$C:$FB,66)*100</f>
        <v>-72.61</v>
      </c>
    </row>
    <row r="84" spans="1:15" x14ac:dyDescent="0.25">
      <c r="A84" s="101" t="str">
        <f>'Data Vlaue (Cr)'!C79</f>
        <v>HDFCAMC</v>
      </c>
      <c r="B84" s="50">
        <f>VLOOKUP($A84,'Data Vlaue (Cr)'!$C:$FB,8)</f>
        <v>2708.2</v>
      </c>
      <c r="C84" s="50">
        <f>VLOOKUP($A84,'Data Vlaue (Cr)'!$C:$FB,11)*100</f>
        <v>-2.1</v>
      </c>
      <c r="D84" s="50">
        <f>VLOOKUP($A84,'Data Vlaue (Cr)'!$C:$FB,143)</f>
        <v>2378.83</v>
      </c>
      <c r="E84" s="50">
        <f>VLOOKUP($A84,'Data Vlaue (Cr)'!$C:$FB,144)</f>
        <v>1518.25</v>
      </c>
      <c r="F84" s="50">
        <f>VLOOKUP($A84,'Data Vlaue (Cr)'!$C:$FB,146)*100</f>
        <v>56.68</v>
      </c>
      <c r="G84" s="49">
        <f>VLOOKUP($A84,'Data Vlaue (Cr)'!$C:$FB,43)</f>
        <v>959</v>
      </c>
      <c r="H84" s="49">
        <f>VLOOKUP($A84,'Data Vlaue (Cr)'!$C:$FB,44)</f>
        <v>246</v>
      </c>
      <c r="I84" s="49">
        <f>VLOOKUP($A84,'Data Vlaue (Cr)'!$C:$FB,46)*100</f>
        <v>290.33000000000004</v>
      </c>
      <c r="J84" s="51">
        <f>VLOOKUP($A84,'Data Vlaue (Cr)'!$C:$FB,59)</f>
        <v>725</v>
      </c>
      <c r="K84" s="51">
        <f>VLOOKUP($A84,'Data Vlaue (Cr)'!$C:$FB,60)</f>
        <v>658</v>
      </c>
      <c r="L84" s="51">
        <f>VLOOKUP($A84,'Data Vlaue (Cr)'!$C:$FB,62)*100</f>
        <v>10.26</v>
      </c>
      <c r="M84" s="51">
        <f>VLOOKUP($A84,'Data Vlaue (Cr)'!$C:$FB,63)</f>
        <v>659</v>
      </c>
      <c r="N84" s="51">
        <f>VLOOKUP($A84,'Data Vlaue (Cr)'!$C:$FB,64)</f>
        <v>572</v>
      </c>
      <c r="O84" s="51">
        <f>VLOOKUP($A84,'Data Vlaue (Cr)'!$C:$FB,66)*100</f>
        <v>15.28</v>
      </c>
    </row>
    <row r="85" spans="1:15" x14ac:dyDescent="0.25">
      <c r="A85" s="101" t="str">
        <f>'Data Vlaue (Cr)'!C80</f>
        <v>HDFCBANK</v>
      </c>
      <c r="B85" s="50">
        <f>VLOOKUP($A85,'Data Vlaue (Cr)'!$C:$FB,8)</f>
        <v>784.35</v>
      </c>
      <c r="C85" s="50">
        <f>VLOOKUP($A85,'Data Vlaue (Cr)'!$C:$FB,11)*100</f>
        <v>-1.94</v>
      </c>
      <c r="D85" s="50">
        <f>VLOOKUP($A85,'Data Vlaue (Cr)'!$C:$FB,143)</f>
        <v>28709.61</v>
      </c>
      <c r="E85" s="50">
        <f>VLOOKUP($A85,'Data Vlaue (Cr)'!$C:$FB,144)</f>
        <v>19575.48</v>
      </c>
      <c r="F85" s="50">
        <f>VLOOKUP($A85,'Data Vlaue (Cr)'!$C:$FB,146)*100</f>
        <v>46.660000000000004</v>
      </c>
      <c r="G85" s="49">
        <f>VLOOKUP($A85,'Data Vlaue (Cr)'!$C:$FB,43)</f>
        <v>10501</v>
      </c>
      <c r="H85" s="49">
        <f>VLOOKUP($A85,'Data Vlaue (Cr)'!$C:$FB,44)</f>
        <v>4557</v>
      </c>
      <c r="I85" s="49">
        <f>VLOOKUP($A85,'Data Vlaue (Cr)'!$C:$FB,46)*100</f>
        <v>130.42000000000002</v>
      </c>
      <c r="J85" s="51">
        <f>VLOOKUP($A85,'Data Vlaue (Cr)'!$C:$FB,59)</f>
        <v>11100</v>
      </c>
      <c r="K85" s="51">
        <f>VLOOKUP($A85,'Data Vlaue (Cr)'!$C:$FB,60)</f>
        <v>8611</v>
      </c>
      <c r="L85" s="51">
        <f>VLOOKUP($A85,'Data Vlaue (Cr)'!$C:$FB,62)*100</f>
        <v>28.9</v>
      </c>
      <c r="M85" s="51">
        <f>VLOOKUP($A85,'Data Vlaue (Cr)'!$C:$FB,63)</f>
        <v>6511</v>
      </c>
      <c r="N85" s="51">
        <f>VLOOKUP($A85,'Data Vlaue (Cr)'!$C:$FB,64)</f>
        <v>5635</v>
      </c>
      <c r="O85" s="51">
        <f>VLOOKUP($A85,'Data Vlaue (Cr)'!$C:$FB,66)*100</f>
        <v>15.559999999999999</v>
      </c>
    </row>
    <row r="86" spans="1:15" x14ac:dyDescent="0.25">
      <c r="A86" s="101" t="str">
        <f>'Data Vlaue (Cr)'!C81</f>
        <v>HDFCLIFE</v>
      </c>
      <c r="B86" s="50">
        <f>VLOOKUP($A86,'Data Vlaue (Cr)'!$C:$FB,8)</f>
        <v>598.65</v>
      </c>
      <c r="C86" s="50">
        <f>VLOOKUP($A86,'Data Vlaue (Cr)'!$C:$FB,11)*100</f>
        <v>-0.89</v>
      </c>
      <c r="D86" s="50">
        <f>VLOOKUP($A86,'Data Vlaue (Cr)'!$C:$FB,143)</f>
        <v>3792.56</v>
      </c>
      <c r="E86" s="50">
        <f>VLOOKUP($A86,'Data Vlaue (Cr)'!$C:$FB,144)</f>
        <v>3068.87</v>
      </c>
      <c r="F86" s="50">
        <f>VLOOKUP($A86,'Data Vlaue (Cr)'!$C:$FB,146)*100</f>
        <v>23.580000000000002</v>
      </c>
      <c r="G86" s="49">
        <f>VLOOKUP($A86,'Data Vlaue (Cr)'!$C:$FB,43)</f>
        <v>1055</v>
      </c>
      <c r="H86" s="49">
        <f>VLOOKUP($A86,'Data Vlaue (Cr)'!$C:$FB,44)</f>
        <v>718</v>
      </c>
      <c r="I86" s="49">
        <f>VLOOKUP($A86,'Data Vlaue (Cr)'!$C:$FB,46)*100</f>
        <v>47.02</v>
      </c>
      <c r="J86" s="51">
        <f>VLOOKUP($A86,'Data Vlaue (Cr)'!$C:$FB,59)</f>
        <v>1824</v>
      </c>
      <c r="K86" s="51">
        <f>VLOOKUP($A86,'Data Vlaue (Cr)'!$C:$FB,60)</f>
        <v>1564</v>
      </c>
      <c r="L86" s="51">
        <f>VLOOKUP($A86,'Data Vlaue (Cr)'!$C:$FB,62)*100</f>
        <v>16.650000000000002</v>
      </c>
      <c r="M86" s="51">
        <f>VLOOKUP($A86,'Data Vlaue (Cr)'!$C:$FB,63)</f>
        <v>811</v>
      </c>
      <c r="N86" s="51">
        <f>VLOOKUP($A86,'Data Vlaue (Cr)'!$C:$FB,64)</f>
        <v>660</v>
      </c>
      <c r="O86" s="51">
        <f>VLOOKUP($A86,'Data Vlaue (Cr)'!$C:$FB,66)*100</f>
        <v>22.75</v>
      </c>
    </row>
    <row r="87" spans="1:15" x14ac:dyDescent="0.25">
      <c r="A87" s="101" t="str">
        <f>'Data Vlaue (Cr)'!C82</f>
        <v>HEROMOTOCO</v>
      </c>
      <c r="B87" s="50">
        <f>VLOOKUP($A87,'Data Vlaue (Cr)'!$C:$FB,8)</f>
        <v>5032</v>
      </c>
      <c r="C87" s="50">
        <f>VLOOKUP($A87,'Data Vlaue (Cr)'!$C:$FB,11)*100</f>
        <v>-3.0300000000000002</v>
      </c>
      <c r="D87" s="50">
        <f>VLOOKUP($A87,'Data Vlaue (Cr)'!$C:$FB,143)</f>
        <v>5582.18</v>
      </c>
      <c r="E87" s="50">
        <f>VLOOKUP($A87,'Data Vlaue (Cr)'!$C:$FB,144)</f>
        <v>2489.1999999999998</v>
      </c>
      <c r="F87" s="50">
        <f>VLOOKUP($A87,'Data Vlaue (Cr)'!$C:$FB,146)*100</f>
        <v>124.25999999999999</v>
      </c>
      <c r="G87" s="49">
        <f>VLOOKUP($A87,'Data Vlaue (Cr)'!$C:$FB,43)</f>
        <v>1503</v>
      </c>
      <c r="H87" s="49">
        <f>VLOOKUP($A87,'Data Vlaue (Cr)'!$C:$FB,44)</f>
        <v>353</v>
      </c>
      <c r="I87" s="49">
        <f>VLOOKUP($A87,'Data Vlaue (Cr)'!$C:$FB,46)*100</f>
        <v>325.91000000000003</v>
      </c>
      <c r="J87" s="51">
        <f>VLOOKUP($A87,'Data Vlaue (Cr)'!$C:$FB,59)</f>
        <v>2721</v>
      </c>
      <c r="K87" s="51">
        <f>VLOOKUP($A87,'Data Vlaue (Cr)'!$C:$FB,60)</f>
        <v>1442</v>
      </c>
      <c r="L87" s="51">
        <f>VLOOKUP($A87,'Data Vlaue (Cr)'!$C:$FB,62)*100</f>
        <v>88.649999999999991</v>
      </c>
      <c r="M87" s="51">
        <f>VLOOKUP($A87,'Data Vlaue (Cr)'!$C:$FB,63)</f>
        <v>1157</v>
      </c>
      <c r="N87" s="51">
        <f>VLOOKUP($A87,'Data Vlaue (Cr)'!$C:$FB,64)</f>
        <v>538</v>
      </c>
      <c r="O87" s="51">
        <f>VLOOKUP($A87,'Data Vlaue (Cr)'!$C:$FB,66)*100</f>
        <v>115.09</v>
      </c>
    </row>
    <row r="88" spans="1:15" x14ac:dyDescent="0.25">
      <c r="A88" s="101" t="str">
        <f>'Data Vlaue (Cr)'!C83</f>
        <v>HINDALCO</v>
      </c>
      <c r="B88" s="50">
        <f>VLOOKUP($A88,'Data Vlaue (Cr)'!$C:$FB,8)</f>
        <v>1041.3499999999999</v>
      </c>
      <c r="C88" s="50">
        <f>VLOOKUP($A88,'Data Vlaue (Cr)'!$C:$FB,11)*100</f>
        <v>0.13999999999999999</v>
      </c>
      <c r="D88" s="50">
        <f>VLOOKUP($A88,'Data Vlaue (Cr)'!$C:$FB,143)</f>
        <v>6412.94</v>
      </c>
      <c r="E88" s="50">
        <f>VLOOKUP($A88,'Data Vlaue (Cr)'!$C:$FB,144)</f>
        <v>5650.4</v>
      </c>
      <c r="F88" s="50">
        <f>VLOOKUP($A88,'Data Vlaue (Cr)'!$C:$FB,146)*100</f>
        <v>13.5</v>
      </c>
      <c r="G88" s="49">
        <f>VLOOKUP($A88,'Data Vlaue (Cr)'!$C:$FB,43)</f>
        <v>2045</v>
      </c>
      <c r="H88" s="49">
        <f>VLOOKUP($A88,'Data Vlaue (Cr)'!$C:$FB,44)</f>
        <v>909</v>
      </c>
      <c r="I88" s="49">
        <f>VLOOKUP($A88,'Data Vlaue (Cr)'!$C:$FB,46)*100</f>
        <v>124.91000000000001</v>
      </c>
      <c r="J88" s="51">
        <f>VLOOKUP($A88,'Data Vlaue (Cr)'!$C:$FB,59)</f>
        <v>2777</v>
      </c>
      <c r="K88" s="51">
        <f>VLOOKUP($A88,'Data Vlaue (Cr)'!$C:$FB,60)</f>
        <v>3232</v>
      </c>
      <c r="L88" s="51">
        <f>VLOOKUP($A88,'Data Vlaue (Cr)'!$C:$FB,62)*100</f>
        <v>-14.069999999999999</v>
      </c>
      <c r="M88" s="51">
        <f>VLOOKUP($A88,'Data Vlaue (Cr)'!$C:$FB,63)</f>
        <v>1526</v>
      </c>
      <c r="N88" s="51">
        <f>VLOOKUP($A88,'Data Vlaue (Cr)'!$C:$FB,64)</f>
        <v>1482</v>
      </c>
      <c r="O88" s="51">
        <f>VLOOKUP($A88,'Data Vlaue (Cr)'!$C:$FB,66)*100</f>
        <v>2.98</v>
      </c>
    </row>
    <row r="89" spans="1:15" x14ac:dyDescent="0.25">
      <c r="A89" s="101" t="str">
        <f>'Data Vlaue (Cr)'!C84</f>
        <v>HINDPETRO</v>
      </c>
      <c r="B89" s="50">
        <f>VLOOKUP($A89,'Data Vlaue (Cr)'!$C:$FB,8)</f>
        <v>376.9</v>
      </c>
      <c r="C89" s="50">
        <f>VLOOKUP($A89,'Data Vlaue (Cr)'!$C:$FB,11)*100</f>
        <v>-1.48</v>
      </c>
      <c r="D89" s="50">
        <f>VLOOKUP($A89,'Data Vlaue (Cr)'!$C:$FB,143)</f>
        <v>2739.16</v>
      </c>
      <c r="E89" s="50">
        <f>VLOOKUP($A89,'Data Vlaue (Cr)'!$C:$FB,144)</f>
        <v>1836.33</v>
      </c>
      <c r="F89" s="50">
        <f>VLOOKUP($A89,'Data Vlaue (Cr)'!$C:$FB,146)*100</f>
        <v>49.17</v>
      </c>
      <c r="G89" s="49">
        <f>VLOOKUP($A89,'Data Vlaue (Cr)'!$C:$FB,43)</f>
        <v>1037</v>
      </c>
      <c r="H89" s="49">
        <f>VLOOKUP($A89,'Data Vlaue (Cr)'!$C:$FB,44)</f>
        <v>405</v>
      </c>
      <c r="I89" s="49">
        <f>VLOOKUP($A89,'Data Vlaue (Cr)'!$C:$FB,46)*100</f>
        <v>156.22999999999999</v>
      </c>
      <c r="J89" s="51">
        <f>VLOOKUP($A89,'Data Vlaue (Cr)'!$C:$FB,59)</f>
        <v>808</v>
      </c>
      <c r="K89" s="51">
        <f>VLOOKUP($A89,'Data Vlaue (Cr)'!$C:$FB,60)</f>
        <v>766</v>
      </c>
      <c r="L89" s="51">
        <f>VLOOKUP($A89,'Data Vlaue (Cr)'!$C:$FB,62)*100</f>
        <v>5.4</v>
      </c>
      <c r="M89" s="51">
        <f>VLOOKUP($A89,'Data Vlaue (Cr)'!$C:$FB,63)</f>
        <v>875</v>
      </c>
      <c r="N89" s="51">
        <f>VLOOKUP($A89,'Data Vlaue (Cr)'!$C:$FB,64)</f>
        <v>613</v>
      </c>
      <c r="O89" s="51">
        <f>VLOOKUP($A89,'Data Vlaue (Cr)'!$C:$FB,66)*100</f>
        <v>42.65</v>
      </c>
    </row>
    <row r="90" spans="1:15" x14ac:dyDescent="0.25">
      <c r="A90" s="101" t="str">
        <f>'Data Vlaue (Cr)'!C85</f>
        <v>HINDUNILVR</v>
      </c>
      <c r="B90" s="50">
        <f>VLOOKUP($A90,'Data Vlaue (Cr)'!$C:$FB,8)</f>
        <v>2366.4</v>
      </c>
      <c r="C90" s="50">
        <f>VLOOKUP($A90,'Data Vlaue (Cr)'!$C:$FB,11)*100</f>
        <v>-0.1</v>
      </c>
      <c r="D90" s="50">
        <f>VLOOKUP($A90,'Data Vlaue (Cr)'!$C:$FB,143)</f>
        <v>9976.82</v>
      </c>
      <c r="E90" s="50">
        <f>VLOOKUP($A90,'Data Vlaue (Cr)'!$C:$FB,144)</f>
        <v>19215.02</v>
      </c>
      <c r="F90" s="50">
        <f>VLOOKUP($A90,'Data Vlaue (Cr)'!$C:$FB,146)*100</f>
        <v>-48.08</v>
      </c>
      <c r="G90" s="49">
        <f>VLOOKUP($A90,'Data Vlaue (Cr)'!$C:$FB,43)</f>
        <v>3240</v>
      </c>
      <c r="H90" s="49">
        <f>VLOOKUP($A90,'Data Vlaue (Cr)'!$C:$FB,44)</f>
        <v>1369</v>
      </c>
      <c r="I90" s="49">
        <f>VLOOKUP($A90,'Data Vlaue (Cr)'!$C:$FB,46)*100</f>
        <v>136.67000000000002</v>
      </c>
      <c r="J90" s="51">
        <f>VLOOKUP($A90,'Data Vlaue (Cr)'!$C:$FB,59)</f>
        <v>4134</v>
      </c>
      <c r="K90" s="51">
        <f>VLOOKUP($A90,'Data Vlaue (Cr)'!$C:$FB,60)</f>
        <v>12114</v>
      </c>
      <c r="L90" s="51">
        <f>VLOOKUP($A90,'Data Vlaue (Cr)'!$C:$FB,62)*100</f>
        <v>-65.86999999999999</v>
      </c>
      <c r="M90" s="51">
        <f>VLOOKUP($A90,'Data Vlaue (Cr)'!$C:$FB,63)</f>
        <v>2507</v>
      </c>
      <c r="N90" s="51">
        <f>VLOOKUP($A90,'Data Vlaue (Cr)'!$C:$FB,64)</f>
        <v>5515</v>
      </c>
      <c r="O90" s="51">
        <f>VLOOKUP($A90,'Data Vlaue (Cr)'!$C:$FB,66)*100</f>
        <v>-54.54</v>
      </c>
    </row>
    <row r="91" spans="1:15" x14ac:dyDescent="0.25">
      <c r="A91" s="101" t="str">
        <f>'Data Vlaue (Cr)'!C86</f>
        <v>HINDZINC</v>
      </c>
      <c r="B91" s="50">
        <f>VLOOKUP($A91,'Data Vlaue (Cr)'!$C:$FB,8)</f>
        <v>592.1</v>
      </c>
      <c r="C91" s="50">
        <f>VLOOKUP($A91,'Data Vlaue (Cr)'!$C:$FB,11)*100</f>
        <v>-2.09</v>
      </c>
      <c r="D91" s="50">
        <f>VLOOKUP($A91,'Data Vlaue (Cr)'!$C:$FB,143)</f>
        <v>4012.61</v>
      </c>
      <c r="E91" s="50">
        <f>VLOOKUP($A91,'Data Vlaue (Cr)'!$C:$FB,144)</f>
        <v>5204.1899999999996</v>
      </c>
      <c r="F91" s="50">
        <f>VLOOKUP($A91,'Data Vlaue (Cr)'!$C:$FB,146)*100</f>
        <v>-22.900000000000002</v>
      </c>
      <c r="G91" s="49">
        <f>VLOOKUP($A91,'Data Vlaue (Cr)'!$C:$FB,43)</f>
        <v>1312</v>
      </c>
      <c r="H91" s="49">
        <f>VLOOKUP($A91,'Data Vlaue (Cr)'!$C:$FB,44)</f>
        <v>931</v>
      </c>
      <c r="I91" s="49">
        <f>VLOOKUP($A91,'Data Vlaue (Cr)'!$C:$FB,46)*100</f>
        <v>41.010000000000005</v>
      </c>
      <c r="J91" s="51">
        <f>VLOOKUP($A91,'Data Vlaue (Cr)'!$C:$FB,59)</f>
        <v>1787</v>
      </c>
      <c r="K91" s="51">
        <f>VLOOKUP($A91,'Data Vlaue (Cr)'!$C:$FB,60)</f>
        <v>2980</v>
      </c>
      <c r="L91" s="51">
        <f>VLOOKUP($A91,'Data Vlaue (Cr)'!$C:$FB,62)*100</f>
        <v>-40.04</v>
      </c>
      <c r="M91" s="51">
        <f>VLOOKUP($A91,'Data Vlaue (Cr)'!$C:$FB,63)</f>
        <v>838</v>
      </c>
      <c r="N91" s="51">
        <f>VLOOKUP($A91,'Data Vlaue (Cr)'!$C:$FB,64)</f>
        <v>1155</v>
      </c>
      <c r="O91" s="51">
        <f>VLOOKUP($A91,'Data Vlaue (Cr)'!$C:$FB,66)*100</f>
        <v>-27.42</v>
      </c>
    </row>
    <row r="92" spans="1:15" x14ac:dyDescent="0.25">
      <c r="A92" s="101" t="str">
        <f>'Data Vlaue (Cr)'!C87</f>
        <v>HUDCO</v>
      </c>
      <c r="B92" s="50">
        <f>VLOOKUP($A92,'Data Vlaue (Cr)'!$C:$FB,8)</f>
        <v>204.46</v>
      </c>
      <c r="C92" s="50">
        <f>VLOOKUP($A92,'Data Vlaue (Cr)'!$C:$FB,11)*100</f>
        <v>2.29</v>
      </c>
      <c r="D92" s="50">
        <f>VLOOKUP($A92,'Data Vlaue (Cr)'!$C:$FB,143)</f>
        <v>1074.3499999999999</v>
      </c>
      <c r="E92" s="50">
        <f>VLOOKUP($A92,'Data Vlaue (Cr)'!$C:$FB,144)</f>
        <v>447.13</v>
      </c>
      <c r="F92" s="50">
        <f>VLOOKUP($A92,'Data Vlaue (Cr)'!$C:$FB,146)*100</f>
        <v>140.28</v>
      </c>
      <c r="G92" s="49">
        <f>VLOOKUP($A92,'Data Vlaue (Cr)'!$C:$FB,43)</f>
        <v>138</v>
      </c>
      <c r="H92" s="49">
        <f>VLOOKUP($A92,'Data Vlaue (Cr)'!$C:$FB,44)</f>
        <v>90</v>
      </c>
      <c r="I92" s="49">
        <f>VLOOKUP($A92,'Data Vlaue (Cr)'!$C:$FB,46)*100</f>
        <v>53.349999999999994</v>
      </c>
      <c r="J92" s="51">
        <f>VLOOKUP($A92,'Data Vlaue (Cr)'!$C:$FB,59)</f>
        <v>644</v>
      </c>
      <c r="K92" s="51">
        <f>VLOOKUP($A92,'Data Vlaue (Cr)'!$C:$FB,60)</f>
        <v>269</v>
      </c>
      <c r="L92" s="51">
        <f>VLOOKUP($A92,'Data Vlaue (Cr)'!$C:$FB,62)*100</f>
        <v>139.20999999999998</v>
      </c>
      <c r="M92" s="51">
        <f>VLOOKUP($A92,'Data Vlaue (Cr)'!$C:$FB,63)</f>
        <v>289</v>
      </c>
      <c r="N92" s="51">
        <f>VLOOKUP($A92,'Data Vlaue (Cr)'!$C:$FB,64)</f>
        <v>92</v>
      </c>
      <c r="O92" s="51">
        <f>VLOOKUP($A92,'Data Vlaue (Cr)'!$C:$FB,66)*100</f>
        <v>214.34000000000003</v>
      </c>
    </row>
    <row r="93" spans="1:15" x14ac:dyDescent="0.25">
      <c r="A93" s="101" t="str">
        <f>'Data Vlaue (Cr)'!C88</f>
        <v>HYUNDAI</v>
      </c>
      <c r="B93" s="50">
        <f>VLOOKUP($A93,'Data Vlaue (Cr)'!$C:$FB,8)</f>
        <v>1844.2</v>
      </c>
      <c r="C93" s="50">
        <f>VLOOKUP($A93,'Data Vlaue (Cr)'!$C:$FB,11)*100</f>
        <v>-0.28999999999999998</v>
      </c>
      <c r="D93" s="50">
        <f>VLOOKUP($A93,'Data Vlaue (Cr)'!$C:$FB,143)</f>
        <v>1860.88</v>
      </c>
      <c r="E93" s="50">
        <f>VLOOKUP($A93,'Data Vlaue (Cr)'!$C:$FB,144)</f>
        <v>559.34</v>
      </c>
      <c r="F93" s="50">
        <f>VLOOKUP($A93,'Data Vlaue (Cr)'!$C:$FB,146)*100</f>
        <v>232.69000000000003</v>
      </c>
      <c r="G93" s="49">
        <f>VLOOKUP($A93,'Data Vlaue (Cr)'!$C:$FB,43)</f>
        <v>1400</v>
      </c>
      <c r="H93" s="49">
        <f>VLOOKUP($A93,'Data Vlaue (Cr)'!$C:$FB,44)</f>
        <v>332</v>
      </c>
      <c r="I93" s="49">
        <f>VLOOKUP($A93,'Data Vlaue (Cr)'!$C:$FB,46)*100</f>
        <v>321.33</v>
      </c>
      <c r="J93" s="51">
        <f>VLOOKUP($A93,'Data Vlaue (Cr)'!$C:$FB,59)</f>
        <v>358</v>
      </c>
      <c r="K93" s="51">
        <f>VLOOKUP($A93,'Data Vlaue (Cr)'!$C:$FB,60)</f>
        <v>171</v>
      </c>
      <c r="L93" s="51">
        <f>VLOOKUP($A93,'Data Vlaue (Cr)'!$C:$FB,62)*100</f>
        <v>110.1</v>
      </c>
      <c r="M93" s="51">
        <f>VLOOKUP($A93,'Data Vlaue (Cr)'!$C:$FB,63)</f>
        <v>123</v>
      </c>
      <c r="N93" s="51">
        <f>VLOOKUP($A93,'Data Vlaue (Cr)'!$C:$FB,64)</f>
        <v>46</v>
      </c>
      <c r="O93" s="51">
        <f>VLOOKUP($A93,'Data Vlaue (Cr)'!$C:$FB,66)*100</f>
        <v>165.39</v>
      </c>
    </row>
    <row r="94" spans="1:15" x14ac:dyDescent="0.25">
      <c r="A94" s="101" t="str">
        <f>'Data Vlaue (Cr)'!C89</f>
        <v>ICICIBANK</v>
      </c>
      <c r="B94" s="50">
        <f>VLOOKUP($A94,'Data Vlaue (Cr)'!$C:$FB,8)</f>
        <v>1348</v>
      </c>
      <c r="C94" s="50">
        <f>VLOOKUP($A94,'Data Vlaue (Cr)'!$C:$FB,11)*100</f>
        <v>-1.43</v>
      </c>
      <c r="D94" s="50">
        <f>VLOOKUP($A94,'Data Vlaue (Cr)'!$C:$FB,143)</f>
        <v>21215.72</v>
      </c>
      <c r="E94" s="50">
        <f>VLOOKUP($A94,'Data Vlaue (Cr)'!$C:$FB,144)</f>
        <v>16166.3</v>
      </c>
      <c r="F94" s="50">
        <f>VLOOKUP($A94,'Data Vlaue (Cr)'!$C:$FB,146)*100</f>
        <v>31.230000000000004</v>
      </c>
      <c r="G94" s="49">
        <f>VLOOKUP($A94,'Data Vlaue (Cr)'!$C:$FB,43)</f>
        <v>7401</v>
      </c>
      <c r="H94" s="49">
        <f>VLOOKUP($A94,'Data Vlaue (Cr)'!$C:$FB,44)</f>
        <v>3227</v>
      </c>
      <c r="I94" s="49">
        <f>VLOOKUP($A94,'Data Vlaue (Cr)'!$C:$FB,46)*100</f>
        <v>129.34</v>
      </c>
      <c r="J94" s="51">
        <f>VLOOKUP($A94,'Data Vlaue (Cr)'!$C:$FB,59)</f>
        <v>8125</v>
      </c>
      <c r="K94" s="51">
        <f>VLOOKUP($A94,'Data Vlaue (Cr)'!$C:$FB,60)</f>
        <v>7322</v>
      </c>
      <c r="L94" s="51">
        <f>VLOOKUP($A94,'Data Vlaue (Cr)'!$C:$FB,62)*100</f>
        <v>10.97</v>
      </c>
      <c r="M94" s="51">
        <f>VLOOKUP($A94,'Data Vlaue (Cr)'!$C:$FB,63)</f>
        <v>5436</v>
      </c>
      <c r="N94" s="51">
        <f>VLOOKUP($A94,'Data Vlaue (Cr)'!$C:$FB,64)</f>
        <v>5203</v>
      </c>
      <c r="O94" s="51">
        <f>VLOOKUP($A94,'Data Vlaue (Cr)'!$C:$FB,66)*100</f>
        <v>4.4799999999999995</v>
      </c>
    </row>
    <row r="95" spans="1:15" x14ac:dyDescent="0.25">
      <c r="A95" s="101" t="str">
        <f>'Data Vlaue (Cr)'!C90</f>
        <v>ICICIGI</v>
      </c>
      <c r="B95" s="50">
        <f>VLOOKUP($A95,'Data Vlaue (Cr)'!$C:$FB,8)</f>
        <v>1809.9</v>
      </c>
      <c r="C95" s="50">
        <f>VLOOKUP($A95,'Data Vlaue (Cr)'!$C:$FB,11)*100</f>
        <v>-1.04</v>
      </c>
      <c r="D95" s="50">
        <f>VLOOKUP($A95,'Data Vlaue (Cr)'!$C:$FB,143)</f>
        <v>925.99</v>
      </c>
      <c r="E95" s="50">
        <f>VLOOKUP($A95,'Data Vlaue (Cr)'!$C:$FB,144)</f>
        <v>577.59</v>
      </c>
      <c r="F95" s="50">
        <f>VLOOKUP($A95,'Data Vlaue (Cr)'!$C:$FB,146)*100</f>
        <v>60.319999999999993</v>
      </c>
      <c r="G95" s="49">
        <f>VLOOKUP($A95,'Data Vlaue (Cr)'!$C:$FB,43)</f>
        <v>486</v>
      </c>
      <c r="H95" s="49">
        <f>VLOOKUP($A95,'Data Vlaue (Cr)'!$C:$FB,44)</f>
        <v>173</v>
      </c>
      <c r="I95" s="49">
        <f>VLOOKUP($A95,'Data Vlaue (Cr)'!$C:$FB,46)*100</f>
        <v>180.44</v>
      </c>
      <c r="J95" s="51">
        <f>VLOOKUP($A95,'Data Vlaue (Cr)'!$C:$FB,59)</f>
        <v>274</v>
      </c>
      <c r="K95" s="51">
        <f>VLOOKUP($A95,'Data Vlaue (Cr)'!$C:$FB,60)</f>
        <v>239</v>
      </c>
      <c r="L95" s="51">
        <f>VLOOKUP($A95,'Data Vlaue (Cr)'!$C:$FB,62)*100</f>
        <v>14.66</v>
      </c>
      <c r="M95" s="51">
        <f>VLOOKUP($A95,'Data Vlaue (Cr)'!$C:$FB,63)</f>
        <v>147</v>
      </c>
      <c r="N95" s="51">
        <f>VLOOKUP($A95,'Data Vlaue (Cr)'!$C:$FB,64)</f>
        <v>150</v>
      </c>
      <c r="O95" s="51">
        <f>VLOOKUP($A95,'Data Vlaue (Cr)'!$C:$FB,66)*100</f>
        <v>-2.04</v>
      </c>
    </row>
    <row r="96" spans="1:15" x14ac:dyDescent="0.25">
      <c r="A96" s="101" t="str">
        <f>'Data Vlaue (Cr)'!C91</f>
        <v>ICICIPRULI</v>
      </c>
      <c r="B96" s="50">
        <f>VLOOKUP($A96,'Data Vlaue (Cr)'!$C:$FB,8)</f>
        <v>535.29999999999995</v>
      </c>
      <c r="C96" s="50">
        <f>VLOOKUP($A96,'Data Vlaue (Cr)'!$C:$FB,11)*100</f>
        <v>-0.88</v>
      </c>
      <c r="D96" s="50">
        <f>VLOOKUP($A96,'Data Vlaue (Cr)'!$C:$FB,143)</f>
        <v>1383.74</v>
      </c>
      <c r="E96" s="50">
        <f>VLOOKUP($A96,'Data Vlaue (Cr)'!$C:$FB,144)</f>
        <v>963.7</v>
      </c>
      <c r="F96" s="50">
        <f>VLOOKUP($A96,'Data Vlaue (Cr)'!$C:$FB,146)*100</f>
        <v>43.59</v>
      </c>
      <c r="G96" s="49">
        <f>VLOOKUP($A96,'Data Vlaue (Cr)'!$C:$FB,43)</f>
        <v>682</v>
      </c>
      <c r="H96" s="49">
        <f>VLOOKUP($A96,'Data Vlaue (Cr)'!$C:$FB,44)</f>
        <v>172</v>
      </c>
      <c r="I96" s="49">
        <f>VLOOKUP($A96,'Data Vlaue (Cr)'!$C:$FB,46)*100</f>
        <v>295.95</v>
      </c>
      <c r="J96" s="51">
        <f>VLOOKUP($A96,'Data Vlaue (Cr)'!$C:$FB,59)</f>
        <v>449</v>
      </c>
      <c r="K96" s="51">
        <f>VLOOKUP($A96,'Data Vlaue (Cr)'!$C:$FB,60)</f>
        <v>469</v>
      </c>
      <c r="L96" s="51">
        <f>VLOOKUP($A96,'Data Vlaue (Cr)'!$C:$FB,62)*100</f>
        <v>-4.34</v>
      </c>
      <c r="M96" s="51">
        <f>VLOOKUP($A96,'Data Vlaue (Cr)'!$C:$FB,63)</f>
        <v>229</v>
      </c>
      <c r="N96" s="51">
        <f>VLOOKUP($A96,'Data Vlaue (Cr)'!$C:$FB,64)</f>
        <v>283</v>
      </c>
      <c r="O96" s="51">
        <f>VLOOKUP($A96,'Data Vlaue (Cr)'!$C:$FB,66)*100</f>
        <v>-19.29</v>
      </c>
    </row>
    <row r="97" spans="1:15" x14ac:dyDescent="0.25">
      <c r="A97" s="101" t="str">
        <f>'Data Vlaue (Cr)'!C92</f>
        <v>IDEA</v>
      </c>
      <c r="B97" s="50">
        <f>VLOOKUP($A97,'Data Vlaue (Cr)'!$C:$FB,8)</f>
        <v>9.58</v>
      </c>
      <c r="C97" s="50">
        <f>VLOOKUP($A97,'Data Vlaue (Cr)'!$C:$FB,11)*100</f>
        <v>0.42</v>
      </c>
      <c r="D97" s="50">
        <f>VLOOKUP($A97,'Data Vlaue (Cr)'!$C:$FB,143)</f>
        <v>2932.27</v>
      </c>
      <c r="E97" s="50">
        <f>VLOOKUP($A97,'Data Vlaue (Cr)'!$C:$FB,144)</f>
        <v>2812.43</v>
      </c>
      <c r="F97" s="50">
        <f>VLOOKUP($A97,'Data Vlaue (Cr)'!$C:$FB,146)*100</f>
        <v>4.26</v>
      </c>
      <c r="G97" s="49">
        <f>VLOOKUP($A97,'Data Vlaue (Cr)'!$C:$FB,43)</f>
        <v>2025</v>
      </c>
      <c r="H97" s="49">
        <f>VLOOKUP($A97,'Data Vlaue (Cr)'!$C:$FB,44)</f>
        <v>1796</v>
      </c>
      <c r="I97" s="49">
        <f>VLOOKUP($A97,'Data Vlaue (Cr)'!$C:$FB,46)*100</f>
        <v>12.75</v>
      </c>
      <c r="J97" s="51">
        <f>VLOOKUP($A97,'Data Vlaue (Cr)'!$C:$FB,59)</f>
        <v>624</v>
      </c>
      <c r="K97" s="51">
        <f>VLOOKUP($A97,'Data Vlaue (Cr)'!$C:$FB,60)</f>
        <v>724</v>
      </c>
      <c r="L97" s="51">
        <f>VLOOKUP($A97,'Data Vlaue (Cr)'!$C:$FB,62)*100</f>
        <v>-13.76</v>
      </c>
      <c r="M97" s="51">
        <f>VLOOKUP($A97,'Data Vlaue (Cr)'!$C:$FB,63)</f>
        <v>224</v>
      </c>
      <c r="N97" s="51">
        <f>VLOOKUP($A97,'Data Vlaue (Cr)'!$C:$FB,64)</f>
        <v>218</v>
      </c>
      <c r="O97" s="51">
        <f>VLOOKUP($A97,'Data Vlaue (Cr)'!$C:$FB,66)*100</f>
        <v>2.5700000000000003</v>
      </c>
    </row>
    <row r="98" spans="1:15" x14ac:dyDescent="0.25">
      <c r="A98" s="101" t="str">
        <f>'Data Vlaue (Cr)'!C93</f>
        <v>IDFCFIRSTB</v>
      </c>
      <c r="B98" s="50">
        <f>VLOOKUP($A98,'Data Vlaue (Cr)'!$C:$FB,8)</f>
        <v>67.83</v>
      </c>
      <c r="C98" s="50">
        <f>VLOOKUP($A98,'Data Vlaue (Cr)'!$C:$FB,11)*100</f>
        <v>-0.8</v>
      </c>
      <c r="D98" s="50">
        <f>VLOOKUP($A98,'Data Vlaue (Cr)'!$C:$FB,143)</f>
        <v>2282.42</v>
      </c>
      <c r="E98" s="50">
        <f>VLOOKUP($A98,'Data Vlaue (Cr)'!$C:$FB,144)</f>
        <v>1314.39</v>
      </c>
      <c r="F98" s="50">
        <f>VLOOKUP($A98,'Data Vlaue (Cr)'!$C:$FB,146)*100</f>
        <v>73.650000000000006</v>
      </c>
      <c r="G98" s="49">
        <f>VLOOKUP($A98,'Data Vlaue (Cr)'!$C:$FB,43)</f>
        <v>1444</v>
      </c>
      <c r="H98" s="49">
        <f>VLOOKUP($A98,'Data Vlaue (Cr)'!$C:$FB,44)</f>
        <v>477</v>
      </c>
      <c r="I98" s="49">
        <f>VLOOKUP($A98,'Data Vlaue (Cr)'!$C:$FB,46)*100</f>
        <v>202.32000000000002</v>
      </c>
      <c r="J98" s="51">
        <f>VLOOKUP($A98,'Data Vlaue (Cr)'!$C:$FB,59)</f>
        <v>430</v>
      </c>
      <c r="K98" s="51">
        <f>VLOOKUP($A98,'Data Vlaue (Cr)'!$C:$FB,60)</f>
        <v>389</v>
      </c>
      <c r="L98" s="51">
        <f>VLOOKUP($A98,'Data Vlaue (Cr)'!$C:$FB,62)*100</f>
        <v>10.47</v>
      </c>
      <c r="M98" s="51">
        <f>VLOOKUP($A98,'Data Vlaue (Cr)'!$C:$FB,63)</f>
        <v>384</v>
      </c>
      <c r="N98" s="51">
        <f>VLOOKUP($A98,'Data Vlaue (Cr)'!$C:$FB,64)</f>
        <v>430</v>
      </c>
      <c r="O98" s="51">
        <f>VLOOKUP($A98,'Data Vlaue (Cr)'!$C:$FB,66)*100</f>
        <v>-10.79</v>
      </c>
    </row>
    <row r="99" spans="1:15" x14ac:dyDescent="0.25">
      <c r="A99" s="101" t="str">
        <f>'Data Vlaue (Cr)'!C94</f>
        <v>IEX</v>
      </c>
      <c r="B99" s="50">
        <f>VLOOKUP($A99,'Data Vlaue (Cr)'!$C:$FB,8)</f>
        <v>126.92</v>
      </c>
      <c r="C99" s="50">
        <f>VLOOKUP($A99,'Data Vlaue (Cr)'!$C:$FB,11)*100</f>
        <v>0.91</v>
      </c>
      <c r="D99" s="50">
        <f>VLOOKUP($A99,'Data Vlaue (Cr)'!$C:$FB,143)</f>
        <v>2949.31</v>
      </c>
      <c r="E99" s="50">
        <f>VLOOKUP($A99,'Data Vlaue (Cr)'!$C:$FB,144)</f>
        <v>959.17</v>
      </c>
      <c r="F99" s="50">
        <f>VLOOKUP($A99,'Data Vlaue (Cr)'!$C:$FB,146)*100</f>
        <v>207.48000000000002</v>
      </c>
      <c r="G99" s="49">
        <f>VLOOKUP($A99,'Data Vlaue (Cr)'!$C:$FB,43)</f>
        <v>546</v>
      </c>
      <c r="H99" s="49">
        <f>VLOOKUP($A99,'Data Vlaue (Cr)'!$C:$FB,44)</f>
        <v>152</v>
      </c>
      <c r="I99" s="49">
        <f>VLOOKUP($A99,'Data Vlaue (Cr)'!$C:$FB,46)*100</f>
        <v>259.96999999999997</v>
      </c>
      <c r="J99" s="51">
        <f>VLOOKUP($A99,'Data Vlaue (Cr)'!$C:$FB,59)</f>
        <v>1582</v>
      </c>
      <c r="K99" s="51">
        <f>VLOOKUP($A99,'Data Vlaue (Cr)'!$C:$FB,60)</f>
        <v>476</v>
      </c>
      <c r="L99" s="51">
        <f>VLOOKUP($A99,'Data Vlaue (Cr)'!$C:$FB,62)*100</f>
        <v>232.04</v>
      </c>
      <c r="M99" s="51">
        <f>VLOOKUP($A99,'Data Vlaue (Cr)'!$C:$FB,63)</f>
        <v>735</v>
      </c>
      <c r="N99" s="51">
        <f>VLOOKUP($A99,'Data Vlaue (Cr)'!$C:$FB,64)</f>
        <v>311</v>
      </c>
      <c r="O99" s="51">
        <f>VLOOKUP($A99,'Data Vlaue (Cr)'!$C:$FB,66)*100</f>
        <v>136.46</v>
      </c>
    </row>
    <row r="100" spans="1:15" x14ac:dyDescent="0.25">
      <c r="A100" s="101" t="str">
        <f>'Data Vlaue (Cr)'!C95</f>
        <v>INDHOTEL</v>
      </c>
      <c r="B100" s="50">
        <f>VLOOKUP($A100,'Data Vlaue (Cr)'!$C:$FB,8)</f>
        <v>639.45000000000005</v>
      </c>
      <c r="C100" s="50">
        <f>VLOOKUP($A100,'Data Vlaue (Cr)'!$C:$FB,11)*100</f>
        <v>-3.0700000000000003</v>
      </c>
      <c r="D100" s="50">
        <f>VLOOKUP($A100,'Data Vlaue (Cr)'!$C:$FB,143)</f>
        <v>1755.2</v>
      </c>
      <c r="E100" s="50">
        <f>VLOOKUP($A100,'Data Vlaue (Cr)'!$C:$FB,144)</f>
        <v>575.91</v>
      </c>
      <c r="F100" s="50">
        <f>VLOOKUP($A100,'Data Vlaue (Cr)'!$C:$FB,146)*100</f>
        <v>204.76999999999998</v>
      </c>
      <c r="G100" s="49">
        <f>VLOOKUP($A100,'Data Vlaue (Cr)'!$C:$FB,43)</f>
        <v>759</v>
      </c>
      <c r="H100" s="49">
        <f>VLOOKUP($A100,'Data Vlaue (Cr)'!$C:$FB,44)</f>
        <v>176</v>
      </c>
      <c r="I100" s="49">
        <f>VLOOKUP($A100,'Data Vlaue (Cr)'!$C:$FB,46)*100</f>
        <v>331.49</v>
      </c>
      <c r="J100" s="51">
        <f>VLOOKUP($A100,'Data Vlaue (Cr)'!$C:$FB,59)</f>
        <v>554</v>
      </c>
      <c r="K100" s="51">
        <f>VLOOKUP($A100,'Data Vlaue (Cr)'!$C:$FB,60)</f>
        <v>195</v>
      </c>
      <c r="L100" s="51">
        <f>VLOOKUP($A100,'Data Vlaue (Cr)'!$C:$FB,62)*100</f>
        <v>184.07</v>
      </c>
      <c r="M100" s="51">
        <f>VLOOKUP($A100,'Data Vlaue (Cr)'!$C:$FB,63)</f>
        <v>420</v>
      </c>
      <c r="N100" s="51">
        <f>VLOOKUP($A100,'Data Vlaue (Cr)'!$C:$FB,64)</f>
        <v>185</v>
      </c>
      <c r="O100" s="51">
        <f>VLOOKUP($A100,'Data Vlaue (Cr)'!$C:$FB,66)*100</f>
        <v>127.44</v>
      </c>
    </row>
    <row r="101" spans="1:15" x14ac:dyDescent="0.25">
      <c r="A101" s="101" t="str">
        <f>'Data Vlaue (Cr)'!C96</f>
        <v>INDIANB</v>
      </c>
      <c r="B101" s="50">
        <f>VLOOKUP($A101,'Data Vlaue (Cr)'!$C:$FB,8)</f>
        <v>914.95</v>
      </c>
      <c r="C101" s="50">
        <f>VLOOKUP($A101,'Data Vlaue (Cr)'!$C:$FB,11)*100</f>
        <v>-1.1199999999999999</v>
      </c>
      <c r="D101" s="50">
        <f>VLOOKUP($A101,'Data Vlaue (Cr)'!$C:$FB,143)</f>
        <v>1707.87</v>
      </c>
      <c r="E101" s="50">
        <f>VLOOKUP($A101,'Data Vlaue (Cr)'!$C:$FB,144)</f>
        <v>1055.9000000000001</v>
      </c>
      <c r="F101" s="50">
        <f>VLOOKUP($A101,'Data Vlaue (Cr)'!$C:$FB,146)*100</f>
        <v>61.750000000000007</v>
      </c>
      <c r="G101" s="49">
        <f>VLOOKUP($A101,'Data Vlaue (Cr)'!$C:$FB,43)</f>
        <v>665</v>
      </c>
      <c r="H101" s="49">
        <f>VLOOKUP($A101,'Data Vlaue (Cr)'!$C:$FB,44)</f>
        <v>250</v>
      </c>
      <c r="I101" s="49">
        <f>VLOOKUP($A101,'Data Vlaue (Cr)'!$C:$FB,46)*100</f>
        <v>165.51</v>
      </c>
      <c r="J101" s="51">
        <f>VLOOKUP($A101,'Data Vlaue (Cr)'!$C:$FB,59)</f>
        <v>689</v>
      </c>
      <c r="K101" s="51">
        <f>VLOOKUP($A101,'Data Vlaue (Cr)'!$C:$FB,60)</f>
        <v>584</v>
      </c>
      <c r="L101" s="51">
        <f>VLOOKUP($A101,'Data Vlaue (Cr)'!$C:$FB,62)*100</f>
        <v>17.89</v>
      </c>
      <c r="M101" s="51">
        <f>VLOOKUP($A101,'Data Vlaue (Cr)'!$C:$FB,63)</f>
        <v>314</v>
      </c>
      <c r="N101" s="51">
        <f>VLOOKUP($A101,'Data Vlaue (Cr)'!$C:$FB,64)</f>
        <v>177</v>
      </c>
      <c r="O101" s="51">
        <f>VLOOKUP($A101,'Data Vlaue (Cr)'!$C:$FB,66)*100</f>
        <v>76.95</v>
      </c>
    </row>
    <row r="102" spans="1:15" x14ac:dyDescent="0.25">
      <c r="A102" s="101" t="str">
        <f>'Data Vlaue (Cr)'!C97</f>
        <v>INDIAVIX</v>
      </c>
      <c r="B102" s="50">
        <f>VLOOKUP($A102,'Data Vlaue (Cr)'!$C:$FB,8)</f>
        <v>18.59</v>
      </c>
      <c r="C102" s="50">
        <f>VLOOKUP($A102,'Data Vlaue (Cr)'!$C:$FB,11)*100</f>
        <v>1.58</v>
      </c>
      <c r="D102" s="50">
        <f>VLOOKUP($A102,'Data Vlaue (Cr)'!$C:$FB,143)</f>
        <v>0</v>
      </c>
      <c r="E102" s="50">
        <f>VLOOKUP($A102,'Data Vlaue (Cr)'!$C:$FB,144)</f>
        <v>0</v>
      </c>
      <c r="F102" s="50">
        <f>VLOOKUP($A102,'Data Vlaue (Cr)'!$C:$FB,146)*100</f>
        <v>0</v>
      </c>
      <c r="G102" s="49">
        <f>VLOOKUP($A102,'Data Vlaue (Cr)'!$C:$FB,43)</f>
        <v>0</v>
      </c>
      <c r="H102" s="49">
        <f>VLOOKUP($A102,'Data Vlaue (Cr)'!$C:$FB,44)</f>
        <v>0</v>
      </c>
      <c r="I102" s="49">
        <f>VLOOKUP($A102,'Data Vlaue (Cr)'!$C:$FB,46)*100</f>
        <v>0</v>
      </c>
      <c r="J102" s="51">
        <f>VLOOKUP($A102,'Data Vlaue (Cr)'!$C:$FB,59)</f>
        <v>0</v>
      </c>
      <c r="K102" s="51">
        <f>VLOOKUP($A102,'Data Vlaue (Cr)'!$C:$FB,60)</f>
        <v>0</v>
      </c>
      <c r="L102" s="51">
        <f>VLOOKUP($A102,'Data Vlaue (Cr)'!$C:$FB,62)*100</f>
        <v>0</v>
      </c>
      <c r="M102" s="51">
        <f>VLOOKUP($A102,'Data Vlaue (Cr)'!$C:$FB,63)</f>
        <v>0</v>
      </c>
      <c r="N102" s="51">
        <f>VLOOKUP($A102,'Data Vlaue (Cr)'!$C:$FB,64)</f>
        <v>0</v>
      </c>
      <c r="O102" s="51">
        <f>VLOOKUP($A102,'Data Vlaue (Cr)'!$C:$FB,66)*100</f>
        <v>0</v>
      </c>
    </row>
    <row r="103" spans="1:15" x14ac:dyDescent="0.25">
      <c r="A103" s="101" t="str">
        <f>'Data Vlaue (Cr)'!C98</f>
        <v>INDIGO</v>
      </c>
      <c r="B103" s="50">
        <f>VLOOKUP($A103,'Data Vlaue (Cr)'!$C:$FB,8)</f>
        <v>4556</v>
      </c>
      <c r="C103" s="50">
        <f>VLOOKUP($A103,'Data Vlaue (Cr)'!$C:$FB,11)*100</f>
        <v>-1.83</v>
      </c>
      <c r="D103" s="50">
        <f>VLOOKUP($A103,'Data Vlaue (Cr)'!$C:$FB,143)</f>
        <v>7537.72</v>
      </c>
      <c r="E103" s="50">
        <f>VLOOKUP($A103,'Data Vlaue (Cr)'!$C:$FB,144)</f>
        <v>6976.29</v>
      </c>
      <c r="F103" s="50">
        <f>VLOOKUP($A103,'Data Vlaue (Cr)'!$C:$FB,146)*100</f>
        <v>8.0500000000000007</v>
      </c>
      <c r="G103" s="49">
        <f>VLOOKUP($A103,'Data Vlaue (Cr)'!$C:$FB,43)</f>
        <v>2171</v>
      </c>
      <c r="H103" s="49">
        <f>VLOOKUP($A103,'Data Vlaue (Cr)'!$C:$FB,44)</f>
        <v>709</v>
      </c>
      <c r="I103" s="49">
        <f>VLOOKUP($A103,'Data Vlaue (Cr)'!$C:$FB,46)*100</f>
        <v>206.28000000000003</v>
      </c>
      <c r="J103" s="51">
        <f>VLOOKUP($A103,'Data Vlaue (Cr)'!$C:$FB,59)</f>
        <v>2672</v>
      </c>
      <c r="K103" s="51">
        <f>VLOOKUP($A103,'Data Vlaue (Cr)'!$C:$FB,60)</f>
        <v>3449</v>
      </c>
      <c r="L103" s="51">
        <f>VLOOKUP($A103,'Data Vlaue (Cr)'!$C:$FB,62)*100</f>
        <v>-22.52</v>
      </c>
      <c r="M103" s="51">
        <f>VLOOKUP($A103,'Data Vlaue (Cr)'!$C:$FB,63)</f>
        <v>2579</v>
      </c>
      <c r="N103" s="51">
        <f>VLOOKUP($A103,'Data Vlaue (Cr)'!$C:$FB,64)</f>
        <v>2612</v>
      </c>
      <c r="O103" s="51">
        <f>VLOOKUP($A103,'Data Vlaue (Cr)'!$C:$FB,66)*100</f>
        <v>-1.27</v>
      </c>
    </row>
    <row r="104" spans="1:15" x14ac:dyDescent="0.25">
      <c r="A104" s="101" t="str">
        <f>'Data Vlaue (Cr)'!C99</f>
        <v>INDUSINDBK</v>
      </c>
      <c r="B104" s="50">
        <f>VLOOKUP($A104,'Data Vlaue (Cr)'!$C:$FB,8)</f>
        <v>860.35</v>
      </c>
      <c r="C104" s="50">
        <f>VLOOKUP($A104,'Data Vlaue (Cr)'!$C:$FB,11)*100</f>
        <v>-1.1199999999999999</v>
      </c>
      <c r="D104" s="50">
        <f>VLOOKUP($A104,'Data Vlaue (Cr)'!$C:$FB,143)</f>
        <v>3355.9</v>
      </c>
      <c r="E104" s="50">
        <f>VLOOKUP($A104,'Data Vlaue (Cr)'!$C:$FB,144)</f>
        <v>2087.67</v>
      </c>
      <c r="F104" s="50">
        <f>VLOOKUP($A104,'Data Vlaue (Cr)'!$C:$FB,146)*100</f>
        <v>60.750000000000007</v>
      </c>
      <c r="G104" s="49">
        <f>VLOOKUP($A104,'Data Vlaue (Cr)'!$C:$FB,43)</f>
        <v>1914</v>
      </c>
      <c r="H104" s="49">
        <f>VLOOKUP($A104,'Data Vlaue (Cr)'!$C:$FB,44)</f>
        <v>489</v>
      </c>
      <c r="I104" s="49">
        <f>VLOOKUP($A104,'Data Vlaue (Cr)'!$C:$FB,46)*100</f>
        <v>291.65000000000003</v>
      </c>
      <c r="J104" s="51">
        <f>VLOOKUP($A104,'Data Vlaue (Cr)'!$C:$FB,59)</f>
        <v>842</v>
      </c>
      <c r="K104" s="51">
        <f>VLOOKUP($A104,'Data Vlaue (Cr)'!$C:$FB,60)</f>
        <v>942</v>
      </c>
      <c r="L104" s="51">
        <f>VLOOKUP($A104,'Data Vlaue (Cr)'!$C:$FB,62)*100</f>
        <v>-10.6</v>
      </c>
      <c r="M104" s="51">
        <f>VLOOKUP($A104,'Data Vlaue (Cr)'!$C:$FB,63)</f>
        <v>560</v>
      </c>
      <c r="N104" s="51">
        <f>VLOOKUP($A104,'Data Vlaue (Cr)'!$C:$FB,64)</f>
        <v>620</v>
      </c>
      <c r="O104" s="51">
        <f>VLOOKUP($A104,'Data Vlaue (Cr)'!$C:$FB,66)*100</f>
        <v>-9.6100000000000012</v>
      </c>
    </row>
    <row r="105" spans="1:15" x14ac:dyDescent="0.25">
      <c r="A105" s="101" t="str">
        <f>'Data Vlaue (Cr)'!C100</f>
        <v>INDUSTOWER</v>
      </c>
      <c r="B105" s="50">
        <f>VLOOKUP($A105,'Data Vlaue (Cr)'!$C:$FB,8)</f>
        <v>404.7</v>
      </c>
      <c r="C105" s="50">
        <f>VLOOKUP($A105,'Data Vlaue (Cr)'!$C:$FB,11)*100</f>
        <v>-0.85000000000000009</v>
      </c>
      <c r="D105" s="50">
        <f>VLOOKUP($A105,'Data Vlaue (Cr)'!$C:$FB,143)</f>
        <v>3321.97</v>
      </c>
      <c r="E105" s="50">
        <f>VLOOKUP($A105,'Data Vlaue (Cr)'!$C:$FB,144)</f>
        <v>2606.9499999999998</v>
      </c>
      <c r="F105" s="50">
        <f>VLOOKUP($A105,'Data Vlaue (Cr)'!$C:$FB,146)*100</f>
        <v>27.43</v>
      </c>
      <c r="G105" s="49">
        <f>VLOOKUP($A105,'Data Vlaue (Cr)'!$C:$FB,43)</f>
        <v>1316</v>
      </c>
      <c r="H105" s="49">
        <f>VLOOKUP($A105,'Data Vlaue (Cr)'!$C:$FB,44)</f>
        <v>774</v>
      </c>
      <c r="I105" s="49">
        <f>VLOOKUP($A105,'Data Vlaue (Cr)'!$C:$FB,46)*100</f>
        <v>69.94</v>
      </c>
      <c r="J105" s="51">
        <f>VLOOKUP($A105,'Data Vlaue (Cr)'!$C:$FB,59)</f>
        <v>1217</v>
      </c>
      <c r="K105" s="51">
        <f>VLOOKUP($A105,'Data Vlaue (Cr)'!$C:$FB,60)</f>
        <v>1336</v>
      </c>
      <c r="L105" s="51">
        <f>VLOOKUP($A105,'Data Vlaue (Cr)'!$C:$FB,62)*100</f>
        <v>-8.91</v>
      </c>
      <c r="M105" s="51">
        <f>VLOOKUP($A105,'Data Vlaue (Cr)'!$C:$FB,63)</f>
        <v>725</v>
      </c>
      <c r="N105" s="51">
        <f>VLOOKUP($A105,'Data Vlaue (Cr)'!$C:$FB,64)</f>
        <v>395</v>
      </c>
      <c r="O105" s="51">
        <f>VLOOKUP($A105,'Data Vlaue (Cr)'!$C:$FB,66)*100</f>
        <v>83.47</v>
      </c>
    </row>
    <row r="106" spans="1:15" x14ac:dyDescent="0.25">
      <c r="A106" s="101" t="str">
        <f>'Data Vlaue (Cr)'!C101</f>
        <v>INFY</v>
      </c>
      <c r="B106" s="50">
        <f>VLOOKUP($A106,'Data Vlaue (Cr)'!$C:$FB,8)</f>
        <v>1240.5999999999999</v>
      </c>
      <c r="C106" s="50">
        <f>VLOOKUP($A106,'Data Vlaue (Cr)'!$C:$FB,11)*100</f>
        <v>-2.21</v>
      </c>
      <c r="D106" s="50">
        <f>VLOOKUP($A106,'Data Vlaue (Cr)'!$C:$FB,143)</f>
        <v>23742.02</v>
      </c>
      <c r="E106" s="50">
        <f>VLOOKUP($A106,'Data Vlaue (Cr)'!$C:$FB,144)</f>
        <v>19565.2</v>
      </c>
      <c r="F106" s="50">
        <f>VLOOKUP($A106,'Data Vlaue (Cr)'!$C:$FB,146)*100</f>
        <v>21.349999999999998</v>
      </c>
      <c r="G106" s="49">
        <f>VLOOKUP($A106,'Data Vlaue (Cr)'!$C:$FB,43)</f>
        <v>7339</v>
      </c>
      <c r="H106" s="49">
        <f>VLOOKUP($A106,'Data Vlaue (Cr)'!$C:$FB,44)</f>
        <v>3690</v>
      </c>
      <c r="I106" s="49">
        <f>VLOOKUP($A106,'Data Vlaue (Cr)'!$C:$FB,46)*100</f>
        <v>98.9</v>
      </c>
      <c r="J106" s="51">
        <f>VLOOKUP($A106,'Data Vlaue (Cr)'!$C:$FB,59)</f>
        <v>8067</v>
      </c>
      <c r="K106" s="51">
        <f>VLOOKUP($A106,'Data Vlaue (Cr)'!$C:$FB,60)</f>
        <v>8946</v>
      </c>
      <c r="L106" s="51">
        <f>VLOOKUP($A106,'Data Vlaue (Cr)'!$C:$FB,62)*100</f>
        <v>-9.82</v>
      </c>
      <c r="M106" s="51">
        <f>VLOOKUP($A106,'Data Vlaue (Cr)'!$C:$FB,63)</f>
        <v>7841</v>
      </c>
      <c r="N106" s="51">
        <f>VLOOKUP($A106,'Data Vlaue (Cr)'!$C:$FB,64)</f>
        <v>5986</v>
      </c>
      <c r="O106" s="51">
        <f>VLOOKUP($A106,'Data Vlaue (Cr)'!$C:$FB,66)*100</f>
        <v>31</v>
      </c>
    </row>
    <row r="107" spans="1:15" x14ac:dyDescent="0.25">
      <c r="A107" s="101" t="str">
        <f>'Data Vlaue (Cr)'!C102</f>
        <v>INOXWIND</v>
      </c>
      <c r="B107" s="50">
        <f>VLOOKUP($A107,'Data Vlaue (Cr)'!$C:$FB,8)</f>
        <v>101.79</v>
      </c>
      <c r="C107" s="50">
        <f>VLOOKUP($A107,'Data Vlaue (Cr)'!$C:$FB,11)*100</f>
        <v>-2.65</v>
      </c>
      <c r="D107" s="50">
        <f>VLOOKUP($A107,'Data Vlaue (Cr)'!$C:$FB,143)</f>
        <v>727.72</v>
      </c>
      <c r="E107" s="50">
        <f>VLOOKUP($A107,'Data Vlaue (Cr)'!$C:$FB,144)</f>
        <v>998.54</v>
      </c>
      <c r="F107" s="50">
        <f>VLOOKUP($A107,'Data Vlaue (Cr)'!$C:$FB,146)*100</f>
        <v>-27.12</v>
      </c>
      <c r="G107" s="49">
        <f>VLOOKUP($A107,'Data Vlaue (Cr)'!$C:$FB,43)</f>
        <v>453</v>
      </c>
      <c r="H107" s="49">
        <f>VLOOKUP($A107,'Data Vlaue (Cr)'!$C:$FB,44)</f>
        <v>358</v>
      </c>
      <c r="I107" s="49">
        <f>VLOOKUP($A107,'Data Vlaue (Cr)'!$C:$FB,46)*100</f>
        <v>26.450000000000003</v>
      </c>
      <c r="J107" s="51">
        <f>VLOOKUP($A107,'Data Vlaue (Cr)'!$C:$FB,59)</f>
        <v>162</v>
      </c>
      <c r="K107" s="51">
        <f>VLOOKUP($A107,'Data Vlaue (Cr)'!$C:$FB,60)</f>
        <v>456</v>
      </c>
      <c r="L107" s="51">
        <f>VLOOKUP($A107,'Data Vlaue (Cr)'!$C:$FB,62)*100</f>
        <v>-64.39</v>
      </c>
      <c r="M107" s="51">
        <f>VLOOKUP($A107,'Data Vlaue (Cr)'!$C:$FB,63)</f>
        <v>106</v>
      </c>
      <c r="N107" s="51">
        <f>VLOOKUP($A107,'Data Vlaue (Cr)'!$C:$FB,64)</f>
        <v>160</v>
      </c>
      <c r="O107" s="51">
        <f>VLOOKUP($A107,'Data Vlaue (Cr)'!$C:$FB,66)*100</f>
        <v>-34.020000000000003</v>
      </c>
    </row>
    <row r="108" spans="1:15" x14ac:dyDescent="0.25">
      <c r="A108" s="101" t="str">
        <f>'Data Vlaue (Cr)'!C103</f>
        <v>IOC</v>
      </c>
      <c r="B108" s="50">
        <f>VLOOKUP($A108,'Data Vlaue (Cr)'!$C:$FB,8)</f>
        <v>145.47999999999999</v>
      </c>
      <c r="C108" s="50">
        <f>VLOOKUP($A108,'Data Vlaue (Cr)'!$C:$FB,11)*100</f>
        <v>-1.28</v>
      </c>
      <c r="D108" s="50">
        <f>VLOOKUP($A108,'Data Vlaue (Cr)'!$C:$FB,143)</f>
        <v>2221.6</v>
      </c>
      <c r="E108" s="50">
        <f>VLOOKUP($A108,'Data Vlaue (Cr)'!$C:$FB,144)</f>
        <v>1078.08</v>
      </c>
      <c r="F108" s="50">
        <f>VLOOKUP($A108,'Data Vlaue (Cr)'!$C:$FB,146)*100</f>
        <v>106.07</v>
      </c>
      <c r="G108" s="49">
        <f>VLOOKUP($A108,'Data Vlaue (Cr)'!$C:$FB,43)</f>
        <v>925</v>
      </c>
      <c r="H108" s="49">
        <f>VLOOKUP($A108,'Data Vlaue (Cr)'!$C:$FB,44)</f>
        <v>177</v>
      </c>
      <c r="I108" s="49">
        <f>VLOOKUP($A108,'Data Vlaue (Cr)'!$C:$FB,46)*100</f>
        <v>423.17999999999995</v>
      </c>
      <c r="J108" s="51">
        <f>VLOOKUP($A108,'Data Vlaue (Cr)'!$C:$FB,59)</f>
        <v>717</v>
      </c>
      <c r="K108" s="51">
        <f>VLOOKUP($A108,'Data Vlaue (Cr)'!$C:$FB,60)</f>
        <v>536</v>
      </c>
      <c r="L108" s="51">
        <f>VLOOKUP($A108,'Data Vlaue (Cr)'!$C:$FB,62)*100</f>
        <v>33.82</v>
      </c>
      <c r="M108" s="51">
        <f>VLOOKUP($A108,'Data Vlaue (Cr)'!$C:$FB,63)</f>
        <v>540</v>
      </c>
      <c r="N108" s="51">
        <f>VLOOKUP($A108,'Data Vlaue (Cr)'!$C:$FB,64)</f>
        <v>334</v>
      </c>
      <c r="O108" s="51">
        <f>VLOOKUP($A108,'Data Vlaue (Cr)'!$C:$FB,66)*100</f>
        <v>61.62</v>
      </c>
    </row>
    <row r="109" spans="1:15" x14ac:dyDescent="0.25">
      <c r="A109" s="101" t="str">
        <f>'Data Vlaue (Cr)'!C104</f>
        <v>IREDA</v>
      </c>
      <c r="B109" s="50">
        <f>VLOOKUP($A109,'Data Vlaue (Cr)'!$C:$FB,8)</f>
        <v>137.52000000000001</v>
      </c>
      <c r="C109" s="50">
        <f>VLOOKUP($A109,'Data Vlaue (Cr)'!$C:$FB,11)*100</f>
        <v>-2.09</v>
      </c>
      <c r="D109" s="50">
        <f>VLOOKUP($A109,'Data Vlaue (Cr)'!$C:$FB,143)</f>
        <v>1809.58</v>
      </c>
      <c r="E109" s="50">
        <f>VLOOKUP($A109,'Data Vlaue (Cr)'!$C:$FB,144)</f>
        <v>5257.95</v>
      </c>
      <c r="F109" s="50">
        <f>VLOOKUP($A109,'Data Vlaue (Cr)'!$C:$FB,146)*100</f>
        <v>-65.58</v>
      </c>
      <c r="G109" s="49">
        <f>VLOOKUP($A109,'Data Vlaue (Cr)'!$C:$FB,43)</f>
        <v>610</v>
      </c>
      <c r="H109" s="49">
        <f>VLOOKUP($A109,'Data Vlaue (Cr)'!$C:$FB,44)</f>
        <v>643</v>
      </c>
      <c r="I109" s="49">
        <f>VLOOKUP($A109,'Data Vlaue (Cr)'!$C:$FB,46)*100</f>
        <v>-5.1400000000000006</v>
      </c>
      <c r="J109" s="51">
        <f>VLOOKUP($A109,'Data Vlaue (Cr)'!$C:$FB,59)</f>
        <v>706</v>
      </c>
      <c r="K109" s="51">
        <f>VLOOKUP($A109,'Data Vlaue (Cr)'!$C:$FB,60)</f>
        <v>3296</v>
      </c>
      <c r="L109" s="51">
        <f>VLOOKUP($A109,'Data Vlaue (Cr)'!$C:$FB,62)*100</f>
        <v>-78.569999999999993</v>
      </c>
      <c r="M109" s="51">
        <f>VLOOKUP($A109,'Data Vlaue (Cr)'!$C:$FB,63)</f>
        <v>464</v>
      </c>
      <c r="N109" s="51">
        <f>VLOOKUP($A109,'Data Vlaue (Cr)'!$C:$FB,64)</f>
        <v>1199</v>
      </c>
      <c r="O109" s="51">
        <f>VLOOKUP($A109,'Data Vlaue (Cr)'!$C:$FB,66)*100</f>
        <v>-61.339999999999996</v>
      </c>
    </row>
    <row r="110" spans="1:15" x14ac:dyDescent="0.25">
      <c r="A110" s="101" t="str">
        <f>'Data Vlaue (Cr)'!C105</f>
        <v>IRFC</v>
      </c>
      <c r="B110" s="50">
        <f>VLOOKUP($A110,'Data Vlaue (Cr)'!$C:$FB,8)</f>
        <v>105.06</v>
      </c>
      <c r="C110" s="50">
        <f>VLOOKUP($A110,'Data Vlaue (Cr)'!$C:$FB,11)*100</f>
        <v>-0.72</v>
      </c>
      <c r="D110" s="50">
        <f>VLOOKUP($A110,'Data Vlaue (Cr)'!$C:$FB,143)</f>
        <v>2523.39</v>
      </c>
      <c r="E110" s="50">
        <f>VLOOKUP($A110,'Data Vlaue (Cr)'!$C:$FB,144)</f>
        <v>1531.31</v>
      </c>
      <c r="F110" s="50">
        <f>VLOOKUP($A110,'Data Vlaue (Cr)'!$C:$FB,146)*100</f>
        <v>64.790000000000006</v>
      </c>
      <c r="G110" s="49">
        <f>VLOOKUP($A110,'Data Vlaue (Cr)'!$C:$FB,43)</f>
        <v>570</v>
      </c>
      <c r="H110" s="49">
        <f>VLOOKUP($A110,'Data Vlaue (Cr)'!$C:$FB,44)</f>
        <v>200</v>
      </c>
      <c r="I110" s="49">
        <f>VLOOKUP($A110,'Data Vlaue (Cr)'!$C:$FB,46)*100</f>
        <v>185.78</v>
      </c>
      <c r="J110" s="51">
        <f>VLOOKUP($A110,'Data Vlaue (Cr)'!$C:$FB,59)</f>
        <v>1464</v>
      </c>
      <c r="K110" s="51">
        <f>VLOOKUP($A110,'Data Vlaue (Cr)'!$C:$FB,60)</f>
        <v>1016</v>
      </c>
      <c r="L110" s="51">
        <f>VLOOKUP($A110,'Data Vlaue (Cr)'!$C:$FB,62)*100</f>
        <v>44.1</v>
      </c>
      <c r="M110" s="51">
        <f>VLOOKUP($A110,'Data Vlaue (Cr)'!$C:$FB,63)</f>
        <v>384</v>
      </c>
      <c r="N110" s="51">
        <f>VLOOKUP($A110,'Data Vlaue (Cr)'!$C:$FB,64)</f>
        <v>263</v>
      </c>
      <c r="O110" s="51">
        <f>VLOOKUP($A110,'Data Vlaue (Cr)'!$C:$FB,66)*100</f>
        <v>45.67</v>
      </c>
    </row>
    <row r="111" spans="1:15" x14ac:dyDescent="0.25">
      <c r="A111" s="101" t="str">
        <f>'Data Vlaue (Cr)'!C106</f>
        <v>ITC</v>
      </c>
      <c r="B111" s="50">
        <f>VLOOKUP($A111,'Data Vlaue (Cr)'!$C:$FB,8)</f>
        <v>305.3</v>
      </c>
      <c r="C111" s="50">
        <f>VLOOKUP($A111,'Data Vlaue (Cr)'!$C:$FB,11)*100</f>
        <v>-6.9999999999999993E-2</v>
      </c>
      <c r="D111" s="50">
        <f>VLOOKUP($A111,'Data Vlaue (Cr)'!$C:$FB,143)</f>
        <v>5891.51</v>
      </c>
      <c r="E111" s="50">
        <f>VLOOKUP($A111,'Data Vlaue (Cr)'!$C:$FB,144)</f>
        <v>7200.29</v>
      </c>
      <c r="F111" s="50">
        <f>VLOOKUP($A111,'Data Vlaue (Cr)'!$C:$FB,146)*100</f>
        <v>-18.18</v>
      </c>
      <c r="G111" s="49">
        <f>VLOOKUP($A111,'Data Vlaue (Cr)'!$C:$FB,43)</f>
        <v>1880</v>
      </c>
      <c r="H111" s="49">
        <f>VLOOKUP($A111,'Data Vlaue (Cr)'!$C:$FB,44)</f>
        <v>998</v>
      </c>
      <c r="I111" s="49">
        <f>VLOOKUP($A111,'Data Vlaue (Cr)'!$C:$FB,46)*100</f>
        <v>88.26</v>
      </c>
      <c r="J111" s="51">
        <f>VLOOKUP($A111,'Data Vlaue (Cr)'!$C:$FB,59)</f>
        <v>2812</v>
      </c>
      <c r="K111" s="51">
        <f>VLOOKUP($A111,'Data Vlaue (Cr)'!$C:$FB,60)</f>
        <v>4438</v>
      </c>
      <c r="L111" s="51">
        <f>VLOOKUP($A111,'Data Vlaue (Cr)'!$C:$FB,62)*100</f>
        <v>-36.64</v>
      </c>
      <c r="M111" s="51">
        <f>VLOOKUP($A111,'Data Vlaue (Cr)'!$C:$FB,63)</f>
        <v>1113</v>
      </c>
      <c r="N111" s="51">
        <f>VLOOKUP($A111,'Data Vlaue (Cr)'!$C:$FB,64)</f>
        <v>1578</v>
      </c>
      <c r="O111" s="51">
        <f>VLOOKUP($A111,'Data Vlaue (Cr)'!$C:$FB,66)*100</f>
        <v>-29.459999999999997</v>
      </c>
    </row>
    <row r="112" spans="1:15" x14ac:dyDescent="0.25">
      <c r="A112" s="101" t="str">
        <f>'Data Vlaue (Cr)'!C107</f>
        <v>JINDALSTEL</v>
      </c>
      <c r="B112" s="50">
        <f>VLOOKUP($A112,'Data Vlaue (Cr)'!$C:$FB,8)</f>
        <v>1254.5</v>
      </c>
      <c r="C112" s="50">
        <f>VLOOKUP($A112,'Data Vlaue (Cr)'!$C:$FB,11)*100</f>
        <v>-1.8800000000000001</v>
      </c>
      <c r="D112" s="50">
        <f>VLOOKUP($A112,'Data Vlaue (Cr)'!$C:$FB,143)</f>
        <v>2094.4899999999998</v>
      </c>
      <c r="E112" s="50">
        <f>VLOOKUP($A112,'Data Vlaue (Cr)'!$C:$FB,144)</f>
        <v>1333.38</v>
      </c>
      <c r="F112" s="50">
        <f>VLOOKUP($A112,'Data Vlaue (Cr)'!$C:$FB,146)*100</f>
        <v>57.08</v>
      </c>
      <c r="G112" s="49">
        <f>VLOOKUP($A112,'Data Vlaue (Cr)'!$C:$FB,43)</f>
        <v>1094</v>
      </c>
      <c r="H112" s="49">
        <f>VLOOKUP($A112,'Data Vlaue (Cr)'!$C:$FB,44)</f>
        <v>321</v>
      </c>
      <c r="I112" s="49">
        <f>VLOOKUP($A112,'Data Vlaue (Cr)'!$C:$FB,46)*100</f>
        <v>240.92</v>
      </c>
      <c r="J112" s="51">
        <f>VLOOKUP($A112,'Data Vlaue (Cr)'!$C:$FB,59)</f>
        <v>510</v>
      </c>
      <c r="K112" s="51">
        <f>VLOOKUP($A112,'Data Vlaue (Cr)'!$C:$FB,60)</f>
        <v>460</v>
      </c>
      <c r="L112" s="51">
        <f>VLOOKUP($A112,'Data Vlaue (Cr)'!$C:$FB,62)*100</f>
        <v>10.879999999999999</v>
      </c>
      <c r="M112" s="51">
        <f>VLOOKUP($A112,'Data Vlaue (Cr)'!$C:$FB,63)</f>
        <v>462</v>
      </c>
      <c r="N112" s="51">
        <f>VLOOKUP($A112,'Data Vlaue (Cr)'!$C:$FB,64)</f>
        <v>520</v>
      </c>
      <c r="O112" s="51">
        <f>VLOOKUP($A112,'Data Vlaue (Cr)'!$C:$FB,66)*100</f>
        <v>-11.27</v>
      </c>
    </row>
    <row r="113" spans="1:15" x14ac:dyDescent="0.25">
      <c r="A113" s="101" t="str">
        <f>'Data Vlaue (Cr)'!C108</f>
        <v>JIOFIN</v>
      </c>
      <c r="B113" s="50">
        <f>VLOOKUP($A113,'Data Vlaue (Cr)'!$C:$FB,8)</f>
        <v>248.66</v>
      </c>
      <c r="C113" s="50">
        <f>VLOOKUP($A113,'Data Vlaue (Cr)'!$C:$FB,11)*100</f>
        <v>4.26</v>
      </c>
      <c r="D113" s="50">
        <f>VLOOKUP($A113,'Data Vlaue (Cr)'!$C:$FB,143)</f>
        <v>14683.08</v>
      </c>
      <c r="E113" s="50">
        <f>VLOOKUP($A113,'Data Vlaue (Cr)'!$C:$FB,144)</f>
        <v>6860.75</v>
      </c>
      <c r="F113" s="50">
        <f>VLOOKUP($A113,'Data Vlaue (Cr)'!$C:$FB,146)*100</f>
        <v>114.02000000000001</v>
      </c>
      <c r="G113" s="49">
        <f>VLOOKUP($A113,'Data Vlaue (Cr)'!$C:$FB,43)</f>
        <v>3129</v>
      </c>
      <c r="H113" s="49">
        <f>VLOOKUP($A113,'Data Vlaue (Cr)'!$C:$FB,44)</f>
        <v>1205</v>
      </c>
      <c r="I113" s="49">
        <f>VLOOKUP($A113,'Data Vlaue (Cr)'!$C:$FB,46)*100</f>
        <v>159.54999999999998</v>
      </c>
      <c r="J113" s="51">
        <f>VLOOKUP($A113,'Data Vlaue (Cr)'!$C:$FB,59)</f>
        <v>8005</v>
      </c>
      <c r="K113" s="51">
        <f>VLOOKUP($A113,'Data Vlaue (Cr)'!$C:$FB,60)</f>
        <v>3841</v>
      </c>
      <c r="L113" s="51">
        <f>VLOOKUP($A113,'Data Vlaue (Cr)'!$C:$FB,62)*100</f>
        <v>108.4</v>
      </c>
      <c r="M113" s="51">
        <f>VLOOKUP($A113,'Data Vlaue (Cr)'!$C:$FB,63)</f>
        <v>3409</v>
      </c>
      <c r="N113" s="51">
        <f>VLOOKUP($A113,'Data Vlaue (Cr)'!$C:$FB,64)</f>
        <v>1963</v>
      </c>
      <c r="O113" s="51">
        <f>VLOOKUP($A113,'Data Vlaue (Cr)'!$C:$FB,66)*100</f>
        <v>73.709999999999994</v>
      </c>
    </row>
    <row r="114" spans="1:15" x14ac:dyDescent="0.25">
      <c r="A114" s="101" t="str">
        <f>'Data Vlaue (Cr)'!C109</f>
        <v>JSWENERGY</v>
      </c>
      <c r="B114" s="50">
        <f>VLOOKUP($A114,'Data Vlaue (Cr)'!$C:$FB,8)</f>
        <v>561.4</v>
      </c>
      <c r="C114" s="50">
        <f>VLOOKUP($A114,'Data Vlaue (Cr)'!$C:$FB,11)*100</f>
        <v>0.15</v>
      </c>
      <c r="D114" s="50">
        <f>VLOOKUP($A114,'Data Vlaue (Cr)'!$C:$FB,143)</f>
        <v>2147.54</v>
      </c>
      <c r="E114" s="50">
        <f>VLOOKUP($A114,'Data Vlaue (Cr)'!$C:$FB,144)</f>
        <v>2437.96</v>
      </c>
      <c r="F114" s="50">
        <f>VLOOKUP($A114,'Data Vlaue (Cr)'!$C:$FB,146)*100</f>
        <v>-11.91</v>
      </c>
      <c r="G114" s="49">
        <f>VLOOKUP($A114,'Data Vlaue (Cr)'!$C:$FB,43)</f>
        <v>1142</v>
      </c>
      <c r="H114" s="49">
        <f>VLOOKUP($A114,'Data Vlaue (Cr)'!$C:$FB,44)</f>
        <v>847</v>
      </c>
      <c r="I114" s="49">
        <f>VLOOKUP($A114,'Data Vlaue (Cr)'!$C:$FB,46)*100</f>
        <v>34.83</v>
      </c>
      <c r="J114" s="51">
        <f>VLOOKUP($A114,'Data Vlaue (Cr)'!$C:$FB,59)</f>
        <v>739</v>
      </c>
      <c r="K114" s="51">
        <f>VLOOKUP($A114,'Data Vlaue (Cr)'!$C:$FB,60)</f>
        <v>1207</v>
      </c>
      <c r="L114" s="51">
        <f>VLOOKUP($A114,'Data Vlaue (Cr)'!$C:$FB,62)*100</f>
        <v>-38.76</v>
      </c>
      <c r="M114" s="51">
        <f>VLOOKUP($A114,'Data Vlaue (Cr)'!$C:$FB,63)</f>
        <v>241</v>
      </c>
      <c r="N114" s="51">
        <f>VLOOKUP($A114,'Data Vlaue (Cr)'!$C:$FB,64)</f>
        <v>373</v>
      </c>
      <c r="O114" s="51">
        <f>VLOOKUP($A114,'Data Vlaue (Cr)'!$C:$FB,66)*100</f>
        <v>-35.31</v>
      </c>
    </row>
    <row r="115" spans="1:15" x14ac:dyDescent="0.25">
      <c r="A115" s="101" t="str">
        <f>'Data Vlaue (Cr)'!C110</f>
        <v>JSWSTEEL</v>
      </c>
      <c r="B115" s="50">
        <f>VLOOKUP($A115,'Data Vlaue (Cr)'!$C:$FB,8)</f>
        <v>1257</v>
      </c>
      <c r="C115" s="50">
        <f>VLOOKUP($A115,'Data Vlaue (Cr)'!$C:$FB,11)*100</f>
        <v>-0.51</v>
      </c>
      <c r="D115" s="50">
        <f>VLOOKUP($A115,'Data Vlaue (Cr)'!$C:$FB,143)</f>
        <v>4834.7299999999996</v>
      </c>
      <c r="E115" s="50">
        <f>VLOOKUP($A115,'Data Vlaue (Cr)'!$C:$FB,144)</f>
        <v>3241.84</v>
      </c>
      <c r="F115" s="50">
        <f>VLOOKUP($A115,'Data Vlaue (Cr)'!$C:$FB,146)*100</f>
        <v>49.14</v>
      </c>
      <c r="G115" s="49">
        <f>VLOOKUP($A115,'Data Vlaue (Cr)'!$C:$FB,43)</f>
        <v>3280</v>
      </c>
      <c r="H115" s="49">
        <f>VLOOKUP($A115,'Data Vlaue (Cr)'!$C:$FB,44)</f>
        <v>980</v>
      </c>
      <c r="I115" s="49">
        <f>VLOOKUP($A115,'Data Vlaue (Cr)'!$C:$FB,46)*100</f>
        <v>234.73999999999998</v>
      </c>
      <c r="J115" s="51">
        <f>VLOOKUP($A115,'Data Vlaue (Cr)'!$C:$FB,59)</f>
        <v>1022</v>
      </c>
      <c r="K115" s="51">
        <f>VLOOKUP($A115,'Data Vlaue (Cr)'!$C:$FB,60)</f>
        <v>1317</v>
      </c>
      <c r="L115" s="51">
        <f>VLOOKUP($A115,'Data Vlaue (Cr)'!$C:$FB,62)*100</f>
        <v>-22.43</v>
      </c>
      <c r="M115" s="51">
        <f>VLOOKUP($A115,'Data Vlaue (Cr)'!$C:$FB,63)</f>
        <v>493</v>
      </c>
      <c r="N115" s="51">
        <f>VLOOKUP($A115,'Data Vlaue (Cr)'!$C:$FB,64)</f>
        <v>876</v>
      </c>
      <c r="O115" s="51">
        <f>VLOOKUP($A115,'Data Vlaue (Cr)'!$C:$FB,66)*100</f>
        <v>-43.75</v>
      </c>
    </row>
    <row r="116" spans="1:15" x14ac:dyDescent="0.25">
      <c r="A116" s="101" t="str">
        <f>'Data Vlaue (Cr)'!C111</f>
        <v>JUBLFOOD</v>
      </c>
      <c r="B116" s="50">
        <f>VLOOKUP($A116,'Data Vlaue (Cr)'!$C:$FB,8)</f>
        <v>492.85</v>
      </c>
      <c r="C116" s="50">
        <f>VLOOKUP($A116,'Data Vlaue (Cr)'!$C:$FB,11)*100</f>
        <v>-0.05</v>
      </c>
      <c r="D116" s="50">
        <f>VLOOKUP($A116,'Data Vlaue (Cr)'!$C:$FB,143)</f>
        <v>3297.08</v>
      </c>
      <c r="E116" s="50">
        <f>VLOOKUP($A116,'Data Vlaue (Cr)'!$C:$FB,144)</f>
        <v>3748.82</v>
      </c>
      <c r="F116" s="50">
        <f>VLOOKUP($A116,'Data Vlaue (Cr)'!$C:$FB,146)*100</f>
        <v>-12.049999999999999</v>
      </c>
      <c r="G116" s="49">
        <f>VLOOKUP($A116,'Data Vlaue (Cr)'!$C:$FB,43)</f>
        <v>1650</v>
      </c>
      <c r="H116" s="49">
        <f>VLOOKUP($A116,'Data Vlaue (Cr)'!$C:$FB,44)</f>
        <v>719</v>
      </c>
      <c r="I116" s="49">
        <f>VLOOKUP($A116,'Data Vlaue (Cr)'!$C:$FB,46)*100</f>
        <v>129.31</v>
      </c>
      <c r="J116" s="51">
        <f>VLOOKUP($A116,'Data Vlaue (Cr)'!$C:$FB,59)</f>
        <v>1130</v>
      </c>
      <c r="K116" s="51">
        <f>VLOOKUP($A116,'Data Vlaue (Cr)'!$C:$FB,60)</f>
        <v>2113</v>
      </c>
      <c r="L116" s="51">
        <f>VLOOKUP($A116,'Data Vlaue (Cr)'!$C:$FB,62)*100</f>
        <v>-46.53</v>
      </c>
      <c r="M116" s="51">
        <f>VLOOKUP($A116,'Data Vlaue (Cr)'!$C:$FB,63)</f>
        <v>521</v>
      </c>
      <c r="N116" s="51">
        <f>VLOOKUP($A116,'Data Vlaue (Cr)'!$C:$FB,64)</f>
        <v>950</v>
      </c>
      <c r="O116" s="51">
        <f>VLOOKUP($A116,'Data Vlaue (Cr)'!$C:$FB,66)*100</f>
        <v>-45.2</v>
      </c>
    </row>
    <row r="117" spans="1:15" x14ac:dyDescent="0.25">
      <c r="A117" s="101" t="str">
        <f>'Data Vlaue (Cr)'!C112</f>
        <v>KALYANKJIL</v>
      </c>
      <c r="B117" s="50">
        <f>VLOOKUP($A117,'Data Vlaue (Cr)'!$C:$FB,8)</f>
        <v>412.85</v>
      </c>
      <c r="C117" s="50">
        <f>VLOOKUP($A117,'Data Vlaue (Cr)'!$C:$FB,11)*100</f>
        <v>-0.33999999999999997</v>
      </c>
      <c r="D117" s="50">
        <f>VLOOKUP($A117,'Data Vlaue (Cr)'!$C:$FB,143)</f>
        <v>1607.89</v>
      </c>
      <c r="E117" s="50">
        <f>VLOOKUP($A117,'Data Vlaue (Cr)'!$C:$FB,144)</f>
        <v>821.31</v>
      </c>
      <c r="F117" s="50">
        <f>VLOOKUP($A117,'Data Vlaue (Cr)'!$C:$FB,146)*100</f>
        <v>95.77</v>
      </c>
      <c r="G117" s="49">
        <f>VLOOKUP($A117,'Data Vlaue (Cr)'!$C:$FB,43)</f>
        <v>558</v>
      </c>
      <c r="H117" s="49">
        <f>VLOOKUP($A117,'Data Vlaue (Cr)'!$C:$FB,44)</f>
        <v>119</v>
      </c>
      <c r="I117" s="49">
        <f>VLOOKUP($A117,'Data Vlaue (Cr)'!$C:$FB,46)*100</f>
        <v>368.65000000000003</v>
      </c>
      <c r="J117" s="51">
        <f>VLOOKUP($A117,'Data Vlaue (Cr)'!$C:$FB,59)</f>
        <v>741</v>
      </c>
      <c r="K117" s="51">
        <f>VLOOKUP($A117,'Data Vlaue (Cr)'!$C:$FB,60)</f>
        <v>470</v>
      </c>
      <c r="L117" s="51">
        <f>VLOOKUP($A117,'Data Vlaue (Cr)'!$C:$FB,62)*100</f>
        <v>57.68</v>
      </c>
      <c r="M117" s="51">
        <f>VLOOKUP($A117,'Data Vlaue (Cr)'!$C:$FB,63)</f>
        <v>264</v>
      </c>
      <c r="N117" s="51">
        <f>VLOOKUP($A117,'Data Vlaue (Cr)'!$C:$FB,64)</f>
        <v>200</v>
      </c>
      <c r="O117" s="51">
        <f>VLOOKUP($A117,'Data Vlaue (Cr)'!$C:$FB,66)*100</f>
        <v>31.929999999999996</v>
      </c>
    </row>
    <row r="118" spans="1:15" x14ac:dyDescent="0.25">
      <c r="A118" s="101" t="str">
        <f>'Data Vlaue (Cr)'!C113</f>
        <v>KAYNES</v>
      </c>
      <c r="B118" s="50">
        <f>VLOOKUP($A118,'Data Vlaue (Cr)'!$C:$FB,8)</f>
        <v>4387.7</v>
      </c>
      <c r="C118" s="50">
        <f>VLOOKUP($A118,'Data Vlaue (Cr)'!$C:$FB,11)*100</f>
        <v>-1.6</v>
      </c>
      <c r="D118" s="50">
        <f>VLOOKUP($A118,'Data Vlaue (Cr)'!$C:$FB,143)</f>
        <v>3407.1</v>
      </c>
      <c r="E118" s="50">
        <f>VLOOKUP($A118,'Data Vlaue (Cr)'!$C:$FB,144)</f>
        <v>6204.5</v>
      </c>
      <c r="F118" s="50">
        <f>VLOOKUP($A118,'Data Vlaue (Cr)'!$C:$FB,146)*100</f>
        <v>-45.09</v>
      </c>
      <c r="G118" s="49">
        <f>VLOOKUP($A118,'Data Vlaue (Cr)'!$C:$FB,43)</f>
        <v>1144</v>
      </c>
      <c r="H118" s="49">
        <f>VLOOKUP($A118,'Data Vlaue (Cr)'!$C:$FB,44)</f>
        <v>678</v>
      </c>
      <c r="I118" s="49">
        <f>VLOOKUP($A118,'Data Vlaue (Cr)'!$C:$FB,46)*100</f>
        <v>68.820000000000007</v>
      </c>
      <c r="J118" s="51">
        <f>VLOOKUP($A118,'Data Vlaue (Cr)'!$C:$FB,59)</f>
        <v>1326</v>
      </c>
      <c r="K118" s="51">
        <f>VLOOKUP($A118,'Data Vlaue (Cr)'!$C:$FB,60)</f>
        <v>3494</v>
      </c>
      <c r="L118" s="51">
        <f>VLOOKUP($A118,'Data Vlaue (Cr)'!$C:$FB,62)*100</f>
        <v>-62.050000000000004</v>
      </c>
      <c r="M118" s="51">
        <f>VLOOKUP($A118,'Data Vlaue (Cr)'!$C:$FB,63)</f>
        <v>942</v>
      </c>
      <c r="N118" s="51">
        <f>VLOOKUP($A118,'Data Vlaue (Cr)'!$C:$FB,64)</f>
        <v>2039</v>
      </c>
      <c r="O118" s="51">
        <f>VLOOKUP($A118,'Data Vlaue (Cr)'!$C:$FB,66)*100</f>
        <v>-53.779999999999994</v>
      </c>
    </row>
    <row r="119" spans="1:15" x14ac:dyDescent="0.25">
      <c r="A119" s="101" t="str">
        <f>'Data Vlaue (Cr)'!C114</f>
        <v>KEI</v>
      </c>
      <c r="B119" s="50">
        <f>VLOOKUP($A119,'Data Vlaue (Cr)'!$C:$FB,8)</f>
        <v>4839.5</v>
      </c>
      <c r="C119" s="50">
        <f>VLOOKUP($A119,'Data Vlaue (Cr)'!$C:$FB,11)*100</f>
        <v>-1.43</v>
      </c>
      <c r="D119" s="50">
        <f>VLOOKUP($A119,'Data Vlaue (Cr)'!$C:$FB,143)</f>
        <v>1969.14</v>
      </c>
      <c r="E119" s="50">
        <f>VLOOKUP($A119,'Data Vlaue (Cr)'!$C:$FB,144)</f>
        <v>2036.08</v>
      </c>
      <c r="F119" s="50">
        <f>VLOOKUP($A119,'Data Vlaue (Cr)'!$C:$FB,146)*100</f>
        <v>-3.29</v>
      </c>
      <c r="G119" s="49">
        <f>VLOOKUP($A119,'Data Vlaue (Cr)'!$C:$FB,43)</f>
        <v>766</v>
      </c>
      <c r="H119" s="49">
        <f>VLOOKUP($A119,'Data Vlaue (Cr)'!$C:$FB,44)</f>
        <v>408</v>
      </c>
      <c r="I119" s="49">
        <f>VLOOKUP($A119,'Data Vlaue (Cr)'!$C:$FB,46)*100</f>
        <v>87.8</v>
      </c>
      <c r="J119" s="51">
        <f>VLOOKUP($A119,'Data Vlaue (Cr)'!$C:$FB,59)</f>
        <v>614</v>
      </c>
      <c r="K119" s="51">
        <f>VLOOKUP($A119,'Data Vlaue (Cr)'!$C:$FB,60)</f>
        <v>642</v>
      </c>
      <c r="L119" s="51">
        <f>VLOOKUP($A119,'Data Vlaue (Cr)'!$C:$FB,62)*100</f>
        <v>-4.3999999999999995</v>
      </c>
      <c r="M119" s="51">
        <f>VLOOKUP($A119,'Data Vlaue (Cr)'!$C:$FB,63)</f>
        <v>616</v>
      </c>
      <c r="N119" s="51">
        <f>VLOOKUP($A119,'Data Vlaue (Cr)'!$C:$FB,64)</f>
        <v>1093</v>
      </c>
      <c r="O119" s="51">
        <f>VLOOKUP($A119,'Data Vlaue (Cr)'!$C:$FB,66)*100</f>
        <v>-43.62</v>
      </c>
    </row>
    <row r="120" spans="1:15" x14ac:dyDescent="0.25">
      <c r="A120" s="101" t="str">
        <f>'Data Vlaue (Cr)'!C115</f>
        <v>KFINTECH</v>
      </c>
      <c r="B120" s="50">
        <f>VLOOKUP($A120,'Data Vlaue (Cr)'!$C:$FB,8)</f>
        <v>981.9</v>
      </c>
      <c r="C120" s="50">
        <f>VLOOKUP($A120,'Data Vlaue (Cr)'!$C:$FB,11)*100</f>
        <v>-0.82000000000000006</v>
      </c>
      <c r="D120" s="50">
        <f>VLOOKUP($A120,'Data Vlaue (Cr)'!$C:$FB,143)</f>
        <v>484.68</v>
      </c>
      <c r="E120" s="50">
        <f>VLOOKUP($A120,'Data Vlaue (Cr)'!$C:$FB,144)</f>
        <v>427.55</v>
      </c>
      <c r="F120" s="50">
        <f>VLOOKUP($A120,'Data Vlaue (Cr)'!$C:$FB,146)*100</f>
        <v>13.36</v>
      </c>
      <c r="G120" s="49">
        <f>VLOOKUP($A120,'Data Vlaue (Cr)'!$C:$FB,43)</f>
        <v>276</v>
      </c>
      <c r="H120" s="49">
        <f>VLOOKUP($A120,'Data Vlaue (Cr)'!$C:$FB,44)</f>
        <v>142</v>
      </c>
      <c r="I120" s="49">
        <f>VLOOKUP($A120,'Data Vlaue (Cr)'!$C:$FB,46)*100</f>
        <v>94.64</v>
      </c>
      <c r="J120" s="51">
        <f>VLOOKUP($A120,'Data Vlaue (Cr)'!$C:$FB,59)</f>
        <v>150</v>
      </c>
      <c r="K120" s="51">
        <f>VLOOKUP($A120,'Data Vlaue (Cr)'!$C:$FB,60)</f>
        <v>231</v>
      </c>
      <c r="L120" s="51">
        <f>VLOOKUP($A120,'Data Vlaue (Cr)'!$C:$FB,62)*100</f>
        <v>-35.020000000000003</v>
      </c>
      <c r="M120" s="51">
        <f>VLOOKUP($A120,'Data Vlaue (Cr)'!$C:$FB,63)</f>
        <v>56</v>
      </c>
      <c r="N120" s="51">
        <f>VLOOKUP($A120,'Data Vlaue (Cr)'!$C:$FB,64)</f>
        <v>48</v>
      </c>
      <c r="O120" s="51">
        <f>VLOOKUP($A120,'Data Vlaue (Cr)'!$C:$FB,66)*100</f>
        <v>17.41</v>
      </c>
    </row>
    <row r="121" spans="1:15" x14ac:dyDescent="0.25">
      <c r="A121" s="101" t="str">
        <f>'Data Vlaue (Cr)'!C116</f>
        <v>KOTAKBANK</v>
      </c>
      <c r="B121" s="50">
        <f>VLOOKUP($A121,'Data Vlaue (Cr)'!$C:$FB,8)</f>
        <v>370.4</v>
      </c>
      <c r="C121" s="50">
        <f>VLOOKUP($A121,'Data Vlaue (Cr)'!$C:$FB,11)*100</f>
        <v>-1.71</v>
      </c>
      <c r="D121" s="50">
        <f>VLOOKUP($A121,'Data Vlaue (Cr)'!$C:$FB,143)</f>
        <v>6215.82</v>
      </c>
      <c r="E121" s="50">
        <f>VLOOKUP($A121,'Data Vlaue (Cr)'!$C:$FB,144)</f>
        <v>3479.53</v>
      </c>
      <c r="F121" s="50">
        <f>VLOOKUP($A121,'Data Vlaue (Cr)'!$C:$FB,146)*100</f>
        <v>78.64</v>
      </c>
      <c r="G121" s="49">
        <f>VLOOKUP($A121,'Data Vlaue (Cr)'!$C:$FB,43)</f>
        <v>3272</v>
      </c>
      <c r="H121" s="49">
        <f>VLOOKUP($A121,'Data Vlaue (Cr)'!$C:$FB,44)</f>
        <v>1592</v>
      </c>
      <c r="I121" s="49">
        <f>VLOOKUP($A121,'Data Vlaue (Cr)'!$C:$FB,46)*100</f>
        <v>105.59</v>
      </c>
      <c r="J121" s="51">
        <f>VLOOKUP($A121,'Data Vlaue (Cr)'!$C:$FB,59)</f>
        <v>1816</v>
      </c>
      <c r="K121" s="51">
        <f>VLOOKUP($A121,'Data Vlaue (Cr)'!$C:$FB,60)</f>
        <v>1242</v>
      </c>
      <c r="L121" s="51">
        <f>VLOOKUP($A121,'Data Vlaue (Cr)'!$C:$FB,62)*100</f>
        <v>46.23</v>
      </c>
      <c r="M121" s="51">
        <f>VLOOKUP($A121,'Data Vlaue (Cr)'!$C:$FB,63)</f>
        <v>1027</v>
      </c>
      <c r="N121" s="51">
        <f>VLOOKUP($A121,'Data Vlaue (Cr)'!$C:$FB,64)</f>
        <v>518</v>
      </c>
      <c r="O121" s="51">
        <f>VLOOKUP($A121,'Data Vlaue (Cr)'!$C:$FB,66)*100</f>
        <v>98.28</v>
      </c>
    </row>
    <row r="122" spans="1:15" x14ac:dyDescent="0.25">
      <c r="A122" s="101" t="str">
        <f>'Data Vlaue (Cr)'!C117</f>
        <v>KPITTECH</v>
      </c>
      <c r="B122" s="50">
        <f>VLOOKUP($A122,'Data Vlaue (Cr)'!$C:$FB,8)</f>
        <v>733.65</v>
      </c>
      <c r="C122" s="50">
        <f>VLOOKUP($A122,'Data Vlaue (Cr)'!$C:$FB,11)*100</f>
        <v>-0.31</v>
      </c>
      <c r="D122" s="50">
        <f>VLOOKUP($A122,'Data Vlaue (Cr)'!$C:$FB,143)</f>
        <v>706.37</v>
      </c>
      <c r="E122" s="50">
        <f>VLOOKUP($A122,'Data Vlaue (Cr)'!$C:$FB,144)</f>
        <v>601.6</v>
      </c>
      <c r="F122" s="50">
        <f>VLOOKUP($A122,'Data Vlaue (Cr)'!$C:$FB,146)*100</f>
        <v>17.41</v>
      </c>
      <c r="G122" s="49">
        <f>VLOOKUP($A122,'Data Vlaue (Cr)'!$C:$FB,43)</f>
        <v>367</v>
      </c>
      <c r="H122" s="49">
        <f>VLOOKUP($A122,'Data Vlaue (Cr)'!$C:$FB,44)</f>
        <v>177</v>
      </c>
      <c r="I122" s="49">
        <f>VLOOKUP($A122,'Data Vlaue (Cr)'!$C:$FB,46)*100</f>
        <v>107.17000000000002</v>
      </c>
      <c r="J122" s="51">
        <f>VLOOKUP($A122,'Data Vlaue (Cr)'!$C:$FB,59)</f>
        <v>225</v>
      </c>
      <c r="K122" s="51">
        <f>VLOOKUP($A122,'Data Vlaue (Cr)'!$C:$FB,60)</f>
        <v>226</v>
      </c>
      <c r="L122" s="51">
        <f>VLOOKUP($A122,'Data Vlaue (Cr)'!$C:$FB,62)*100</f>
        <v>-0.16999999999999998</v>
      </c>
      <c r="M122" s="51">
        <f>VLOOKUP($A122,'Data Vlaue (Cr)'!$C:$FB,63)</f>
        <v>100</v>
      </c>
      <c r="N122" s="51">
        <f>VLOOKUP($A122,'Data Vlaue (Cr)'!$C:$FB,64)</f>
        <v>193</v>
      </c>
      <c r="O122" s="51">
        <f>VLOOKUP($A122,'Data Vlaue (Cr)'!$C:$FB,66)*100</f>
        <v>-48.15</v>
      </c>
    </row>
    <row r="123" spans="1:15" x14ac:dyDescent="0.25">
      <c r="A123" s="101" t="str">
        <f>'Data Vlaue (Cr)'!C118</f>
        <v>LAURUSLABS</v>
      </c>
      <c r="B123" s="50">
        <f>VLOOKUP($A123,'Data Vlaue (Cr)'!$C:$FB,8)</f>
        <v>1129</v>
      </c>
      <c r="C123" s="50">
        <f>VLOOKUP($A123,'Data Vlaue (Cr)'!$C:$FB,11)*100</f>
        <v>3</v>
      </c>
      <c r="D123" s="50">
        <f>VLOOKUP($A123,'Data Vlaue (Cr)'!$C:$FB,143)</f>
        <v>3374.83</v>
      </c>
      <c r="E123" s="50">
        <f>VLOOKUP($A123,'Data Vlaue (Cr)'!$C:$FB,144)</f>
        <v>1720.28</v>
      </c>
      <c r="F123" s="50">
        <f>VLOOKUP($A123,'Data Vlaue (Cr)'!$C:$FB,146)*100</f>
        <v>96.179999999999993</v>
      </c>
      <c r="G123" s="49">
        <f>VLOOKUP($A123,'Data Vlaue (Cr)'!$C:$FB,43)</f>
        <v>1176</v>
      </c>
      <c r="H123" s="49">
        <f>VLOOKUP($A123,'Data Vlaue (Cr)'!$C:$FB,44)</f>
        <v>577</v>
      </c>
      <c r="I123" s="49">
        <f>VLOOKUP($A123,'Data Vlaue (Cr)'!$C:$FB,46)*100</f>
        <v>103.79</v>
      </c>
      <c r="J123" s="51">
        <f>VLOOKUP($A123,'Data Vlaue (Cr)'!$C:$FB,59)</f>
        <v>1727</v>
      </c>
      <c r="K123" s="51">
        <f>VLOOKUP($A123,'Data Vlaue (Cr)'!$C:$FB,60)</f>
        <v>767</v>
      </c>
      <c r="L123" s="51">
        <f>VLOOKUP($A123,'Data Vlaue (Cr)'!$C:$FB,62)*100</f>
        <v>125.18</v>
      </c>
      <c r="M123" s="51">
        <f>VLOOKUP($A123,'Data Vlaue (Cr)'!$C:$FB,63)</f>
        <v>450</v>
      </c>
      <c r="N123" s="51">
        <f>VLOOKUP($A123,'Data Vlaue (Cr)'!$C:$FB,64)</f>
        <v>382</v>
      </c>
      <c r="O123" s="51">
        <f>VLOOKUP($A123,'Data Vlaue (Cr)'!$C:$FB,66)*100</f>
        <v>17.78</v>
      </c>
    </row>
    <row r="124" spans="1:15" x14ac:dyDescent="0.25">
      <c r="A124" s="101" t="str">
        <f>'Data Vlaue (Cr)'!C119</f>
        <v>LICHSGFIN</v>
      </c>
      <c r="B124" s="50">
        <f>VLOOKUP($A124,'Data Vlaue (Cr)'!$C:$FB,8)</f>
        <v>545.54999999999995</v>
      </c>
      <c r="C124" s="50">
        <f>VLOOKUP($A124,'Data Vlaue (Cr)'!$C:$FB,11)*100</f>
        <v>-2.41</v>
      </c>
      <c r="D124" s="50">
        <f>VLOOKUP($A124,'Data Vlaue (Cr)'!$C:$FB,143)</f>
        <v>1305.79</v>
      </c>
      <c r="E124" s="50">
        <f>VLOOKUP($A124,'Data Vlaue (Cr)'!$C:$FB,144)</f>
        <v>1115.78</v>
      </c>
      <c r="F124" s="50">
        <f>VLOOKUP($A124,'Data Vlaue (Cr)'!$C:$FB,146)*100</f>
        <v>17.03</v>
      </c>
      <c r="G124" s="49">
        <f>VLOOKUP($A124,'Data Vlaue (Cr)'!$C:$FB,43)</f>
        <v>600</v>
      </c>
      <c r="H124" s="49">
        <f>VLOOKUP($A124,'Data Vlaue (Cr)'!$C:$FB,44)</f>
        <v>341</v>
      </c>
      <c r="I124" s="49">
        <f>VLOOKUP($A124,'Data Vlaue (Cr)'!$C:$FB,46)*100</f>
        <v>75.73</v>
      </c>
      <c r="J124" s="51">
        <f>VLOOKUP($A124,'Data Vlaue (Cr)'!$C:$FB,59)</f>
        <v>435</v>
      </c>
      <c r="K124" s="51">
        <f>VLOOKUP($A124,'Data Vlaue (Cr)'!$C:$FB,60)</f>
        <v>514</v>
      </c>
      <c r="L124" s="51">
        <f>VLOOKUP($A124,'Data Vlaue (Cr)'!$C:$FB,62)*100</f>
        <v>-15.509999999999998</v>
      </c>
      <c r="M124" s="51">
        <f>VLOOKUP($A124,'Data Vlaue (Cr)'!$C:$FB,63)</f>
        <v>243</v>
      </c>
      <c r="N124" s="51">
        <f>VLOOKUP($A124,'Data Vlaue (Cr)'!$C:$FB,64)</f>
        <v>215</v>
      </c>
      <c r="O124" s="51">
        <f>VLOOKUP($A124,'Data Vlaue (Cr)'!$C:$FB,66)*100</f>
        <v>12.659999999999998</v>
      </c>
    </row>
    <row r="125" spans="1:15" x14ac:dyDescent="0.25">
      <c r="A125" s="101" t="str">
        <f>'Data Vlaue (Cr)'!C120</f>
        <v>LICI</v>
      </c>
      <c r="B125" s="50">
        <f>VLOOKUP($A125,'Data Vlaue (Cr)'!$C:$FB,8)</f>
        <v>811.65</v>
      </c>
      <c r="C125" s="50">
        <f>VLOOKUP($A125,'Data Vlaue (Cr)'!$C:$FB,11)*100</f>
        <v>-1.08</v>
      </c>
      <c r="D125" s="50">
        <f>VLOOKUP($A125,'Data Vlaue (Cr)'!$C:$FB,143)</f>
        <v>1166.8399999999999</v>
      </c>
      <c r="E125" s="50">
        <f>VLOOKUP($A125,'Data Vlaue (Cr)'!$C:$FB,144)</f>
        <v>519.45000000000005</v>
      </c>
      <c r="F125" s="50">
        <f>VLOOKUP($A125,'Data Vlaue (Cr)'!$C:$FB,146)*100</f>
        <v>124.63</v>
      </c>
      <c r="G125" s="49">
        <f>VLOOKUP($A125,'Data Vlaue (Cr)'!$C:$FB,43)</f>
        <v>590</v>
      </c>
      <c r="H125" s="49">
        <f>VLOOKUP($A125,'Data Vlaue (Cr)'!$C:$FB,44)</f>
        <v>135</v>
      </c>
      <c r="I125" s="49">
        <f>VLOOKUP($A125,'Data Vlaue (Cr)'!$C:$FB,46)*100</f>
        <v>335.96</v>
      </c>
      <c r="J125" s="51">
        <f>VLOOKUP($A125,'Data Vlaue (Cr)'!$C:$FB,59)</f>
        <v>358</v>
      </c>
      <c r="K125" s="51">
        <f>VLOOKUP($A125,'Data Vlaue (Cr)'!$C:$FB,60)</f>
        <v>277</v>
      </c>
      <c r="L125" s="51">
        <f>VLOOKUP($A125,'Data Vlaue (Cr)'!$C:$FB,62)*100</f>
        <v>29.34</v>
      </c>
      <c r="M125" s="51">
        <f>VLOOKUP($A125,'Data Vlaue (Cr)'!$C:$FB,63)</f>
        <v>195</v>
      </c>
      <c r="N125" s="51">
        <f>VLOOKUP($A125,'Data Vlaue (Cr)'!$C:$FB,64)</f>
        <v>85</v>
      </c>
      <c r="O125" s="51">
        <f>VLOOKUP($A125,'Data Vlaue (Cr)'!$C:$FB,66)*100</f>
        <v>128.82</v>
      </c>
    </row>
    <row r="126" spans="1:15" x14ac:dyDescent="0.25">
      <c r="A126" s="101" t="str">
        <f>'Data Vlaue (Cr)'!C121</f>
        <v>LODHA</v>
      </c>
      <c r="B126" s="50">
        <f>VLOOKUP($A126,'Data Vlaue (Cr)'!$C:$FB,8)</f>
        <v>856.5</v>
      </c>
      <c r="C126" s="50">
        <f>VLOOKUP($A126,'Data Vlaue (Cr)'!$C:$FB,11)*100</f>
        <v>-3.2</v>
      </c>
      <c r="D126" s="50">
        <f>VLOOKUP($A126,'Data Vlaue (Cr)'!$C:$FB,143)</f>
        <v>1636.68</v>
      </c>
      <c r="E126" s="50">
        <f>VLOOKUP($A126,'Data Vlaue (Cr)'!$C:$FB,144)</f>
        <v>1260.8499999999999</v>
      </c>
      <c r="F126" s="50">
        <f>VLOOKUP($A126,'Data Vlaue (Cr)'!$C:$FB,146)*100</f>
        <v>29.81</v>
      </c>
      <c r="G126" s="49">
        <f>VLOOKUP($A126,'Data Vlaue (Cr)'!$C:$FB,43)</f>
        <v>745</v>
      </c>
      <c r="H126" s="49">
        <f>VLOOKUP($A126,'Data Vlaue (Cr)'!$C:$FB,44)</f>
        <v>277</v>
      </c>
      <c r="I126" s="49">
        <f>VLOOKUP($A126,'Data Vlaue (Cr)'!$C:$FB,46)*100</f>
        <v>169.47</v>
      </c>
      <c r="J126" s="51">
        <f>VLOOKUP($A126,'Data Vlaue (Cr)'!$C:$FB,59)</f>
        <v>470</v>
      </c>
      <c r="K126" s="51">
        <f>VLOOKUP($A126,'Data Vlaue (Cr)'!$C:$FB,60)</f>
        <v>591</v>
      </c>
      <c r="L126" s="51">
        <f>VLOOKUP($A126,'Data Vlaue (Cr)'!$C:$FB,62)*100</f>
        <v>-20.41</v>
      </c>
      <c r="M126" s="51">
        <f>VLOOKUP($A126,'Data Vlaue (Cr)'!$C:$FB,63)</f>
        <v>389</v>
      </c>
      <c r="N126" s="51">
        <f>VLOOKUP($A126,'Data Vlaue (Cr)'!$C:$FB,64)</f>
        <v>345</v>
      </c>
      <c r="O126" s="51">
        <f>VLOOKUP($A126,'Data Vlaue (Cr)'!$C:$FB,66)*100</f>
        <v>12.67</v>
      </c>
    </row>
    <row r="127" spans="1:15" x14ac:dyDescent="0.25">
      <c r="A127" s="101" t="str">
        <f>'Data Vlaue (Cr)'!C122</f>
        <v>LT</v>
      </c>
      <c r="B127" s="50">
        <f>VLOOKUP($A127,'Data Vlaue (Cr)'!$C:$FB,8)</f>
        <v>4054.1</v>
      </c>
      <c r="C127" s="50">
        <f>VLOOKUP($A127,'Data Vlaue (Cr)'!$C:$FB,11)*100</f>
        <v>0.82000000000000006</v>
      </c>
      <c r="D127" s="50">
        <f>VLOOKUP($A127,'Data Vlaue (Cr)'!$C:$FB,143)</f>
        <v>7513.01</v>
      </c>
      <c r="E127" s="50">
        <f>VLOOKUP($A127,'Data Vlaue (Cr)'!$C:$FB,144)</f>
        <v>7224.81</v>
      </c>
      <c r="F127" s="50">
        <f>VLOOKUP($A127,'Data Vlaue (Cr)'!$C:$FB,146)*100</f>
        <v>3.9899999999999998</v>
      </c>
      <c r="G127" s="49">
        <f>VLOOKUP($A127,'Data Vlaue (Cr)'!$C:$FB,43)</f>
        <v>2341</v>
      </c>
      <c r="H127" s="49">
        <f>VLOOKUP($A127,'Data Vlaue (Cr)'!$C:$FB,44)</f>
        <v>1269</v>
      </c>
      <c r="I127" s="49">
        <f>VLOOKUP($A127,'Data Vlaue (Cr)'!$C:$FB,46)*100</f>
        <v>84.48</v>
      </c>
      <c r="J127" s="51">
        <f>VLOOKUP($A127,'Data Vlaue (Cr)'!$C:$FB,59)</f>
        <v>3143</v>
      </c>
      <c r="K127" s="51">
        <f>VLOOKUP($A127,'Data Vlaue (Cr)'!$C:$FB,60)</f>
        <v>3806</v>
      </c>
      <c r="L127" s="51">
        <f>VLOOKUP($A127,'Data Vlaue (Cr)'!$C:$FB,62)*100</f>
        <v>-17.41</v>
      </c>
      <c r="M127" s="51">
        <f>VLOOKUP($A127,'Data Vlaue (Cr)'!$C:$FB,63)</f>
        <v>1988</v>
      </c>
      <c r="N127" s="51">
        <f>VLOOKUP($A127,'Data Vlaue (Cr)'!$C:$FB,64)</f>
        <v>2071</v>
      </c>
      <c r="O127" s="51">
        <f>VLOOKUP($A127,'Data Vlaue (Cr)'!$C:$FB,66)*100</f>
        <v>-4</v>
      </c>
    </row>
    <row r="128" spans="1:15" x14ac:dyDescent="0.25">
      <c r="A128" s="101" t="str">
        <f>'Data Vlaue (Cr)'!C123</f>
        <v>LTF</v>
      </c>
      <c r="B128" s="50">
        <f>VLOOKUP($A128,'Data Vlaue (Cr)'!$C:$FB,8)</f>
        <v>292.12</v>
      </c>
      <c r="C128" s="50">
        <f>VLOOKUP($A128,'Data Vlaue (Cr)'!$C:$FB,11)*100</f>
        <v>-0.65</v>
      </c>
      <c r="D128" s="50">
        <f>VLOOKUP($A128,'Data Vlaue (Cr)'!$C:$FB,143)</f>
        <v>1838.38</v>
      </c>
      <c r="E128" s="50">
        <f>VLOOKUP($A128,'Data Vlaue (Cr)'!$C:$FB,144)</f>
        <v>865.52</v>
      </c>
      <c r="F128" s="50">
        <f>VLOOKUP($A128,'Data Vlaue (Cr)'!$C:$FB,146)*100</f>
        <v>112.4</v>
      </c>
      <c r="G128" s="49">
        <f>VLOOKUP($A128,'Data Vlaue (Cr)'!$C:$FB,43)</f>
        <v>1073</v>
      </c>
      <c r="H128" s="49">
        <f>VLOOKUP($A128,'Data Vlaue (Cr)'!$C:$FB,44)</f>
        <v>245</v>
      </c>
      <c r="I128" s="49">
        <f>VLOOKUP($A128,'Data Vlaue (Cr)'!$C:$FB,46)*100</f>
        <v>337.48</v>
      </c>
      <c r="J128" s="51">
        <f>VLOOKUP($A128,'Data Vlaue (Cr)'!$C:$FB,59)</f>
        <v>447</v>
      </c>
      <c r="K128" s="51">
        <f>VLOOKUP($A128,'Data Vlaue (Cr)'!$C:$FB,60)</f>
        <v>381</v>
      </c>
      <c r="L128" s="51">
        <f>VLOOKUP($A128,'Data Vlaue (Cr)'!$C:$FB,62)*100</f>
        <v>17.28</v>
      </c>
      <c r="M128" s="51">
        <f>VLOOKUP($A128,'Data Vlaue (Cr)'!$C:$FB,63)</f>
        <v>321</v>
      </c>
      <c r="N128" s="51">
        <f>VLOOKUP($A128,'Data Vlaue (Cr)'!$C:$FB,64)</f>
        <v>230</v>
      </c>
      <c r="O128" s="51">
        <f>VLOOKUP($A128,'Data Vlaue (Cr)'!$C:$FB,66)*100</f>
        <v>39.519999999999996</v>
      </c>
    </row>
    <row r="129" spans="1:15" x14ac:dyDescent="0.25">
      <c r="A129" s="101" t="str">
        <f>'Data Vlaue (Cr)'!C124</f>
        <v>LTM</v>
      </c>
      <c r="B129" s="50">
        <f>VLOOKUP($A129,'Data Vlaue (Cr)'!$C:$FB,8)</f>
        <v>4531.5</v>
      </c>
      <c r="C129" s="50">
        <f>VLOOKUP($A129,'Data Vlaue (Cr)'!$C:$FB,11)*100</f>
        <v>-1.58</v>
      </c>
      <c r="D129" s="50">
        <f>VLOOKUP($A129,'Data Vlaue (Cr)'!$C:$FB,143)</f>
        <v>3854.99</v>
      </c>
      <c r="E129" s="50">
        <f>VLOOKUP($A129,'Data Vlaue (Cr)'!$C:$FB,144)</f>
        <v>2336.23</v>
      </c>
      <c r="F129" s="50">
        <f>VLOOKUP($A129,'Data Vlaue (Cr)'!$C:$FB,146)*100</f>
        <v>65.010000000000005</v>
      </c>
      <c r="G129" s="49">
        <f>VLOOKUP($A129,'Data Vlaue (Cr)'!$C:$FB,43)</f>
        <v>1352</v>
      </c>
      <c r="H129" s="49">
        <f>VLOOKUP($A129,'Data Vlaue (Cr)'!$C:$FB,44)</f>
        <v>577</v>
      </c>
      <c r="I129" s="49">
        <f>VLOOKUP($A129,'Data Vlaue (Cr)'!$C:$FB,46)*100</f>
        <v>134.30000000000001</v>
      </c>
      <c r="J129" s="51">
        <f>VLOOKUP($A129,'Data Vlaue (Cr)'!$C:$FB,59)</f>
        <v>1260</v>
      </c>
      <c r="K129" s="51">
        <f>VLOOKUP($A129,'Data Vlaue (Cr)'!$C:$FB,60)</f>
        <v>891</v>
      </c>
      <c r="L129" s="51">
        <f>VLOOKUP($A129,'Data Vlaue (Cr)'!$C:$FB,62)*100</f>
        <v>41.39</v>
      </c>
      <c r="M129" s="51">
        <f>VLOOKUP($A129,'Data Vlaue (Cr)'!$C:$FB,63)</f>
        <v>1193</v>
      </c>
      <c r="N129" s="51">
        <f>VLOOKUP($A129,'Data Vlaue (Cr)'!$C:$FB,64)</f>
        <v>807</v>
      </c>
      <c r="O129" s="51">
        <f>VLOOKUP($A129,'Data Vlaue (Cr)'!$C:$FB,66)*100</f>
        <v>47.839999999999996</v>
      </c>
    </row>
    <row r="130" spans="1:15" x14ac:dyDescent="0.25">
      <c r="A130" s="101" t="str">
        <f>'Data Vlaue (Cr)'!C125</f>
        <v>LUPIN</v>
      </c>
      <c r="B130" s="50">
        <f>VLOOKUP($A130,'Data Vlaue (Cr)'!$C:$FB,8)</f>
        <v>2341.4</v>
      </c>
      <c r="C130" s="50">
        <f>VLOOKUP($A130,'Data Vlaue (Cr)'!$C:$FB,11)*100</f>
        <v>1.4500000000000002</v>
      </c>
      <c r="D130" s="50">
        <f>VLOOKUP($A130,'Data Vlaue (Cr)'!$C:$FB,143)</f>
        <v>6535.87</v>
      </c>
      <c r="E130" s="50">
        <f>VLOOKUP($A130,'Data Vlaue (Cr)'!$C:$FB,144)</f>
        <v>1287.3900000000001</v>
      </c>
      <c r="F130" s="50">
        <f>VLOOKUP($A130,'Data Vlaue (Cr)'!$C:$FB,146)*100</f>
        <v>407.68000000000006</v>
      </c>
      <c r="G130" s="49">
        <f>VLOOKUP($A130,'Data Vlaue (Cr)'!$C:$FB,43)</f>
        <v>1236</v>
      </c>
      <c r="H130" s="49">
        <f>VLOOKUP($A130,'Data Vlaue (Cr)'!$C:$FB,44)</f>
        <v>184</v>
      </c>
      <c r="I130" s="49">
        <f>VLOOKUP($A130,'Data Vlaue (Cr)'!$C:$FB,46)*100</f>
        <v>572.34</v>
      </c>
      <c r="J130" s="51">
        <f>VLOOKUP($A130,'Data Vlaue (Cr)'!$C:$FB,59)</f>
        <v>3938</v>
      </c>
      <c r="K130" s="51">
        <f>VLOOKUP($A130,'Data Vlaue (Cr)'!$C:$FB,60)</f>
        <v>704</v>
      </c>
      <c r="L130" s="51">
        <f>VLOOKUP($A130,'Data Vlaue (Cr)'!$C:$FB,62)*100</f>
        <v>459.39</v>
      </c>
      <c r="M130" s="51">
        <f>VLOOKUP($A130,'Data Vlaue (Cr)'!$C:$FB,63)</f>
        <v>1245</v>
      </c>
      <c r="N130" s="51">
        <f>VLOOKUP($A130,'Data Vlaue (Cr)'!$C:$FB,64)</f>
        <v>401</v>
      </c>
      <c r="O130" s="51">
        <f>VLOOKUP($A130,'Data Vlaue (Cr)'!$C:$FB,66)*100</f>
        <v>210.34</v>
      </c>
    </row>
    <row r="131" spans="1:15" x14ac:dyDescent="0.25">
      <c r="A131" s="101" t="str">
        <f>'Data Vlaue (Cr)'!C126</f>
        <v>M&amp;M</v>
      </c>
      <c r="B131" s="50">
        <f>VLOOKUP($A131,'Data Vlaue (Cr)'!$C:$FB,8)</f>
        <v>3047.7</v>
      </c>
      <c r="C131" s="50">
        <f>VLOOKUP($A131,'Data Vlaue (Cr)'!$C:$FB,11)*100</f>
        <v>-3.2399999999999998</v>
      </c>
      <c r="D131" s="50">
        <f>VLOOKUP($A131,'Data Vlaue (Cr)'!$C:$FB,143)</f>
        <v>8827.0300000000007</v>
      </c>
      <c r="E131" s="50">
        <f>VLOOKUP($A131,'Data Vlaue (Cr)'!$C:$FB,144)</f>
        <v>5265.5</v>
      </c>
      <c r="F131" s="50">
        <f>VLOOKUP($A131,'Data Vlaue (Cr)'!$C:$FB,146)*100</f>
        <v>67.64</v>
      </c>
      <c r="G131" s="49">
        <f>VLOOKUP($A131,'Data Vlaue (Cr)'!$C:$FB,43)</f>
        <v>3313</v>
      </c>
      <c r="H131" s="49">
        <f>VLOOKUP($A131,'Data Vlaue (Cr)'!$C:$FB,44)</f>
        <v>1250</v>
      </c>
      <c r="I131" s="49">
        <f>VLOOKUP($A131,'Data Vlaue (Cr)'!$C:$FB,46)*100</f>
        <v>165</v>
      </c>
      <c r="J131" s="51">
        <f>VLOOKUP($A131,'Data Vlaue (Cr)'!$C:$FB,59)</f>
        <v>3330</v>
      </c>
      <c r="K131" s="51">
        <f>VLOOKUP($A131,'Data Vlaue (Cr)'!$C:$FB,60)</f>
        <v>2378</v>
      </c>
      <c r="L131" s="51">
        <f>VLOOKUP($A131,'Data Vlaue (Cr)'!$C:$FB,62)*100</f>
        <v>40.050000000000004</v>
      </c>
      <c r="M131" s="51">
        <f>VLOOKUP($A131,'Data Vlaue (Cr)'!$C:$FB,63)</f>
        <v>1939</v>
      </c>
      <c r="N131" s="51">
        <f>VLOOKUP($A131,'Data Vlaue (Cr)'!$C:$FB,64)</f>
        <v>1299</v>
      </c>
      <c r="O131" s="51">
        <f>VLOOKUP($A131,'Data Vlaue (Cr)'!$C:$FB,66)*100</f>
        <v>49.25</v>
      </c>
    </row>
    <row r="132" spans="1:15" x14ac:dyDescent="0.25">
      <c r="A132" s="101" t="str">
        <f>'Data Vlaue (Cr)'!C127</f>
        <v>MANAPPURAM</v>
      </c>
      <c r="B132" s="50">
        <f>VLOOKUP($A132,'Data Vlaue (Cr)'!$C:$FB,8)</f>
        <v>292.85000000000002</v>
      </c>
      <c r="C132" s="50">
        <f>VLOOKUP($A132,'Data Vlaue (Cr)'!$C:$FB,11)*100</f>
        <v>-0.75</v>
      </c>
      <c r="D132" s="50">
        <f>VLOOKUP($A132,'Data Vlaue (Cr)'!$C:$FB,143)</f>
        <v>1389.48</v>
      </c>
      <c r="E132" s="50">
        <f>VLOOKUP($A132,'Data Vlaue (Cr)'!$C:$FB,144)</f>
        <v>5516.41</v>
      </c>
      <c r="F132" s="50">
        <f>VLOOKUP($A132,'Data Vlaue (Cr)'!$C:$FB,146)*100</f>
        <v>-74.81</v>
      </c>
      <c r="G132" s="49">
        <f>VLOOKUP($A132,'Data Vlaue (Cr)'!$C:$FB,43)</f>
        <v>676</v>
      </c>
      <c r="H132" s="49">
        <f>VLOOKUP($A132,'Data Vlaue (Cr)'!$C:$FB,44)</f>
        <v>1230</v>
      </c>
      <c r="I132" s="49">
        <f>VLOOKUP($A132,'Data Vlaue (Cr)'!$C:$FB,46)*100</f>
        <v>-45.019999999999996</v>
      </c>
      <c r="J132" s="51">
        <f>VLOOKUP($A132,'Data Vlaue (Cr)'!$C:$FB,59)</f>
        <v>457</v>
      </c>
      <c r="K132" s="51">
        <f>VLOOKUP($A132,'Data Vlaue (Cr)'!$C:$FB,60)</f>
        <v>2709</v>
      </c>
      <c r="L132" s="51">
        <f>VLOOKUP($A132,'Data Vlaue (Cr)'!$C:$FB,62)*100</f>
        <v>-83.12</v>
      </c>
      <c r="M132" s="51">
        <f>VLOOKUP($A132,'Data Vlaue (Cr)'!$C:$FB,63)</f>
        <v>236</v>
      </c>
      <c r="N132" s="51">
        <f>VLOOKUP($A132,'Data Vlaue (Cr)'!$C:$FB,64)</f>
        <v>1522</v>
      </c>
      <c r="O132" s="51">
        <f>VLOOKUP($A132,'Data Vlaue (Cr)'!$C:$FB,66)*100</f>
        <v>-84.49</v>
      </c>
    </row>
    <row r="133" spans="1:15" x14ac:dyDescent="0.25">
      <c r="A133" s="101" t="str">
        <f>'Data Vlaue (Cr)'!C128</f>
        <v>MANKIND</v>
      </c>
      <c r="B133" s="50">
        <f>VLOOKUP($A133,'Data Vlaue (Cr)'!$C:$FB,8)</f>
        <v>2292.9</v>
      </c>
      <c r="C133" s="50">
        <f>VLOOKUP($A133,'Data Vlaue (Cr)'!$C:$FB,11)*100</f>
        <v>2.59</v>
      </c>
      <c r="D133" s="50">
        <f>VLOOKUP($A133,'Data Vlaue (Cr)'!$C:$FB,143)</f>
        <v>2719.72</v>
      </c>
      <c r="E133" s="50">
        <f>VLOOKUP($A133,'Data Vlaue (Cr)'!$C:$FB,144)</f>
        <v>760.63</v>
      </c>
      <c r="F133" s="50">
        <f>VLOOKUP($A133,'Data Vlaue (Cr)'!$C:$FB,146)*100</f>
        <v>257.56</v>
      </c>
      <c r="G133" s="49">
        <f>VLOOKUP($A133,'Data Vlaue (Cr)'!$C:$FB,43)</f>
        <v>912</v>
      </c>
      <c r="H133" s="49">
        <f>VLOOKUP($A133,'Data Vlaue (Cr)'!$C:$FB,44)</f>
        <v>171</v>
      </c>
      <c r="I133" s="49">
        <f>VLOOKUP($A133,'Data Vlaue (Cr)'!$C:$FB,46)*100</f>
        <v>432.89</v>
      </c>
      <c r="J133" s="51">
        <f>VLOOKUP($A133,'Data Vlaue (Cr)'!$C:$FB,59)</f>
        <v>1307</v>
      </c>
      <c r="K133" s="51">
        <f>VLOOKUP($A133,'Data Vlaue (Cr)'!$C:$FB,60)</f>
        <v>427</v>
      </c>
      <c r="L133" s="51">
        <f>VLOOKUP($A133,'Data Vlaue (Cr)'!$C:$FB,62)*100</f>
        <v>206.11</v>
      </c>
      <c r="M133" s="51">
        <f>VLOOKUP($A133,'Data Vlaue (Cr)'!$C:$FB,63)</f>
        <v>508</v>
      </c>
      <c r="N133" s="51">
        <f>VLOOKUP($A133,'Data Vlaue (Cr)'!$C:$FB,64)</f>
        <v>185</v>
      </c>
      <c r="O133" s="51">
        <f>VLOOKUP($A133,'Data Vlaue (Cr)'!$C:$FB,66)*100</f>
        <v>175.6</v>
      </c>
    </row>
    <row r="134" spans="1:15" x14ac:dyDescent="0.25">
      <c r="A134" s="101" t="str">
        <f>'Data Vlaue (Cr)'!C129</f>
        <v>MARICO</v>
      </c>
      <c r="B134" s="50">
        <f>VLOOKUP($A134,'Data Vlaue (Cr)'!$C:$FB,8)</f>
        <v>778.9</v>
      </c>
      <c r="C134" s="50">
        <f>VLOOKUP($A134,'Data Vlaue (Cr)'!$C:$FB,11)*100</f>
        <v>0.83</v>
      </c>
      <c r="D134" s="50">
        <f>VLOOKUP($A134,'Data Vlaue (Cr)'!$C:$FB,143)</f>
        <v>2161.3000000000002</v>
      </c>
      <c r="E134" s="50">
        <f>VLOOKUP($A134,'Data Vlaue (Cr)'!$C:$FB,144)</f>
        <v>1888.13</v>
      </c>
      <c r="F134" s="50">
        <f>VLOOKUP($A134,'Data Vlaue (Cr)'!$C:$FB,146)*100</f>
        <v>14.469999999999999</v>
      </c>
      <c r="G134" s="49">
        <f>VLOOKUP($A134,'Data Vlaue (Cr)'!$C:$FB,43)</f>
        <v>1313</v>
      </c>
      <c r="H134" s="49">
        <f>VLOOKUP($A134,'Data Vlaue (Cr)'!$C:$FB,44)</f>
        <v>318</v>
      </c>
      <c r="I134" s="49">
        <f>VLOOKUP($A134,'Data Vlaue (Cr)'!$C:$FB,46)*100</f>
        <v>313.55</v>
      </c>
      <c r="J134" s="51">
        <f>VLOOKUP($A134,'Data Vlaue (Cr)'!$C:$FB,59)</f>
        <v>650</v>
      </c>
      <c r="K134" s="51">
        <f>VLOOKUP($A134,'Data Vlaue (Cr)'!$C:$FB,60)</f>
        <v>1145</v>
      </c>
      <c r="L134" s="51">
        <f>VLOOKUP($A134,'Data Vlaue (Cr)'!$C:$FB,62)*100</f>
        <v>-43.21</v>
      </c>
      <c r="M134" s="51">
        <f>VLOOKUP($A134,'Data Vlaue (Cr)'!$C:$FB,63)</f>
        <v>195</v>
      </c>
      <c r="N134" s="51">
        <f>VLOOKUP($A134,'Data Vlaue (Cr)'!$C:$FB,64)</f>
        <v>438</v>
      </c>
      <c r="O134" s="51">
        <f>VLOOKUP($A134,'Data Vlaue (Cr)'!$C:$FB,66)*100</f>
        <v>-55.410000000000004</v>
      </c>
    </row>
    <row r="135" spans="1:15" x14ac:dyDescent="0.25">
      <c r="A135" s="101" t="str">
        <f>'Data Vlaue (Cr)'!C130</f>
        <v>MARUTI</v>
      </c>
      <c r="B135" s="50">
        <f>VLOOKUP($A135,'Data Vlaue (Cr)'!$C:$FB,8)</f>
        <v>13160</v>
      </c>
      <c r="C135" s="50">
        <f>VLOOKUP($A135,'Data Vlaue (Cr)'!$C:$FB,11)*100</f>
        <v>-1.3299999999999998</v>
      </c>
      <c r="D135" s="50">
        <f>VLOOKUP($A135,'Data Vlaue (Cr)'!$C:$FB,143)</f>
        <v>9175.5499999999993</v>
      </c>
      <c r="E135" s="50">
        <f>VLOOKUP($A135,'Data Vlaue (Cr)'!$C:$FB,144)</f>
        <v>6995.48</v>
      </c>
      <c r="F135" s="50">
        <f>VLOOKUP($A135,'Data Vlaue (Cr)'!$C:$FB,146)*100</f>
        <v>31.16</v>
      </c>
      <c r="G135" s="49">
        <f>VLOOKUP($A135,'Data Vlaue (Cr)'!$C:$FB,43)</f>
        <v>2821</v>
      </c>
      <c r="H135" s="49">
        <f>VLOOKUP($A135,'Data Vlaue (Cr)'!$C:$FB,44)</f>
        <v>1478</v>
      </c>
      <c r="I135" s="49">
        <f>VLOOKUP($A135,'Data Vlaue (Cr)'!$C:$FB,46)*100</f>
        <v>90.91</v>
      </c>
      <c r="J135" s="51">
        <f>VLOOKUP($A135,'Data Vlaue (Cr)'!$C:$FB,59)</f>
        <v>4261</v>
      </c>
      <c r="K135" s="51">
        <f>VLOOKUP($A135,'Data Vlaue (Cr)'!$C:$FB,60)</f>
        <v>3353</v>
      </c>
      <c r="L135" s="51">
        <f>VLOOKUP($A135,'Data Vlaue (Cr)'!$C:$FB,62)*100</f>
        <v>27.089999999999996</v>
      </c>
      <c r="M135" s="51">
        <f>VLOOKUP($A135,'Data Vlaue (Cr)'!$C:$FB,63)</f>
        <v>1874</v>
      </c>
      <c r="N135" s="51">
        <f>VLOOKUP($A135,'Data Vlaue (Cr)'!$C:$FB,64)</f>
        <v>1934</v>
      </c>
      <c r="O135" s="51">
        <f>VLOOKUP($A135,'Data Vlaue (Cr)'!$C:$FB,66)*100</f>
        <v>-3.09</v>
      </c>
    </row>
    <row r="136" spans="1:15" x14ac:dyDescent="0.25">
      <c r="A136" s="101" t="str">
        <f>'Data Vlaue (Cr)'!C131</f>
        <v>MAXHEALTH</v>
      </c>
      <c r="B136" s="50">
        <f>VLOOKUP($A136,'Data Vlaue (Cr)'!$C:$FB,8)</f>
        <v>1006.75</v>
      </c>
      <c r="C136" s="50">
        <f>VLOOKUP($A136,'Data Vlaue (Cr)'!$C:$FB,11)*100</f>
        <v>0.13999999999999999</v>
      </c>
      <c r="D136" s="50">
        <f>VLOOKUP($A136,'Data Vlaue (Cr)'!$C:$FB,143)</f>
        <v>2061.1</v>
      </c>
      <c r="E136" s="50">
        <f>VLOOKUP($A136,'Data Vlaue (Cr)'!$C:$FB,144)</f>
        <v>1356.84</v>
      </c>
      <c r="F136" s="50">
        <f>VLOOKUP($A136,'Data Vlaue (Cr)'!$C:$FB,146)*100</f>
        <v>51.9</v>
      </c>
      <c r="G136" s="49">
        <f>VLOOKUP($A136,'Data Vlaue (Cr)'!$C:$FB,43)</f>
        <v>1035</v>
      </c>
      <c r="H136" s="49">
        <f>VLOOKUP($A136,'Data Vlaue (Cr)'!$C:$FB,44)</f>
        <v>295</v>
      </c>
      <c r="I136" s="49">
        <f>VLOOKUP($A136,'Data Vlaue (Cr)'!$C:$FB,46)*100</f>
        <v>251.24</v>
      </c>
      <c r="J136" s="51">
        <f>VLOOKUP($A136,'Data Vlaue (Cr)'!$C:$FB,59)</f>
        <v>630</v>
      </c>
      <c r="K136" s="51">
        <f>VLOOKUP($A136,'Data Vlaue (Cr)'!$C:$FB,60)</f>
        <v>542</v>
      </c>
      <c r="L136" s="51">
        <f>VLOOKUP($A136,'Data Vlaue (Cr)'!$C:$FB,62)*100</f>
        <v>16.36</v>
      </c>
      <c r="M136" s="51">
        <f>VLOOKUP($A136,'Data Vlaue (Cr)'!$C:$FB,63)</f>
        <v>384</v>
      </c>
      <c r="N136" s="51">
        <f>VLOOKUP($A136,'Data Vlaue (Cr)'!$C:$FB,64)</f>
        <v>504</v>
      </c>
      <c r="O136" s="51">
        <f>VLOOKUP($A136,'Data Vlaue (Cr)'!$C:$FB,66)*100</f>
        <v>-23.74</v>
      </c>
    </row>
    <row r="137" spans="1:15" x14ac:dyDescent="0.25">
      <c r="A137" s="101" t="str">
        <f>'Data Vlaue (Cr)'!C132</f>
        <v>MAZDOCK</v>
      </c>
      <c r="B137" s="50">
        <f>VLOOKUP($A137,'Data Vlaue (Cr)'!$C:$FB,8)</f>
        <v>2693.8</v>
      </c>
      <c r="C137" s="50">
        <f>VLOOKUP($A137,'Data Vlaue (Cr)'!$C:$FB,11)*100</f>
        <v>-0.37</v>
      </c>
      <c r="D137" s="50">
        <f>VLOOKUP($A137,'Data Vlaue (Cr)'!$C:$FB,143)</f>
        <v>3968.42</v>
      </c>
      <c r="E137" s="50">
        <f>VLOOKUP($A137,'Data Vlaue (Cr)'!$C:$FB,144)</f>
        <v>3306.25</v>
      </c>
      <c r="F137" s="50">
        <f>VLOOKUP($A137,'Data Vlaue (Cr)'!$C:$FB,146)*100</f>
        <v>20.03</v>
      </c>
      <c r="G137" s="49">
        <f>VLOOKUP($A137,'Data Vlaue (Cr)'!$C:$FB,43)</f>
        <v>871</v>
      </c>
      <c r="H137" s="49">
        <f>VLOOKUP($A137,'Data Vlaue (Cr)'!$C:$FB,44)</f>
        <v>378</v>
      </c>
      <c r="I137" s="49">
        <f>VLOOKUP($A137,'Data Vlaue (Cr)'!$C:$FB,46)*100</f>
        <v>130.57000000000002</v>
      </c>
      <c r="J137" s="51">
        <f>VLOOKUP($A137,'Data Vlaue (Cr)'!$C:$FB,59)</f>
        <v>2145</v>
      </c>
      <c r="K137" s="51">
        <f>VLOOKUP($A137,'Data Vlaue (Cr)'!$C:$FB,60)</f>
        <v>2028</v>
      </c>
      <c r="L137" s="51">
        <f>VLOOKUP($A137,'Data Vlaue (Cr)'!$C:$FB,62)*100</f>
        <v>5.8000000000000007</v>
      </c>
      <c r="M137" s="51">
        <f>VLOOKUP($A137,'Data Vlaue (Cr)'!$C:$FB,63)</f>
        <v>905</v>
      </c>
      <c r="N137" s="51">
        <f>VLOOKUP($A137,'Data Vlaue (Cr)'!$C:$FB,64)</f>
        <v>881</v>
      </c>
      <c r="O137" s="51">
        <f>VLOOKUP($A137,'Data Vlaue (Cr)'!$C:$FB,66)*100</f>
        <v>2.75</v>
      </c>
    </row>
    <row r="138" spans="1:15" x14ac:dyDescent="0.25">
      <c r="A138" s="101" t="str">
        <f>'Data Vlaue (Cr)'!C133</f>
        <v>MCX</v>
      </c>
      <c r="B138" s="50">
        <f>VLOOKUP($A138,'Data Vlaue (Cr)'!$C:$FB,8)</f>
        <v>2791.4</v>
      </c>
      <c r="C138" s="50">
        <f>VLOOKUP($A138,'Data Vlaue (Cr)'!$C:$FB,11)*100</f>
        <v>0.28999999999999998</v>
      </c>
      <c r="D138" s="50">
        <f>VLOOKUP($A138,'Data Vlaue (Cr)'!$C:$FB,143)</f>
        <v>10765.47</v>
      </c>
      <c r="E138" s="50">
        <f>VLOOKUP($A138,'Data Vlaue (Cr)'!$C:$FB,144)</f>
        <v>8456.6</v>
      </c>
      <c r="F138" s="50">
        <f>VLOOKUP($A138,'Data Vlaue (Cr)'!$C:$FB,146)*100</f>
        <v>27.3</v>
      </c>
      <c r="G138" s="49">
        <f>VLOOKUP($A138,'Data Vlaue (Cr)'!$C:$FB,43)</f>
        <v>2654</v>
      </c>
      <c r="H138" s="49">
        <f>VLOOKUP($A138,'Data Vlaue (Cr)'!$C:$FB,44)</f>
        <v>1252</v>
      </c>
      <c r="I138" s="49">
        <f>VLOOKUP($A138,'Data Vlaue (Cr)'!$C:$FB,46)*100</f>
        <v>112.04</v>
      </c>
      <c r="J138" s="51">
        <f>VLOOKUP($A138,'Data Vlaue (Cr)'!$C:$FB,59)</f>
        <v>5225</v>
      </c>
      <c r="K138" s="51">
        <f>VLOOKUP($A138,'Data Vlaue (Cr)'!$C:$FB,60)</f>
        <v>4100</v>
      </c>
      <c r="L138" s="51">
        <f>VLOOKUP($A138,'Data Vlaue (Cr)'!$C:$FB,62)*100</f>
        <v>27.43</v>
      </c>
      <c r="M138" s="51">
        <f>VLOOKUP($A138,'Data Vlaue (Cr)'!$C:$FB,63)</f>
        <v>2633</v>
      </c>
      <c r="N138" s="51">
        <f>VLOOKUP($A138,'Data Vlaue (Cr)'!$C:$FB,64)</f>
        <v>2952</v>
      </c>
      <c r="O138" s="51">
        <f>VLOOKUP($A138,'Data Vlaue (Cr)'!$C:$FB,66)*100</f>
        <v>-10.8</v>
      </c>
    </row>
    <row r="139" spans="1:15" x14ac:dyDescent="0.25">
      <c r="A139" s="101" t="str">
        <f>'Data Vlaue (Cr)'!C134</f>
        <v>MFSL</v>
      </c>
      <c r="B139" s="50">
        <f>VLOOKUP($A139,'Data Vlaue (Cr)'!$C:$FB,8)</f>
        <v>1595.4</v>
      </c>
      <c r="C139" s="50">
        <f>VLOOKUP($A139,'Data Vlaue (Cr)'!$C:$FB,11)*100</f>
        <v>-1.97</v>
      </c>
      <c r="D139" s="50">
        <f>VLOOKUP($A139,'Data Vlaue (Cr)'!$C:$FB,143)</f>
        <v>1108.8800000000001</v>
      </c>
      <c r="E139" s="50">
        <f>VLOOKUP($A139,'Data Vlaue (Cr)'!$C:$FB,144)</f>
        <v>483.39</v>
      </c>
      <c r="F139" s="50">
        <f>VLOOKUP($A139,'Data Vlaue (Cr)'!$C:$FB,146)*100</f>
        <v>129.4</v>
      </c>
      <c r="G139" s="49">
        <f>VLOOKUP($A139,'Data Vlaue (Cr)'!$C:$FB,43)</f>
        <v>809</v>
      </c>
      <c r="H139" s="49">
        <f>VLOOKUP($A139,'Data Vlaue (Cr)'!$C:$FB,44)</f>
        <v>197</v>
      </c>
      <c r="I139" s="49">
        <f>VLOOKUP($A139,'Data Vlaue (Cr)'!$C:$FB,46)*100</f>
        <v>311.68</v>
      </c>
      <c r="J139" s="51">
        <f>VLOOKUP($A139,'Data Vlaue (Cr)'!$C:$FB,59)</f>
        <v>198</v>
      </c>
      <c r="K139" s="51">
        <f>VLOOKUP($A139,'Data Vlaue (Cr)'!$C:$FB,60)</f>
        <v>182</v>
      </c>
      <c r="L139" s="51">
        <f>VLOOKUP($A139,'Data Vlaue (Cr)'!$C:$FB,62)*100</f>
        <v>8.85</v>
      </c>
      <c r="M139" s="51">
        <f>VLOOKUP($A139,'Data Vlaue (Cr)'!$C:$FB,63)</f>
        <v>79</v>
      </c>
      <c r="N139" s="51">
        <f>VLOOKUP($A139,'Data Vlaue (Cr)'!$C:$FB,64)</f>
        <v>84</v>
      </c>
      <c r="O139" s="51">
        <f>VLOOKUP($A139,'Data Vlaue (Cr)'!$C:$FB,66)*100</f>
        <v>-5.82</v>
      </c>
    </row>
    <row r="140" spans="1:15" x14ac:dyDescent="0.25">
      <c r="A140" s="101" t="str">
        <f>'Data Vlaue (Cr)'!C135</f>
        <v>MIDCPNIFTY</v>
      </c>
      <c r="B140" s="50">
        <f>VLOOKUP($A140,'Data Vlaue (Cr)'!$C:$FB,8)</f>
        <v>13848.55</v>
      </c>
      <c r="C140" s="50">
        <f>VLOOKUP($A140,'Data Vlaue (Cr)'!$C:$FB,11)*100</f>
        <v>-0.65</v>
      </c>
      <c r="D140" s="50">
        <f>VLOOKUP($A140,'Data Vlaue (Cr)'!$C:$FB,143)</f>
        <v>62227.21</v>
      </c>
      <c r="E140" s="50">
        <f>VLOOKUP($A140,'Data Vlaue (Cr)'!$C:$FB,144)</f>
        <v>57150.09</v>
      </c>
      <c r="F140" s="50">
        <f>VLOOKUP($A140,'Data Vlaue (Cr)'!$C:$FB,146)*100</f>
        <v>8.8800000000000008</v>
      </c>
      <c r="G140" s="49">
        <f>VLOOKUP($A140,'Data Vlaue (Cr)'!$C:$FB,43)</f>
        <v>1570</v>
      </c>
      <c r="H140" s="49">
        <f>VLOOKUP($A140,'Data Vlaue (Cr)'!$C:$FB,44)</f>
        <v>786</v>
      </c>
      <c r="I140" s="49">
        <f>VLOOKUP($A140,'Data Vlaue (Cr)'!$C:$FB,46)*100</f>
        <v>99.660000000000011</v>
      </c>
      <c r="J140" s="51">
        <f>VLOOKUP($A140,'Data Vlaue (Cr)'!$C:$FB,59)</f>
        <v>29976</v>
      </c>
      <c r="K140" s="51">
        <f>VLOOKUP($A140,'Data Vlaue (Cr)'!$C:$FB,60)</f>
        <v>26497</v>
      </c>
      <c r="L140" s="51">
        <f>VLOOKUP($A140,'Data Vlaue (Cr)'!$C:$FB,62)*100</f>
        <v>13.13</v>
      </c>
      <c r="M140" s="51">
        <f>VLOOKUP($A140,'Data Vlaue (Cr)'!$C:$FB,63)</f>
        <v>30578</v>
      </c>
      <c r="N140" s="51">
        <f>VLOOKUP($A140,'Data Vlaue (Cr)'!$C:$FB,64)</f>
        <v>29646</v>
      </c>
      <c r="O140" s="51">
        <f>VLOOKUP($A140,'Data Vlaue (Cr)'!$C:$FB,66)*100</f>
        <v>3.15</v>
      </c>
    </row>
    <row r="141" spans="1:15" x14ac:dyDescent="0.25">
      <c r="A141" s="101" t="str">
        <f>'Data Vlaue (Cr)'!C136</f>
        <v>MOTHERSON</v>
      </c>
      <c r="B141" s="50">
        <f>VLOOKUP($A141,'Data Vlaue (Cr)'!$C:$FB,8)</f>
        <v>127.22</v>
      </c>
      <c r="C141" s="50">
        <f>VLOOKUP($A141,'Data Vlaue (Cr)'!$C:$FB,11)*100</f>
        <v>-3.45</v>
      </c>
      <c r="D141" s="50">
        <f>VLOOKUP($A141,'Data Vlaue (Cr)'!$C:$FB,143)</f>
        <v>2698.43</v>
      </c>
      <c r="E141" s="50">
        <f>VLOOKUP($A141,'Data Vlaue (Cr)'!$C:$FB,144)</f>
        <v>3832.45</v>
      </c>
      <c r="F141" s="50">
        <f>VLOOKUP($A141,'Data Vlaue (Cr)'!$C:$FB,146)*100</f>
        <v>-29.59</v>
      </c>
      <c r="G141" s="49">
        <f>VLOOKUP($A141,'Data Vlaue (Cr)'!$C:$FB,43)</f>
        <v>1246</v>
      </c>
      <c r="H141" s="49">
        <f>VLOOKUP($A141,'Data Vlaue (Cr)'!$C:$FB,44)</f>
        <v>621</v>
      </c>
      <c r="I141" s="49">
        <f>VLOOKUP($A141,'Data Vlaue (Cr)'!$C:$FB,46)*100</f>
        <v>100.6</v>
      </c>
      <c r="J141" s="51">
        <f>VLOOKUP($A141,'Data Vlaue (Cr)'!$C:$FB,59)</f>
        <v>834</v>
      </c>
      <c r="K141" s="51">
        <f>VLOOKUP($A141,'Data Vlaue (Cr)'!$C:$FB,60)</f>
        <v>2180</v>
      </c>
      <c r="L141" s="51">
        <f>VLOOKUP($A141,'Data Vlaue (Cr)'!$C:$FB,62)*100</f>
        <v>-61.750000000000007</v>
      </c>
      <c r="M141" s="51">
        <f>VLOOKUP($A141,'Data Vlaue (Cr)'!$C:$FB,63)</f>
        <v>570</v>
      </c>
      <c r="N141" s="51">
        <f>VLOOKUP($A141,'Data Vlaue (Cr)'!$C:$FB,64)</f>
        <v>904</v>
      </c>
      <c r="O141" s="51">
        <f>VLOOKUP($A141,'Data Vlaue (Cr)'!$C:$FB,66)*100</f>
        <v>-37.019999999999996</v>
      </c>
    </row>
    <row r="142" spans="1:15" x14ac:dyDescent="0.25">
      <c r="A142" s="101" t="str">
        <f>'Data Vlaue (Cr)'!C137</f>
        <v>MOTILALOFS</v>
      </c>
      <c r="B142" s="50">
        <f>VLOOKUP($A142,'Data Vlaue (Cr)'!$C:$FB,8)</f>
        <v>790.85</v>
      </c>
      <c r="C142" s="50">
        <f>VLOOKUP($A142,'Data Vlaue (Cr)'!$C:$FB,11)*100</f>
        <v>-2.5100000000000002</v>
      </c>
      <c r="D142" s="50">
        <f>VLOOKUP($A142,'Data Vlaue (Cr)'!$C:$FB,143)</f>
        <v>925.04</v>
      </c>
      <c r="E142" s="50">
        <f>VLOOKUP($A142,'Data Vlaue (Cr)'!$C:$FB,144)</f>
        <v>405.97</v>
      </c>
      <c r="F142" s="50">
        <f>VLOOKUP($A142,'Data Vlaue (Cr)'!$C:$FB,146)*100</f>
        <v>127.86</v>
      </c>
      <c r="G142" s="49">
        <f>VLOOKUP($A142,'Data Vlaue (Cr)'!$C:$FB,43)</f>
        <v>235</v>
      </c>
      <c r="H142" s="49">
        <f>VLOOKUP($A142,'Data Vlaue (Cr)'!$C:$FB,44)</f>
        <v>39</v>
      </c>
      <c r="I142" s="49">
        <f>VLOOKUP($A142,'Data Vlaue (Cr)'!$C:$FB,46)*100</f>
        <v>501.41</v>
      </c>
      <c r="J142" s="51">
        <f>VLOOKUP($A142,'Data Vlaue (Cr)'!$C:$FB,59)</f>
        <v>366</v>
      </c>
      <c r="K142" s="51">
        <f>VLOOKUP($A142,'Data Vlaue (Cr)'!$C:$FB,60)</f>
        <v>114</v>
      </c>
      <c r="L142" s="51">
        <f>VLOOKUP($A142,'Data Vlaue (Cr)'!$C:$FB,62)*100</f>
        <v>221.49</v>
      </c>
      <c r="M142" s="51">
        <f>VLOOKUP($A142,'Data Vlaue (Cr)'!$C:$FB,63)</f>
        <v>329</v>
      </c>
      <c r="N142" s="51">
        <f>VLOOKUP($A142,'Data Vlaue (Cr)'!$C:$FB,64)</f>
        <v>256</v>
      </c>
      <c r="O142" s="51">
        <f>VLOOKUP($A142,'Data Vlaue (Cr)'!$C:$FB,66)*100</f>
        <v>28.720000000000002</v>
      </c>
    </row>
    <row r="143" spans="1:15" x14ac:dyDescent="0.25">
      <c r="A143" s="101" t="str">
        <f>'Data Vlaue (Cr)'!C138</f>
        <v>MPHASIS</v>
      </c>
      <c r="B143" s="50">
        <f>VLOOKUP($A143,'Data Vlaue (Cr)'!$C:$FB,8)</f>
        <v>2277</v>
      </c>
      <c r="C143" s="50">
        <f>VLOOKUP($A143,'Data Vlaue (Cr)'!$C:$FB,11)*100</f>
        <v>-2.3199999999999998</v>
      </c>
      <c r="D143" s="50">
        <f>VLOOKUP($A143,'Data Vlaue (Cr)'!$C:$FB,143)</f>
        <v>1247.8399999999999</v>
      </c>
      <c r="E143" s="50">
        <f>VLOOKUP($A143,'Data Vlaue (Cr)'!$C:$FB,144)</f>
        <v>1153.0999999999999</v>
      </c>
      <c r="F143" s="50">
        <f>VLOOKUP($A143,'Data Vlaue (Cr)'!$C:$FB,146)*100</f>
        <v>8.2199999999999989</v>
      </c>
      <c r="G143" s="49">
        <f>VLOOKUP($A143,'Data Vlaue (Cr)'!$C:$FB,43)</f>
        <v>733</v>
      </c>
      <c r="H143" s="49">
        <f>VLOOKUP($A143,'Data Vlaue (Cr)'!$C:$FB,44)</f>
        <v>348</v>
      </c>
      <c r="I143" s="49">
        <f>VLOOKUP($A143,'Data Vlaue (Cr)'!$C:$FB,46)*100</f>
        <v>110.50999999999999</v>
      </c>
      <c r="J143" s="51">
        <f>VLOOKUP($A143,'Data Vlaue (Cr)'!$C:$FB,59)</f>
        <v>302</v>
      </c>
      <c r="K143" s="51">
        <f>VLOOKUP($A143,'Data Vlaue (Cr)'!$C:$FB,60)</f>
        <v>397</v>
      </c>
      <c r="L143" s="51">
        <f>VLOOKUP($A143,'Data Vlaue (Cr)'!$C:$FB,62)*100</f>
        <v>-23.799999999999997</v>
      </c>
      <c r="M143" s="51">
        <f>VLOOKUP($A143,'Data Vlaue (Cr)'!$C:$FB,63)</f>
        <v>184</v>
      </c>
      <c r="N143" s="51">
        <f>VLOOKUP($A143,'Data Vlaue (Cr)'!$C:$FB,64)</f>
        <v>346</v>
      </c>
      <c r="O143" s="51">
        <f>VLOOKUP($A143,'Data Vlaue (Cr)'!$C:$FB,66)*100</f>
        <v>-46.910000000000004</v>
      </c>
    </row>
    <row r="144" spans="1:15" x14ac:dyDescent="0.25">
      <c r="A144" s="101" t="str">
        <f>'Data Vlaue (Cr)'!C139</f>
        <v>MUTHOOTFIN</v>
      </c>
      <c r="B144" s="50">
        <f>VLOOKUP($A144,'Data Vlaue (Cr)'!$C:$FB,8)</f>
        <v>3561.4</v>
      </c>
      <c r="C144" s="50">
        <f>VLOOKUP($A144,'Data Vlaue (Cr)'!$C:$FB,11)*100</f>
        <v>-0.71000000000000008</v>
      </c>
      <c r="D144" s="50">
        <f>VLOOKUP($A144,'Data Vlaue (Cr)'!$C:$FB,143)</f>
        <v>2350.14</v>
      </c>
      <c r="E144" s="50">
        <f>VLOOKUP($A144,'Data Vlaue (Cr)'!$C:$FB,144)</f>
        <v>3137.77</v>
      </c>
      <c r="F144" s="50">
        <f>VLOOKUP($A144,'Data Vlaue (Cr)'!$C:$FB,146)*100</f>
        <v>-25.1</v>
      </c>
      <c r="G144" s="49">
        <f>VLOOKUP($A144,'Data Vlaue (Cr)'!$C:$FB,43)</f>
        <v>957</v>
      </c>
      <c r="H144" s="49">
        <f>VLOOKUP($A144,'Data Vlaue (Cr)'!$C:$FB,44)</f>
        <v>425</v>
      </c>
      <c r="I144" s="49">
        <f>VLOOKUP($A144,'Data Vlaue (Cr)'!$C:$FB,46)*100</f>
        <v>125.21</v>
      </c>
      <c r="J144" s="51">
        <f>VLOOKUP($A144,'Data Vlaue (Cr)'!$C:$FB,59)</f>
        <v>853</v>
      </c>
      <c r="K144" s="51">
        <f>VLOOKUP($A144,'Data Vlaue (Cr)'!$C:$FB,60)</f>
        <v>1925</v>
      </c>
      <c r="L144" s="51">
        <f>VLOOKUP($A144,'Data Vlaue (Cr)'!$C:$FB,62)*100</f>
        <v>-55.7</v>
      </c>
      <c r="M144" s="51">
        <f>VLOOKUP($A144,'Data Vlaue (Cr)'!$C:$FB,63)</f>
        <v>518</v>
      </c>
      <c r="N144" s="51">
        <f>VLOOKUP($A144,'Data Vlaue (Cr)'!$C:$FB,64)</f>
        <v>691</v>
      </c>
      <c r="O144" s="51">
        <f>VLOOKUP($A144,'Data Vlaue (Cr)'!$C:$FB,66)*100</f>
        <v>-24.990000000000002</v>
      </c>
    </row>
    <row r="145" spans="1:15" x14ac:dyDescent="0.25">
      <c r="A145" s="101" t="str">
        <f>'Data Vlaue (Cr)'!C140</f>
        <v>NAM-INDIA</v>
      </c>
      <c r="B145" s="50">
        <f>VLOOKUP($A145,'Data Vlaue (Cr)'!$C:$FB,8)</f>
        <v>1031.95</v>
      </c>
      <c r="C145" s="50">
        <f>VLOOKUP($A145,'Data Vlaue (Cr)'!$C:$FB,11)*100</f>
        <v>-2.6599999999999997</v>
      </c>
      <c r="D145" s="50">
        <f>VLOOKUP($A145,'Data Vlaue (Cr)'!$C:$FB,143)</f>
        <v>635.4</v>
      </c>
      <c r="E145" s="50">
        <f>VLOOKUP($A145,'Data Vlaue (Cr)'!$C:$FB,144)</f>
        <v>414.35</v>
      </c>
      <c r="F145" s="50">
        <f>VLOOKUP($A145,'Data Vlaue (Cr)'!$C:$FB,146)*100</f>
        <v>53.349999999999994</v>
      </c>
      <c r="G145" s="49">
        <f>VLOOKUP($A145,'Data Vlaue (Cr)'!$C:$FB,43)</f>
        <v>366</v>
      </c>
      <c r="H145" s="49">
        <f>VLOOKUP($A145,'Data Vlaue (Cr)'!$C:$FB,44)</f>
        <v>132</v>
      </c>
      <c r="I145" s="49">
        <f>VLOOKUP($A145,'Data Vlaue (Cr)'!$C:$FB,46)*100</f>
        <v>176.46</v>
      </c>
      <c r="J145" s="51">
        <f>VLOOKUP($A145,'Data Vlaue (Cr)'!$C:$FB,59)</f>
        <v>117</v>
      </c>
      <c r="K145" s="51">
        <f>VLOOKUP($A145,'Data Vlaue (Cr)'!$C:$FB,60)</f>
        <v>155</v>
      </c>
      <c r="L145" s="51">
        <f>VLOOKUP($A145,'Data Vlaue (Cr)'!$C:$FB,62)*100</f>
        <v>-24.67</v>
      </c>
      <c r="M145" s="51">
        <f>VLOOKUP($A145,'Data Vlaue (Cr)'!$C:$FB,63)</f>
        <v>162</v>
      </c>
      <c r="N145" s="51">
        <f>VLOOKUP($A145,'Data Vlaue (Cr)'!$C:$FB,64)</f>
        <v>131</v>
      </c>
      <c r="O145" s="51">
        <f>VLOOKUP($A145,'Data Vlaue (Cr)'!$C:$FB,66)*100</f>
        <v>23.35</v>
      </c>
    </row>
    <row r="146" spans="1:15" x14ac:dyDescent="0.25">
      <c r="A146" s="101" t="str">
        <f>'Data Vlaue (Cr)'!C141</f>
        <v>NATIONALUM</v>
      </c>
      <c r="B146" s="50">
        <f>VLOOKUP($A146,'Data Vlaue (Cr)'!$C:$FB,8)</f>
        <v>439.25</v>
      </c>
      <c r="C146" s="50">
        <f>VLOOKUP($A146,'Data Vlaue (Cr)'!$C:$FB,11)*100</f>
        <v>0.76</v>
      </c>
      <c r="D146" s="50">
        <f>VLOOKUP($A146,'Data Vlaue (Cr)'!$C:$FB,143)</f>
        <v>5844.28</v>
      </c>
      <c r="E146" s="50">
        <f>VLOOKUP($A146,'Data Vlaue (Cr)'!$C:$FB,144)</f>
        <v>6734.97</v>
      </c>
      <c r="F146" s="50">
        <f>VLOOKUP($A146,'Data Vlaue (Cr)'!$C:$FB,146)*100</f>
        <v>-13.22</v>
      </c>
      <c r="G146" s="49">
        <f>VLOOKUP($A146,'Data Vlaue (Cr)'!$C:$FB,43)</f>
        <v>1609</v>
      </c>
      <c r="H146" s="49">
        <f>VLOOKUP($A146,'Data Vlaue (Cr)'!$C:$FB,44)</f>
        <v>1209</v>
      </c>
      <c r="I146" s="49">
        <f>VLOOKUP($A146,'Data Vlaue (Cr)'!$C:$FB,46)*100</f>
        <v>33.07</v>
      </c>
      <c r="J146" s="51">
        <f>VLOOKUP($A146,'Data Vlaue (Cr)'!$C:$FB,59)</f>
        <v>2701</v>
      </c>
      <c r="K146" s="51">
        <f>VLOOKUP($A146,'Data Vlaue (Cr)'!$C:$FB,60)</f>
        <v>3708</v>
      </c>
      <c r="L146" s="51">
        <f>VLOOKUP($A146,'Data Vlaue (Cr)'!$C:$FB,62)*100</f>
        <v>-27.16</v>
      </c>
      <c r="M146" s="51">
        <f>VLOOKUP($A146,'Data Vlaue (Cr)'!$C:$FB,63)</f>
        <v>1464</v>
      </c>
      <c r="N146" s="51">
        <f>VLOOKUP($A146,'Data Vlaue (Cr)'!$C:$FB,64)</f>
        <v>1825</v>
      </c>
      <c r="O146" s="51">
        <f>VLOOKUP($A146,'Data Vlaue (Cr)'!$C:$FB,66)*100</f>
        <v>-19.78</v>
      </c>
    </row>
    <row r="147" spans="1:15" x14ac:dyDescent="0.25">
      <c r="A147" s="101" t="str">
        <f>'Data Vlaue (Cr)'!C142</f>
        <v>NAUKRI</v>
      </c>
      <c r="B147" s="50">
        <f>VLOOKUP($A147,'Data Vlaue (Cr)'!$C:$FB,8)</f>
        <v>1018.05</v>
      </c>
      <c r="C147" s="50">
        <f>VLOOKUP($A147,'Data Vlaue (Cr)'!$C:$FB,11)*100</f>
        <v>-3.29</v>
      </c>
      <c r="D147" s="50">
        <f>VLOOKUP($A147,'Data Vlaue (Cr)'!$C:$FB,143)</f>
        <v>1924.49</v>
      </c>
      <c r="E147" s="50">
        <f>VLOOKUP($A147,'Data Vlaue (Cr)'!$C:$FB,144)</f>
        <v>898.52</v>
      </c>
      <c r="F147" s="50">
        <f>VLOOKUP($A147,'Data Vlaue (Cr)'!$C:$FB,146)*100</f>
        <v>114.19</v>
      </c>
      <c r="G147" s="49">
        <f>VLOOKUP($A147,'Data Vlaue (Cr)'!$C:$FB,43)</f>
        <v>864</v>
      </c>
      <c r="H147" s="49">
        <f>VLOOKUP($A147,'Data Vlaue (Cr)'!$C:$FB,44)</f>
        <v>235</v>
      </c>
      <c r="I147" s="49">
        <f>VLOOKUP($A147,'Data Vlaue (Cr)'!$C:$FB,46)*100</f>
        <v>267.31</v>
      </c>
      <c r="J147" s="51">
        <f>VLOOKUP($A147,'Data Vlaue (Cr)'!$C:$FB,59)</f>
        <v>630</v>
      </c>
      <c r="K147" s="51">
        <f>VLOOKUP($A147,'Data Vlaue (Cr)'!$C:$FB,60)</f>
        <v>393</v>
      </c>
      <c r="L147" s="51">
        <f>VLOOKUP($A147,'Data Vlaue (Cr)'!$C:$FB,62)*100</f>
        <v>60.3</v>
      </c>
      <c r="M147" s="51">
        <f>VLOOKUP($A147,'Data Vlaue (Cr)'!$C:$FB,63)</f>
        <v>398</v>
      </c>
      <c r="N147" s="51">
        <f>VLOOKUP($A147,'Data Vlaue (Cr)'!$C:$FB,64)</f>
        <v>231</v>
      </c>
      <c r="O147" s="51">
        <f>VLOOKUP($A147,'Data Vlaue (Cr)'!$C:$FB,66)*100</f>
        <v>72.150000000000006</v>
      </c>
    </row>
    <row r="148" spans="1:15" x14ac:dyDescent="0.25">
      <c r="A148" s="101" t="str">
        <f>'Data Vlaue (Cr)'!C143</f>
        <v>NBCC</v>
      </c>
      <c r="B148" s="50">
        <f>VLOOKUP($A148,'Data Vlaue (Cr)'!$C:$FB,8)</f>
        <v>93.31</v>
      </c>
      <c r="C148" s="50">
        <f>VLOOKUP($A148,'Data Vlaue (Cr)'!$C:$FB,11)*100</f>
        <v>-0.94000000000000006</v>
      </c>
      <c r="D148" s="50">
        <f>VLOOKUP($A148,'Data Vlaue (Cr)'!$C:$FB,143)</f>
        <v>693.33</v>
      </c>
      <c r="E148" s="50">
        <f>VLOOKUP($A148,'Data Vlaue (Cr)'!$C:$FB,144)</f>
        <v>309.05</v>
      </c>
      <c r="F148" s="50">
        <f>VLOOKUP($A148,'Data Vlaue (Cr)'!$C:$FB,146)*100</f>
        <v>124.35000000000001</v>
      </c>
      <c r="G148" s="49">
        <f>VLOOKUP($A148,'Data Vlaue (Cr)'!$C:$FB,43)</f>
        <v>549</v>
      </c>
      <c r="H148" s="49">
        <f>VLOOKUP($A148,'Data Vlaue (Cr)'!$C:$FB,44)</f>
        <v>125</v>
      </c>
      <c r="I148" s="49">
        <f>VLOOKUP($A148,'Data Vlaue (Cr)'!$C:$FB,46)*100</f>
        <v>339.53000000000003</v>
      </c>
      <c r="J148" s="51">
        <f>VLOOKUP($A148,'Data Vlaue (Cr)'!$C:$FB,59)</f>
        <v>103</v>
      </c>
      <c r="K148" s="51">
        <f>VLOOKUP($A148,'Data Vlaue (Cr)'!$C:$FB,60)</f>
        <v>130</v>
      </c>
      <c r="L148" s="51">
        <f>VLOOKUP($A148,'Data Vlaue (Cr)'!$C:$FB,62)*100</f>
        <v>-20.57</v>
      </c>
      <c r="M148" s="51">
        <f>VLOOKUP($A148,'Data Vlaue (Cr)'!$C:$FB,63)</f>
        <v>33</v>
      </c>
      <c r="N148" s="51">
        <f>VLOOKUP($A148,'Data Vlaue (Cr)'!$C:$FB,64)</f>
        <v>46</v>
      </c>
      <c r="O148" s="51">
        <f>VLOOKUP($A148,'Data Vlaue (Cr)'!$C:$FB,66)*100</f>
        <v>-28.65</v>
      </c>
    </row>
    <row r="149" spans="1:15" x14ac:dyDescent="0.25">
      <c r="A149" s="101" t="str">
        <f>'Data Vlaue (Cr)'!C144</f>
        <v>NESTLEIND</v>
      </c>
      <c r="B149" s="50">
        <f>VLOOKUP($A149,'Data Vlaue (Cr)'!$C:$FB,8)</f>
        <v>1410.5</v>
      </c>
      <c r="C149" s="50">
        <f>VLOOKUP($A149,'Data Vlaue (Cr)'!$C:$FB,11)*100</f>
        <v>1.05</v>
      </c>
      <c r="D149" s="50">
        <f>VLOOKUP($A149,'Data Vlaue (Cr)'!$C:$FB,143)</f>
        <v>5852.33</v>
      </c>
      <c r="E149" s="50">
        <f>VLOOKUP($A149,'Data Vlaue (Cr)'!$C:$FB,144)</f>
        <v>18808.37</v>
      </c>
      <c r="F149" s="50">
        <f>VLOOKUP($A149,'Data Vlaue (Cr)'!$C:$FB,146)*100</f>
        <v>-68.88</v>
      </c>
      <c r="G149" s="49">
        <f>VLOOKUP($A149,'Data Vlaue (Cr)'!$C:$FB,43)</f>
        <v>1600</v>
      </c>
      <c r="H149" s="49">
        <f>VLOOKUP($A149,'Data Vlaue (Cr)'!$C:$FB,44)</f>
        <v>1438</v>
      </c>
      <c r="I149" s="49">
        <f>VLOOKUP($A149,'Data Vlaue (Cr)'!$C:$FB,46)*100</f>
        <v>11.219999999999999</v>
      </c>
      <c r="J149" s="51">
        <f>VLOOKUP($A149,'Data Vlaue (Cr)'!$C:$FB,59)</f>
        <v>2754</v>
      </c>
      <c r="K149" s="51">
        <f>VLOOKUP($A149,'Data Vlaue (Cr)'!$C:$FB,60)</f>
        <v>12012</v>
      </c>
      <c r="L149" s="51">
        <f>VLOOKUP($A149,'Data Vlaue (Cr)'!$C:$FB,62)*100</f>
        <v>-77.070000000000007</v>
      </c>
      <c r="M149" s="51">
        <f>VLOOKUP($A149,'Data Vlaue (Cr)'!$C:$FB,63)</f>
        <v>1458</v>
      </c>
      <c r="N149" s="51">
        <f>VLOOKUP($A149,'Data Vlaue (Cr)'!$C:$FB,64)</f>
        <v>5097</v>
      </c>
      <c r="O149" s="51">
        <f>VLOOKUP($A149,'Data Vlaue (Cr)'!$C:$FB,66)*100</f>
        <v>-71.39</v>
      </c>
    </row>
    <row r="150" spans="1:15" x14ac:dyDescent="0.25">
      <c r="A150" s="101" t="str">
        <f>'Data Vlaue (Cr)'!C145</f>
        <v>NHPC</v>
      </c>
      <c r="B150" s="50">
        <f>VLOOKUP($A150,'Data Vlaue (Cr)'!$C:$FB,8)</f>
        <v>81.459999999999994</v>
      </c>
      <c r="C150" s="50">
        <f>VLOOKUP($A150,'Data Vlaue (Cr)'!$C:$FB,11)*100</f>
        <v>-1.4200000000000002</v>
      </c>
      <c r="D150" s="50">
        <f>VLOOKUP($A150,'Data Vlaue (Cr)'!$C:$FB,143)</f>
        <v>1271.06</v>
      </c>
      <c r="E150" s="50">
        <f>VLOOKUP($A150,'Data Vlaue (Cr)'!$C:$FB,144)</f>
        <v>500.56</v>
      </c>
      <c r="F150" s="50">
        <f>VLOOKUP($A150,'Data Vlaue (Cr)'!$C:$FB,146)*100</f>
        <v>153.92999999999998</v>
      </c>
      <c r="G150" s="49">
        <f>VLOOKUP($A150,'Data Vlaue (Cr)'!$C:$FB,43)</f>
        <v>714</v>
      </c>
      <c r="H150" s="49">
        <f>VLOOKUP($A150,'Data Vlaue (Cr)'!$C:$FB,44)</f>
        <v>125</v>
      </c>
      <c r="I150" s="49">
        <f>VLOOKUP($A150,'Data Vlaue (Cr)'!$C:$FB,46)*100</f>
        <v>470.58</v>
      </c>
      <c r="J150" s="51">
        <f>VLOOKUP($A150,'Data Vlaue (Cr)'!$C:$FB,59)</f>
        <v>314</v>
      </c>
      <c r="K150" s="51">
        <f>VLOOKUP($A150,'Data Vlaue (Cr)'!$C:$FB,60)</f>
        <v>248</v>
      </c>
      <c r="L150" s="51">
        <f>VLOOKUP($A150,'Data Vlaue (Cr)'!$C:$FB,62)*100</f>
        <v>26.5</v>
      </c>
      <c r="M150" s="51">
        <f>VLOOKUP($A150,'Data Vlaue (Cr)'!$C:$FB,63)</f>
        <v>229</v>
      </c>
      <c r="N150" s="51">
        <f>VLOOKUP($A150,'Data Vlaue (Cr)'!$C:$FB,64)</f>
        <v>115</v>
      </c>
      <c r="O150" s="51">
        <f>VLOOKUP($A150,'Data Vlaue (Cr)'!$C:$FB,66)*100</f>
        <v>99.77000000000001</v>
      </c>
    </row>
    <row r="151" spans="1:15" x14ac:dyDescent="0.25">
      <c r="A151" s="101" t="str">
        <f>'Data Vlaue (Cr)'!C146</f>
        <v>NIFTY</v>
      </c>
      <c r="B151" s="50">
        <f>VLOOKUP($A151,'Data Vlaue (Cr)'!$C:$FB,8)</f>
        <v>24173.05</v>
      </c>
      <c r="C151" s="50">
        <f>VLOOKUP($A151,'Data Vlaue (Cr)'!$C:$FB,11)*100</f>
        <v>-0.84</v>
      </c>
      <c r="D151" s="50">
        <f>VLOOKUP($A151,'Data Vlaue (Cr)'!$C:$FB,143)</f>
        <v>6050645.4100000001</v>
      </c>
      <c r="E151" s="50">
        <f>VLOOKUP($A151,'Data Vlaue (Cr)'!$C:$FB,144)</f>
        <v>5530492.25</v>
      </c>
      <c r="F151" s="50">
        <f>VLOOKUP($A151,'Data Vlaue (Cr)'!$C:$FB,146)*100</f>
        <v>9.41</v>
      </c>
      <c r="G151" s="49">
        <f>VLOOKUP($A151,'Data Vlaue (Cr)'!$C:$FB,43)</f>
        <v>20383</v>
      </c>
      <c r="H151" s="49">
        <f>VLOOKUP($A151,'Data Vlaue (Cr)'!$C:$FB,44)</f>
        <v>11637</v>
      </c>
      <c r="I151" s="49">
        <f>VLOOKUP($A151,'Data Vlaue (Cr)'!$C:$FB,46)*100</f>
        <v>75.149999999999991</v>
      </c>
      <c r="J151" s="51">
        <f>VLOOKUP($A151,'Data Vlaue (Cr)'!$C:$FB,59)</f>
        <v>3181314</v>
      </c>
      <c r="K151" s="51">
        <f>VLOOKUP($A151,'Data Vlaue (Cr)'!$C:$FB,60)</f>
        <v>2684741</v>
      </c>
      <c r="L151" s="51">
        <f>VLOOKUP($A151,'Data Vlaue (Cr)'!$C:$FB,62)*100</f>
        <v>18.5</v>
      </c>
      <c r="M151" s="51">
        <f>VLOOKUP($A151,'Data Vlaue (Cr)'!$C:$FB,63)</f>
        <v>2797193</v>
      </c>
      <c r="N151" s="51">
        <f>VLOOKUP($A151,'Data Vlaue (Cr)'!$C:$FB,64)</f>
        <v>2757086</v>
      </c>
      <c r="O151" s="51">
        <f>VLOOKUP($A151,'Data Vlaue (Cr)'!$C:$FB,66)*100</f>
        <v>1.4500000000000002</v>
      </c>
    </row>
    <row r="152" spans="1:15" x14ac:dyDescent="0.25">
      <c r="A152" s="101" t="str">
        <f>'Data Vlaue (Cr)'!C147</f>
        <v>NIFTYNXT50</v>
      </c>
      <c r="B152" s="50">
        <f>VLOOKUP($A152,'Data Vlaue (Cr)'!$C:$FB,8)</f>
        <v>70410.350000000006</v>
      </c>
      <c r="C152" s="50">
        <f>VLOOKUP($A152,'Data Vlaue (Cr)'!$C:$FB,11)*100</f>
        <v>-1.31</v>
      </c>
      <c r="D152" s="50">
        <f>VLOOKUP($A152,'Data Vlaue (Cr)'!$C:$FB,143)</f>
        <v>209.9</v>
      </c>
      <c r="E152" s="50">
        <f>VLOOKUP($A152,'Data Vlaue (Cr)'!$C:$FB,144)</f>
        <v>271.62</v>
      </c>
      <c r="F152" s="50">
        <f>VLOOKUP($A152,'Data Vlaue (Cr)'!$C:$FB,146)*100</f>
        <v>-22.720000000000002</v>
      </c>
      <c r="G152" s="49">
        <f>VLOOKUP($A152,'Data Vlaue (Cr)'!$C:$FB,43)</f>
        <v>67</v>
      </c>
      <c r="H152" s="49">
        <f>VLOOKUP($A152,'Data Vlaue (Cr)'!$C:$FB,44)</f>
        <v>60</v>
      </c>
      <c r="I152" s="49">
        <f>VLOOKUP($A152,'Data Vlaue (Cr)'!$C:$FB,46)*100</f>
        <v>12.65</v>
      </c>
      <c r="J152" s="51">
        <f>VLOOKUP($A152,'Data Vlaue (Cr)'!$C:$FB,59)</f>
        <v>80</v>
      </c>
      <c r="K152" s="51">
        <f>VLOOKUP($A152,'Data Vlaue (Cr)'!$C:$FB,60)</f>
        <v>115</v>
      </c>
      <c r="L152" s="51">
        <f>VLOOKUP($A152,'Data Vlaue (Cr)'!$C:$FB,62)*100</f>
        <v>-30.520000000000003</v>
      </c>
      <c r="M152" s="51">
        <f>VLOOKUP($A152,'Data Vlaue (Cr)'!$C:$FB,63)</f>
        <v>61</v>
      </c>
      <c r="N152" s="51">
        <f>VLOOKUP($A152,'Data Vlaue (Cr)'!$C:$FB,64)</f>
        <v>94</v>
      </c>
      <c r="O152" s="51">
        <f>VLOOKUP($A152,'Data Vlaue (Cr)'!$C:$FB,66)*100</f>
        <v>-35.57</v>
      </c>
    </row>
    <row r="153" spans="1:15" x14ac:dyDescent="0.25">
      <c r="A153" s="101" t="str">
        <f>'Data Vlaue (Cr)'!C148</f>
        <v>NMDC</v>
      </c>
      <c r="B153" s="50">
        <f>VLOOKUP($A153,'Data Vlaue (Cr)'!$C:$FB,8)</f>
        <v>87.31</v>
      </c>
      <c r="C153" s="50">
        <f>VLOOKUP($A153,'Data Vlaue (Cr)'!$C:$FB,11)*100</f>
        <v>-1.44</v>
      </c>
      <c r="D153" s="50">
        <f>VLOOKUP($A153,'Data Vlaue (Cr)'!$C:$FB,143)</f>
        <v>1700.93</v>
      </c>
      <c r="E153" s="50">
        <f>VLOOKUP($A153,'Data Vlaue (Cr)'!$C:$FB,144)</f>
        <v>1460.53</v>
      </c>
      <c r="F153" s="50">
        <f>VLOOKUP($A153,'Data Vlaue (Cr)'!$C:$FB,146)*100</f>
        <v>16.46</v>
      </c>
      <c r="G153" s="49">
        <f>VLOOKUP($A153,'Data Vlaue (Cr)'!$C:$FB,43)</f>
        <v>825</v>
      </c>
      <c r="H153" s="49">
        <f>VLOOKUP($A153,'Data Vlaue (Cr)'!$C:$FB,44)</f>
        <v>392</v>
      </c>
      <c r="I153" s="49">
        <f>VLOOKUP($A153,'Data Vlaue (Cr)'!$C:$FB,46)*100</f>
        <v>110.57999999999998</v>
      </c>
      <c r="J153" s="51">
        <f>VLOOKUP($A153,'Data Vlaue (Cr)'!$C:$FB,59)</f>
        <v>634</v>
      </c>
      <c r="K153" s="51">
        <f>VLOOKUP($A153,'Data Vlaue (Cr)'!$C:$FB,60)</f>
        <v>741</v>
      </c>
      <c r="L153" s="51">
        <f>VLOOKUP($A153,'Data Vlaue (Cr)'!$C:$FB,62)*100</f>
        <v>-14.46</v>
      </c>
      <c r="M153" s="51">
        <f>VLOOKUP($A153,'Data Vlaue (Cr)'!$C:$FB,63)</f>
        <v>220</v>
      </c>
      <c r="N153" s="51">
        <f>VLOOKUP($A153,'Data Vlaue (Cr)'!$C:$FB,64)</f>
        <v>284</v>
      </c>
      <c r="O153" s="51">
        <f>VLOOKUP($A153,'Data Vlaue (Cr)'!$C:$FB,66)*100</f>
        <v>-22.52</v>
      </c>
    </row>
    <row r="154" spans="1:15" x14ac:dyDescent="0.25">
      <c r="A154" s="101" t="str">
        <f>'Data Vlaue (Cr)'!C149</f>
        <v>NTPC</v>
      </c>
      <c r="B154" s="50">
        <f>VLOOKUP($A154,'Data Vlaue (Cr)'!$C:$FB,8)</f>
        <v>402.25</v>
      </c>
      <c r="C154" s="50">
        <f>VLOOKUP($A154,'Data Vlaue (Cr)'!$C:$FB,11)*100</f>
        <v>-0.77999999999999992</v>
      </c>
      <c r="D154" s="50">
        <f>VLOOKUP($A154,'Data Vlaue (Cr)'!$C:$FB,143)</f>
        <v>6657.62</v>
      </c>
      <c r="E154" s="50">
        <f>VLOOKUP($A154,'Data Vlaue (Cr)'!$C:$FB,144)</f>
        <v>10753.28</v>
      </c>
      <c r="F154" s="50">
        <f>VLOOKUP($A154,'Data Vlaue (Cr)'!$C:$FB,146)*100</f>
        <v>-38.090000000000003</v>
      </c>
      <c r="G154" s="49">
        <f>VLOOKUP($A154,'Data Vlaue (Cr)'!$C:$FB,43)</f>
        <v>1810</v>
      </c>
      <c r="H154" s="49">
        <f>VLOOKUP($A154,'Data Vlaue (Cr)'!$C:$FB,44)</f>
        <v>1050</v>
      </c>
      <c r="I154" s="49">
        <f>VLOOKUP($A154,'Data Vlaue (Cr)'!$C:$FB,46)*100</f>
        <v>72.37</v>
      </c>
      <c r="J154" s="51">
        <f>VLOOKUP($A154,'Data Vlaue (Cr)'!$C:$FB,59)</f>
        <v>2960</v>
      </c>
      <c r="K154" s="51">
        <f>VLOOKUP($A154,'Data Vlaue (Cr)'!$C:$FB,60)</f>
        <v>6374</v>
      </c>
      <c r="L154" s="51">
        <f>VLOOKUP($A154,'Data Vlaue (Cr)'!$C:$FB,62)*100</f>
        <v>-53.559999999999995</v>
      </c>
      <c r="M154" s="51">
        <f>VLOOKUP($A154,'Data Vlaue (Cr)'!$C:$FB,63)</f>
        <v>1835</v>
      </c>
      <c r="N154" s="51">
        <f>VLOOKUP($A154,'Data Vlaue (Cr)'!$C:$FB,64)</f>
        <v>3200</v>
      </c>
      <c r="O154" s="51">
        <f>VLOOKUP($A154,'Data Vlaue (Cr)'!$C:$FB,66)*100</f>
        <v>-42.66</v>
      </c>
    </row>
    <row r="155" spans="1:15" x14ac:dyDescent="0.25">
      <c r="A155" s="101" t="str">
        <f>'Data Vlaue (Cr)'!C150</f>
        <v>NUVAMA</v>
      </c>
      <c r="B155" s="50">
        <f>VLOOKUP($A155,'Data Vlaue (Cr)'!$C:$FB,8)</f>
        <v>1376.7</v>
      </c>
      <c r="C155" s="50">
        <f>VLOOKUP($A155,'Data Vlaue (Cr)'!$C:$FB,11)*100</f>
        <v>0.36</v>
      </c>
      <c r="D155" s="50">
        <f>VLOOKUP($A155,'Data Vlaue (Cr)'!$C:$FB,143)</f>
        <v>404.31</v>
      </c>
      <c r="E155" s="50">
        <f>VLOOKUP($A155,'Data Vlaue (Cr)'!$C:$FB,144)</f>
        <v>290.19</v>
      </c>
      <c r="F155" s="50">
        <f>VLOOKUP($A155,'Data Vlaue (Cr)'!$C:$FB,146)*100</f>
        <v>39.33</v>
      </c>
      <c r="G155" s="49">
        <f>VLOOKUP($A155,'Data Vlaue (Cr)'!$C:$FB,43)</f>
        <v>239</v>
      </c>
      <c r="H155" s="49">
        <f>VLOOKUP($A155,'Data Vlaue (Cr)'!$C:$FB,44)</f>
        <v>82</v>
      </c>
      <c r="I155" s="49">
        <f>VLOOKUP($A155,'Data Vlaue (Cr)'!$C:$FB,46)*100</f>
        <v>193.16</v>
      </c>
      <c r="J155" s="51">
        <f>VLOOKUP($A155,'Data Vlaue (Cr)'!$C:$FB,59)</f>
        <v>94</v>
      </c>
      <c r="K155" s="51">
        <f>VLOOKUP($A155,'Data Vlaue (Cr)'!$C:$FB,60)</f>
        <v>129</v>
      </c>
      <c r="L155" s="51">
        <f>VLOOKUP($A155,'Data Vlaue (Cr)'!$C:$FB,62)*100</f>
        <v>-27.52</v>
      </c>
      <c r="M155" s="51">
        <f>VLOOKUP($A155,'Data Vlaue (Cr)'!$C:$FB,63)</f>
        <v>75</v>
      </c>
      <c r="N155" s="51">
        <f>VLOOKUP($A155,'Data Vlaue (Cr)'!$C:$FB,64)</f>
        <v>78</v>
      </c>
      <c r="O155" s="51">
        <f>VLOOKUP($A155,'Data Vlaue (Cr)'!$C:$FB,66)*100</f>
        <v>-3.81</v>
      </c>
    </row>
    <row r="156" spans="1:15" x14ac:dyDescent="0.25">
      <c r="A156" s="101" t="str">
        <f>'Data Vlaue (Cr)'!C151</f>
        <v>NYKAA</v>
      </c>
      <c r="B156" s="50">
        <f>VLOOKUP($A156,'Data Vlaue (Cr)'!$C:$FB,8)</f>
        <v>261.85000000000002</v>
      </c>
      <c r="C156" s="50">
        <f>VLOOKUP($A156,'Data Vlaue (Cr)'!$C:$FB,11)*100</f>
        <v>0.73</v>
      </c>
      <c r="D156" s="50">
        <f>VLOOKUP($A156,'Data Vlaue (Cr)'!$C:$FB,143)</f>
        <v>1029.03</v>
      </c>
      <c r="E156" s="50">
        <f>VLOOKUP($A156,'Data Vlaue (Cr)'!$C:$FB,144)</f>
        <v>627.4</v>
      </c>
      <c r="F156" s="50">
        <f>VLOOKUP($A156,'Data Vlaue (Cr)'!$C:$FB,146)*100</f>
        <v>64.02</v>
      </c>
      <c r="G156" s="49">
        <f>VLOOKUP($A156,'Data Vlaue (Cr)'!$C:$FB,43)</f>
        <v>679</v>
      </c>
      <c r="H156" s="49">
        <f>VLOOKUP($A156,'Data Vlaue (Cr)'!$C:$FB,44)</f>
        <v>244</v>
      </c>
      <c r="I156" s="49">
        <f>VLOOKUP($A156,'Data Vlaue (Cr)'!$C:$FB,46)*100</f>
        <v>178.1</v>
      </c>
      <c r="J156" s="51">
        <f>VLOOKUP($A156,'Data Vlaue (Cr)'!$C:$FB,59)</f>
        <v>256</v>
      </c>
      <c r="K156" s="51">
        <f>VLOOKUP($A156,'Data Vlaue (Cr)'!$C:$FB,60)</f>
        <v>249</v>
      </c>
      <c r="L156" s="51">
        <f>VLOOKUP($A156,'Data Vlaue (Cr)'!$C:$FB,62)*100</f>
        <v>2.92</v>
      </c>
      <c r="M156" s="51">
        <f>VLOOKUP($A156,'Data Vlaue (Cr)'!$C:$FB,63)</f>
        <v>80</v>
      </c>
      <c r="N156" s="51">
        <f>VLOOKUP($A156,'Data Vlaue (Cr)'!$C:$FB,64)</f>
        <v>123</v>
      </c>
      <c r="O156" s="51">
        <f>VLOOKUP($A156,'Data Vlaue (Cr)'!$C:$FB,66)*100</f>
        <v>-35.130000000000003</v>
      </c>
    </row>
    <row r="157" spans="1:15" x14ac:dyDescent="0.25">
      <c r="A157" s="101" t="str">
        <f>'Data Vlaue (Cr)'!C152</f>
        <v>OBEROIRLTY</v>
      </c>
      <c r="B157" s="50">
        <f>VLOOKUP($A157,'Data Vlaue (Cr)'!$C:$FB,8)</f>
        <v>1707.7</v>
      </c>
      <c r="C157" s="50">
        <f>VLOOKUP($A157,'Data Vlaue (Cr)'!$C:$FB,11)*100</f>
        <v>-1.49</v>
      </c>
      <c r="D157" s="50">
        <f>VLOOKUP($A157,'Data Vlaue (Cr)'!$C:$FB,143)</f>
        <v>1256.22</v>
      </c>
      <c r="E157" s="50">
        <f>VLOOKUP($A157,'Data Vlaue (Cr)'!$C:$FB,144)</f>
        <v>488.82</v>
      </c>
      <c r="F157" s="50">
        <f>VLOOKUP($A157,'Data Vlaue (Cr)'!$C:$FB,146)*100</f>
        <v>156.99</v>
      </c>
      <c r="G157" s="49">
        <f>VLOOKUP($A157,'Data Vlaue (Cr)'!$C:$FB,43)</f>
        <v>985</v>
      </c>
      <c r="H157" s="49">
        <f>VLOOKUP($A157,'Data Vlaue (Cr)'!$C:$FB,44)</f>
        <v>132</v>
      </c>
      <c r="I157" s="49">
        <f>VLOOKUP($A157,'Data Vlaue (Cr)'!$C:$FB,46)*100</f>
        <v>645.66999999999996</v>
      </c>
      <c r="J157" s="51">
        <f>VLOOKUP($A157,'Data Vlaue (Cr)'!$C:$FB,59)</f>
        <v>141</v>
      </c>
      <c r="K157" s="51">
        <f>VLOOKUP($A157,'Data Vlaue (Cr)'!$C:$FB,60)</f>
        <v>254</v>
      </c>
      <c r="L157" s="51">
        <f>VLOOKUP($A157,'Data Vlaue (Cr)'!$C:$FB,62)*100</f>
        <v>-44.55</v>
      </c>
      <c r="M157" s="51">
        <f>VLOOKUP($A157,'Data Vlaue (Cr)'!$C:$FB,63)</f>
        <v>131</v>
      </c>
      <c r="N157" s="51">
        <f>VLOOKUP($A157,'Data Vlaue (Cr)'!$C:$FB,64)</f>
        <v>91</v>
      </c>
      <c r="O157" s="51">
        <f>VLOOKUP($A157,'Data Vlaue (Cr)'!$C:$FB,66)*100</f>
        <v>43.29</v>
      </c>
    </row>
    <row r="158" spans="1:15" x14ac:dyDescent="0.25">
      <c r="A158" s="101" t="str">
        <f>'Data Vlaue (Cr)'!C153</f>
        <v>OFSS</v>
      </c>
      <c r="B158" s="50">
        <f>VLOOKUP($A158,'Data Vlaue (Cr)'!$C:$FB,8)</f>
        <v>8791.5</v>
      </c>
      <c r="C158" s="50">
        <f>VLOOKUP($A158,'Data Vlaue (Cr)'!$C:$FB,11)*100</f>
        <v>8.18</v>
      </c>
      <c r="D158" s="50">
        <f>VLOOKUP($A158,'Data Vlaue (Cr)'!$C:$FB,143)</f>
        <v>31504.7</v>
      </c>
      <c r="E158" s="50">
        <f>VLOOKUP($A158,'Data Vlaue (Cr)'!$C:$FB,144)</f>
        <v>6951.79</v>
      </c>
      <c r="F158" s="50">
        <f>VLOOKUP($A158,'Data Vlaue (Cr)'!$C:$FB,146)*100</f>
        <v>353.19</v>
      </c>
      <c r="G158" s="49">
        <f>VLOOKUP($A158,'Data Vlaue (Cr)'!$C:$FB,43)</f>
        <v>2684</v>
      </c>
      <c r="H158" s="49">
        <f>VLOOKUP($A158,'Data Vlaue (Cr)'!$C:$FB,44)</f>
        <v>876</v>
      </c>
      <c r="I158" s="49">
        <f>VLOOKUP($A158,'Data Vlaue (Cr)'!$C:$FB,46)*100</f>
        <v>206.4</v>
      </c>
      <c r="J158" s="51">
        <f>VLOOKUP($A158,'Data Vlaue (Cr)'!$C:$FB,59)</f>
        <v>21033</v>
      </c>
      <c r="K158" s="51">
        <f>VLOOKUP($A158,'Data Vlaue (Cr)'!$C:$FB,60)</f>
        <v>3899</v>
      </c>
      <c r="L158" s="51">
        <f>VLOOKUP($A158,'Data Vlaue (Cr)'!$C:$FB,62)*100</f>
        <v>439.49999999999994</v>
      </c>
      <c r="M158" s="51">
        <f>VLOOKUP($A158,'Data Vlaue (Cr)'!$C:$FB,63)</f>
        <v>7816</v>
      </c>
      <c r="N158" s="51">
        <f>VLOOKUP($A158,'Data Vlaue (Cr)'!$C:$FB,64)</f>
        <v>2702</v>
      </c>
      <c r="O158" s="51">
        <f>VLOOKUP($A158,'Data Vlaue (Cr)'!$C:$FB,66)*100</f>
        <v>189.29</v>
      </c>
    </row>
    <row r="159" spans="1:15" x14ac:dyDescent="0.25">
      <c r="A159" s="101" t="str">
        <f>'Data Vlaue (Cr)'!C154</f>
        <v>OIL</v>
      </c>
      <c r="B159" s="50">
        <f>VLOOKUP($A159,'Data Vlaue (Cr)'!$C:$FB,8)</f>
        <v>473.9</v>
      </c>
      <c r="C159" s="50">
        <f>VLOOKUP($A159,'Data Vlaue (Cr)'!$C:$FB,11)*100</f>
        <v>0.88</v>
      </c>
      <c r="D159" s="50">
        <f>VLOOKUP($A159,'Data Vlaue (Cr)'!$C:$FB,143)</f>
        <v>2079.98</v>
      </c>
      <c r="E159" s="50">
        <f>VLOOKUP($A159,'Data Vlaue (Cr)'!$C:$FB,144)</f>
        <v>820.27</v>
      </c>
      <c r="F159" s="50">
        <f>VLOOKUP($A159,'Data Vlaue (Cr)'!$C:$FB,146)*100</f>
        <v>153.57</v>
      </c>
      <c r="G159" s="49">
        <f>VLOOKUP($A159,'Data Vlaue (Cr)'!$C:$FB,43)</f>
        <v>692</v>
      </c>
      <c r="H159" s="49">
        <f>VLOOKUP($A159,'Data Vlaue (Cr)'!$C:$FB,44)</f>
        <v>186</v>
      </c>
      <c r="I159" s="49">
        <f>VLOOKUP($A159,'Data Vlaue (Cr)'!$C:$FB,46)*100</f>
        <v>271.79000000000002</v>
      </c>
      <c r="J159" s="51">
        <f>VLOOKUP($A159,'Data Vlaue (Cr)'!$C:$FB,59)</f>
        <v>1117</v>
      </c>
      <c r="K159" s="51">
        <f>VLOOKUP($A159,'Data Vlaue (Cr)'!$C:$FB,60)</f>
        <v>494</v>
      </c>
      <c r="L159" s="51">
        <f>VLOOKUP($A159,'Data Vlaue (Cr)'!$C:$FB,62)*100</f>
        <v>126.03999999999999</v>
      </c>
      <c r="M159" s="51">
        <f>VLOOKUP($A159,'Data Vlaue (Cr)'!$C:$FB,63)</f>
        <v>232</v>
      </c>
      <c r="N159" s="51">
        <f>VLOOKUP($A159,'Data Vlaue (Cr)'!$C:$FB,64)</f>
        <v>131</v>
      </c>
      <c r="O159" s="51">
        <f>VLOOKUP($A159,'Data Vlaue (Cr)'!$C:$FB,66)*100</f>
        <v>76.709999999999994</v>
      </c>
    </row>
    <row r="160" spans="1:15" x14ac:dyDescent="0.25">
      <c r="A160" s="101" t="str">
        <f>'Data Vlaue (Cr)'!C155</f>
        <v>ONGC</v>
      </c>
      <c r="B160" s="50">
        <f>VLOOKUP($A160,'Data Vlaue (Cr)'!$C:$FB,8)</f>
        <v>286.25</v>
      </c>
      <c r="C160" s="50">
        <f>VLOOKUP($A160,'Data Vlaue (Cr)'!$C:$FB,11)*100</f>
        <v>0.91999999999999993</v>
      </c>
      <c r="D160" s="50">
        <f>VLOOKUP($A160,'Data Vlaue (Cr)'!$C:$FB,143)</f>
        <v>7006.85</v>
      </c>
      <c r="E160" s="50">
        <f>VLOOKUP($A160,'Data Vlaue (Cr)'!$C:$FB,144)</f>
        <v>2585.42</v>
      </c>
      <c r="F160" s="50">
        <f>VLOOKUP($A160,'Data Vlaue (Cr)'!$C:$FB,146)*100</f>
        <v>171.01</v>
      </c>
      <c r="G160" s="49">
        <f>VLOOKUP($A160,'Data Vlaue (Cr)'!$C:$FB,43)</f>
        <v>1577</v>
      </c>
      <c r="H160" s="49">
        <f>VLOOKUP($A160,'Data Vlaue (Cr)'!$C:$FB,44)</f>
        <v>278</v>
      </c>
      <c r="I160" s="49">
        <f>VLOOKUP($A160,'Data Vlaue (Cr)'!$C:$FB,46)*100</f>
        <v>466.47999999999996</v>
      </c>
      <c r="J160" s="51">
        <f>VLOOKUP($A160,'Data Vlaue (Cr)'!$C:$FB,59)</f>
        <v>4034</v>
      </c>
      <c r="K160" s="51">
        <f>VLOOKUP($A160,'Data Vlaue (Cr)'!$C:$FB,60)</f>
        <v>1639</v>
      </c>
      <c r="L160" s="51">
        <f>VLOOKUP($A160,'Data Vlaue (Cr)'!$C:$FB,62)*100</f>
        <v>146.12</v>
      </c>
      <c r="M160" s="51">
        <f>VLOOKUP($A160,'Data Vlaue (Cr)'!$C:$FB,63)</f>
        <v>1314</v>
      </c>
      <c r="N160" s="51">
        <f>VLOOKUP($A160,'Data Vlaue (Cr)'!$C:$FB,64)</f>
        <v>652</v>
      </c>
      <c r="O160" s="51">
        <f>VLOOKUP($A160,'Data Vlaue (Cr)'!$C:$FB,66)*100</f>
        <v>101.69</v>
      </c>
    </row>
    <row r="161" spans="1:15" x14ac:dyDescent="0.25">
      <c r="A161" s="101" t="str">
        <f>'Data Vlaue (Cr)'!C156</f>
        <v>PAGEIND</v>
      </c>
      <c r="B161" s="50">
        <f>VLOOKUP($A161,'Data Vlaue (Cr)'!$C:$FB,8)</f>
        <v>37965</v>
      </c>
      <c r="C161" s="50">
        <f>VLOOKUP($A161,'Data Vlaue (Cr)'!$C:$FB,11)*100</f>
        <v>0.28999999999999998</v>
      </c>
      <c r="D161" s="50">
        <f>VLOOKUP($A161,'Data Vlaue (Cr)'!$C:$FB,143)</f>
        <v>1548.69</v>
      </c>
      <c r="E161" s="50">
        <f>VLOOKUP($A161,'Data Vlaue (Cr)'!$C:$FB,144)</f>
        <v>467.12</v>
      </c>
      <c r="F161" s="50">
        <f>VLOOKUP($A161,'Data Vlaue (Cr)'!$C:$FB,146)*100</f>
        <v>231.54</v>
      </c>
      <c r="G161" s="49">
        <f>VLOOKUP($A161,'Data Vlaue (Cr)'!$C:$FB,43)</f>
        <v>981</v>
      </c>
      <c r="H161" s="49">
        <f>VLOOKUP($A161,'Data Vlaue (Cr)'!$C:$FB,44)</f>
        <v>126</v>
      </c>
      <c r="I161" s="49">
        <f>VLOOKUP($A161,'Data Vlaue (Cr)'!$C:$FB,46)*100</f>
        <v>679.88</v>
      </c>
      <c r="J161" s="51">
        <f>VLOOKUP($A161,'Data Vlaue (Cr)'!$C:$FB,59)</f>
        <v>197</v>
      </c>
      <c r="K161" s="51">
        <f>VLOOKUP($A161,'Data Vlaue (Cr)'!$C:$FB,60)</f>
        <v>142</v>
      </c>
      <c r="L161" s="51">
        <f>VLOOKUP($A161,'Data Vlaue (Cr)'!$C:$FB,62)*100</f>
        <v>38.72</v>
      </c>
      <c r="M161" s="51">
        <f>VLOOKUP($A161,'Data Vlaue (Cr)'!$C:$FB,63)</f>
        <v>421</v>
      </c>
      <c r="N161" s="51">
        <f>VLOOKUP($A161,'Data Vlaue (Cr)'!$C:$FB,64)</f>
        <v>212</v>
      </c>
      <c r="O161" s="51">
        <f>VLOOKUP($A161,'Data Vlaue (Cr)'!$C:$FB,66)*100</f>
        <v>98.440000000000012</v>
      </c>
    </row>
    <row r="162" spans="1:15" x14ac:dyDescent="0.25">
      <c r="A162" s="101" t="str">
        <f>'Data Vlaue (Cr)'!C157</f>
        <v>PATANJALI</v>
      </c>
      <c r="B162" s="50">
        <f>VLOOKUP($A162,'Data Vlaue (Cr)'!$C:$FB,8)</f>
        <v>469.25</v>
      </c>
      <c r="C162" s="50">
        <f>VLOOKUP($A162,'Data Vlaue (Cr)'!$C:$FB,11)*100</f>
        <v>-0.6</v>
      </c>
      <c r="D162" s="50">
        <f>VLOOKUP($A162,'Data Vlaue (Cr)'!$C:$FB,143)</f>
        <v>1100.1199999999999</v>
      </c>
      <c r="E162" s="50">
        <f>VLOOKUP($A162,'Data Vlaue (Cr)'!$C:$FB,144)</f>
        <v>914.28</v>
      </c>
      <c r="F162" s="50">
        <f>VLOOKUP($A162,'Data Vlaue (Cr)'!$C:$FB,146)*100</f>
        <v>20.330000000000002</v>
      </c>
      <c r="G162" s="49">
        <f>VLOOKUP($A162,'Data Vlaue (Cr)'!$C:$FB,43)</f>
        <v>708</v>
      </c>
      <c r="H162" s="49">
        <f>VLOOKUP($A162,'Data Vlaue (Cr)'!$C:$FB,44)</f>
        <v>268</v>
      </c>
      <c r="I162" s="49">
        <f>VLOOKUP($A162,'Data Vlaue (Cr)'!$C:$FB,46)*100</f>
        <v>164.32999999999998</v>
      </c>
      <c r="J162" s="51">
        <f>VLOOKUP($A162,'Data Vlaue (Cr)'!$C:$FB,59)</f>
        <v>321</v>
      </c>
      <c r="K162" s="51">
        <f>VLOOKUP($A162,'Data Vlaue (Cr)'!$C:$FB,60)</f>
        <v>506</v>
      </c>
      <c r="L162" s="51">
        <f>VLOOKUP($A162,'Data Vlaue (Cr)'!$C:$FB,62)*100</f>
        <v>-36.58</v>
      </c>
      <c r="M162" s="51">
        <f>VLOOKUP($A162,'Data Vlaue (Cr)'!$C:$FB,63)</f>
        <v>57</v>
      </c>
      <c r="N162" s="51">
        <f>VLOOKUP($A162,'Data Vlaue (Cr)'!$C:$FB,64)</f>
        <v>117</v>
      </c>
      <c r="O162" s="51">
        <f>VLOOKUP($A162,'Data Vlaue (Cr)'!$C:$FB,66)*100</f>
        <v>-50.99</v>
      </c>
    </row>
    <row r="163" spans="1:15" x14ac:dyDescent="0.25">
      <c r="A163" s="101" t="str">
        <f>'Data Vlaue (Cr)'!C158</f>
        <v>PAYTM</v>
      </c>
      <c r="B163" s="50">
        <f>VLOOKUP($A163,'Data Vlaue (Cr)'!$C:$FB,8)</f>
        <v>1159.55</v>
      </c>
      <c r="C163" s="50">
        <f>VLOOKUP($A163,'Data Vlaue (Cr)'!$C:$FB,11)*100</f>
        <v>-0.22</v>
      </c>
      <c r="D163" s="50">
        <f>VLOOKUP($A163,'Data Vlaue (Cr)'!$C:$FB,143)</f>
        <v>1994.29</v>
      </c>
      <c r="E163" s="50">
        <f>VLOOKUP($A163,'Data Vlaue (Cr)'!$C:$FB,144)</f>
        <v>1656.26</v>
      </c>
      <c r="F163" s="50">
        <f>VLOOKUP($A163,'Data Vlaue (Cr)'!$C:$FB,146)*100</f>
        <v>20.41</v>
      </c>
      <c r="G163" s="49">
        <f>VLOOKUP($A163,'Data Vlaue (Cr)'!$C:$FB,43)</f>
        <v>937</v>
      </c>
      <c r="H163" s="49">
        <f>VLOOKUP($A163,'Data Vlaue (Cr)'!$C:$FB,44)</f>
        <v>389</v>
      </c>
      <c r="I163" s="49">
        <f>VLOOKUP($A163,'Data Vlaue (Cr)'!$C:$FB,46)*100</f>
        <v>141.04000000000002</v>
      </c>
      <c r="J163" s="51">
        <f>VLOOKUP($A163,'Data Vlaue (Cr)'!$C:$FB,59)</f>
        <v>647</v>
      </c>
      <c r="K163" s="51">
        <f>VLOOKUP($A163,'Data Vlaue (Cr)'!$C:$FB,60)</f>
        <v>580</v>
      </c>
      <c r="L163" s="51">
        <f>VLOOKUP($A163,'Data Vlaue (Cr)'!$C:$FB,62)*100</f>
        <v>11.52</v>
      </c>
      <c r="M163" s="51">
        <f>VLOOKUP($A163,'Data Vlaue (Cr)'!$C:$FB,63)</f>
        <v>403</v>
      </c>
      <c r="N163" s="51">
        <f>VLOOKUP($A163,'Data Vlaue (Cr)'!$C:$FB,64)</f>
        <v>687</v>
      </c>
      <c r="O163" s="51">
        <f>VLOOKUP($A163,'Data Vlaue (Cr)'!$C:$FB,66)*100</f>
        <v>-41.28</v>
      </c>
    </row>
    <row r="164" spans="1:15" x14ac:dyDescent="0.25">
      <c r="A164" s="101" t="str">
        <f>'Data Vlaue (Cr)'!C159</f>
        <v>PERSISTENT</v>
      </c>
      <c r="B164" s="50">
        <f>VLOOKUP($A164,'Data Vlaue (Cr)'!$C:$FB,8)</f>
        <v>5065.2</v>
      </c>
      <c r="C164" s="50">
        <f>VLOOKUP($A164,'Data Vlaue (Cr)'!$C:$FB,11)*100</f>
        <v>-0.16</v>
      </c>
      <c r="D164" s="50">
        <f>VLOOKUP($A164,'Data Vlaue (Cr)'!$C:$FB,143)</f>
        <v>6533.52</v>
      </c>
      <c r="E164" s="50">
        <f>VLOOKUP($A164,'Data Vlaue (Cr)'!$C:$FB,144)</f>
        <v>11703.08</v>
      </c>
      <c r="F164" s="50">
        <f>VLOOKUP($A164,'Data Vlaue (Cr)'!$C:$FB,146)*100</f>
        <v>-44.17</v>
      </c>
      <c r="G164" s="49">
        <f>VLOOKUP($A164,'Data Vlaue (Cr)'!$C:$FB,43)</f>
        <v>2162</v>
      </c>
      <c r="H164" s="49">
        <f>VLOOKUP($A164,'Data Vlaue (Cr)'!$C:$FB,44)</f>
        <v>1575</v>
      </c>
      <c r="I164" s="49">
        <f>VLOOKUP($A164,'Data Vlaue (Cr)'!$C:$FB,46)*100</f>
        <v>37.31</v>
      </c>
      <c r="J164" s="51">
        <f>VLOOKUP($A164,'Data Vlaue (Cr)'!$C:$FB,59)</f>
        <v>2874</v>
      </c>
      <c r="K164" s="51">
        <f>VLOOKUP($A164,'Data Vlaue (Cr)'!$C:$FB,60)</f>
        <v>5588</v>
      </c>
      <c r="L164" s="51">
        <f>VLOOKUP($A164,'Data Vlaue (Cr)'!$C:$FB,62)*100</f>
        <v>-48.559999999999995</v>
      </c>
      <c r="M164" s="51">
        <f>VLOOKUP($A164,'Data Vlaue (Cr)'!$C:$FB,63)</f>
        <v>1356</v>
      </c>
      <c r="N164" s="51">
        <f>VLOOKUP($A164,'Data Vlaue (Cr)'!$C:$FB,64)</f>
        <v>4068</v>
      </c>
      <c r="O164" s="51">
        <f>VLOOKUP($A164,'Data Vlaue (Cr)'!$C:$FB,66)*100</f>
        <v>-66.67</v>
      </c>
    </row>
    <row r="165" spans="1:15" x14ac:dyDescent="0.25">
      <c r="A165" s="101" t="str">
        <f>'Data Vlaue (Cr)'!C160</f>
        <v>PETRONET</v>
      </c>
      <c r="B165" s="50">
        <f>VLOOKUP($A165,'Data Vlaue (Cr)'!$C:$FB,8)</f>
        <v>275.81</v>
      </c>
      <c r="C165" s="50">
        <f>VLOOKUP($A165,'Data Vlaue (Cr)'!$C:$FB,11)*100</f>
        <v>-1.34</v>
      </c>
      <c r="D165" s="50">
        <f>VLOOKUP($A165,'Data Vlaue (Cr)'!$C:$FB,143)</f>
        <v>1302.48</v>
      </c>
      <c r="E165" s="50">
        <f>VLOOKUP($A165,'Data Vlaue (Cr)'!$C:$FB,144)</f>
        <v>593.96</v>
      </c>
      <c r="F165" s="50">
        <f>VLOOKUP($A165,'Data Vlaue (Cr)'!$C:$FB,146)*100</f>
        <v>119.29</v>
      </c>
      <c r="G165" s="49">
        <f>VLOOKUP($A165,'Data Vlaue (Cr)'!$C:$FB,43)</f>
        <v>826</v>
      </c>
      <c r="H165" s="49">
        <f>VLOOKUP($A165,'Data Vlaue (Cr)'!$C:$FB,44)</f>
        <v>130</v>
      </c>
      <c r="I165" s="49">
        <f>VLOOKUP($A165,'Data Vlaue (Cr)'!$C:$FB,46)*100</f>
        <v>535.55000000000007</v>
      </c>
      <c r="J165" s="51">
        <f>VLOOKUP($A165,'Data Vlaue (Cr)'!$C:$FB,59)</f>
        <v>306</v>
      </c>
      <c r="K165" s="51">
        <f>VLOOKUP($A165,'Data Vlaue (Cr)'!$C:$FB,60)</f>
        <v>328</v>
      </c>
      <c r="L165" s="51">
        <f>VLOOKUP($A165,'Data Vlaue (Cr)'!$C:$FB,62)*100</f>
        <v>-6.81</v>
      </c>
      <c r="M165" s="51">
        <f>VLOOKUP($A165,'Data Vlaue (Cr)'!$C:$FB,63)</f>
        <v>160</v>
      </c>
      <c r="N165" s="51">
        <f>VLOOKUP($A165,'Data Vlaue (Cr)'!$C:$FB,64)</f>
        <v>122</v>
      </c>
      <c r="O165" s="51">
        <f>VLOOKUP($A165,'Data Vlaue (Cr)'!$C:$FB,66)*100</f>
        <v>31.64</v>
      </c>
    </row>
    <row r="166" spans="1:15" x14ac:dyDescent="0.25">
      <c r="A166" s="101" t="str">
        <f>'Data Vlaue (Cr)'!C161</f>
        <v>PFC</v>
      </c>
      <c r="B166" s="50">
        <f>VLOOKUP($A166,'Data Vlaue (Cr)'!$C:$FB,8)</f>
        <v>469.8</v>
      </c>
      <c r="C166" s="50">
        <f>VLOOKUP($A166,'Data Vlaue (Cr)'!$C:$FB,11)*100</f>
        <v>-0.11</v>
      </c>
      <c r="D166" s="50">
        <f>VLOOKUP($A166,'Data Vlaue (Cr)'!$C:$FB,143)</f>
        <v>3220.03</v>
      </c>
      <c r="E166" s="50">
        <f>VLOOKUP($A166,'Data Vlaue (Cr)'!$C:$FB,144)</f>
        <v>2663.57</v>
      </c>
      <c r="F166" s="50">
        <f>VLOOKUP($A166,'Data Vlaue (Cr)'!$C:$FB,146)*100</f>
        <v>20.89</v>
      </c>
      <c r="G166" s="49">
        <f>VLOOKUP($A166,'Data Vlaue (Cr)'!$C:$FB,43)</f>
        <v>1399</v>
      </c>
      <c r="H166" s="49">
        <f>VLOOKUP($A166,'Data Vlaue (Cr)'!$C:$FB,44)</f>
        <v>569</v>
      </c>
      <c r="I166" s="49">
        <f>VLOOKUP($A166,'Data Vlaue (Cr)'!$C:$FB,46)*100</f>
        <v>145.73000000000002</v>
      </c>
      <c r="J166" s="51">
        <f>VLOOKUP($A166,'Data Vlaue (Cr)'!$C:$FB,59)</f>
        <v>1221</v>
      </c>
      <c r="K166" s="51">
        <f>VLOOKUP($A166,'Data Vlaue (Cr)'!$C:$FB,60)</f>
        <v>1345</v>
      </c>
      <c r="L166" s="51">
        <f>VLOOKUP($A166,'Data Vlaue (Cr)'!$C:$FB,62)*100</f>
        <v>-9.16</v>
      </c>
      <c r="M166" s="51">
        <f>VLOOKUP($A166,'Data Vlaue (Cr)'!$C:$FB,63)</f>
        <v>563</v>
      </c>
      <c r="N166" s="51">
        <f>VLOOKUP($A166,'Data Vlaue (Cr)'!$C:$FB,64)</f>
        <v>706</v>
      </c>
      <c r="O166" s="51">
        <f>VLOOKUP($A166,'Data Vlaue (Cr)'!$C:$FB,66)*100</f>
        <v>-20.28</v>
      </c>
    </row>
    <row r="167" spans="1:15" x14ac:dyDescent="0.25">
      <c r="A167" s="101" t="str">
        <f>'Data Vlaue (Cr)'!C162</f>
        <v>PGEL</v>
      </c>
      <c r="B167" s="50">
        <f>VLOOKUP($A167,'Data Vlaue (Cr)'!$C:$FB,8)</f>
        <v>550.5</v>
      </c>
      <c r="C167" s="50">
        <f>VLOOKUP($A167,'Data Vlaue (Cr)'!$C:$FB,11)*100</f>
        <v>-3.19</v>
      </c>
      <c r="D167" s="50">
        <f>VLOOKUP($A167,'Data Vlaue (Cr)'!$C:$FB,143)</f>
        <v>2074.2399999999998</v>
      </c>
      <c r="E167" s="50">
        <f>VLOOKUP($A167,'Data Vlaue (Cr)'!$C:$FB,144)</f>
        <v>1595.97</v>
      </c>
      <c r="F167" s="50">
        <f>VLOOKUP($A167,'Data Vlaue (Cr)'!$C:$FB,146)*100</f>
        <v>29.970000000000002</v>
      </c>
      <c r="G167" s="49">
        <f>VLOOKUP($A167,'Data Vlaue (Cr)'!$C:$FB,43)</f>
        <v>782</v>
      </c>
      <c r="H167" s="49">
        <f>VLOOKUP($A167,'Data Vlaue (Cr)'!$C:$FB,44)</f>
        <v>290</v>
      </c>
      <c r="I167" s="49">
        <f>VLOOKUP($A167,'Data Vlaue (Cr)'!$C:$FB,46)*100</f>
        <v>170.07000000000002</v>
      </c>
      <c r="J167" s="51">
        <f>VLOOKUP($A167,'Data Vlaue (Cr)'!$C:$FB,59)</f>
        <v>638</v>
      </c>
      <c r="K167" s="51">
        <f>VLOOKUP($A167,'Data Vlaue (Cr)'!$C:$FB,60)</f>
        <v>742</v>
      </c>
      <c r="L167" s="51">
        <f>VLOOKUP($A167,'Data Vlaue (Cr)'!$C:$FB,62)*100</f>
        <v>-14.02</v>
      </c>
      <c r="M167" s="51">
        <f>VLOOKUP($A167,'Data Vlaue (Cr)'!$C:$FB,63)</f>
        <v>638</v>
      </c>
      <c r="N167" s="51">
        <f>VLOOKUP($A167,'Data Vlaue (Cr)'!$C:$FB,64)</f>
        <v>516</v>
      </c>
      <c r="O167" s="51">
        <f>VLOOKUP($A167,'Data Vlaue (Cr)'!$C:$FB,66)*100</f>
        <v>23.48</v>
      </c>
    </row>
    <row r="168" spans="1:15" x14ac:dyDescent="0.25">
      <c r="A168" s="101" t="str">
        <f>'Data Vlaue (Cr)'!C163</f>
        <v>PHOENIXLTD</v>
      </c>
      <c r="B168" s="50">
        <f>VLOOKUP($A168,'Data Vlaue (Cr)'!$C:$FB,8)</f>
        <v>1785.3</v>
      </c>
      <c r="C168" s="50">
        <f>VLOOKUP($A168,'Data Vlaue (Cr)'!$C:$FB,11)*100</f>
        <v>-1.3299999999999998</v>
      </c>
      <c r="D168" s="50">
        <f>VLOOKUP($A168,'Data Vlaue (Cr)'!$C:$FB,143)</f>
        <v>917.17</v>
      </c>
      <c r="E168" s="50">
        <f>VLOOKUP($A168,'Data Vlaue (Cr)'!$C:$FB,144)</f>
        <v>279.33</v>
      </c>
      <c r="F168" s="50">
        <f>VLOOKUP($A168,'Data Vlaue (Cr)'!$C:$FB,146)*100</f>
        <v>228.33999999999997</v>
      </c>
      <c r="G168" s="49">
        <f>VLOOKUP($A168,'Data Vlaue (Cr)'!$C:$FB,43)</f>
        <v>442</v>
      </c>
      <c r="H168" s="49">
        <f>VLOOKUP($A168,'Data Vlaue (Cr)'!$C:$FB,44)</f>
        <v>50</v>
      </c>
      <c r="I168" s="49">
        <f>VLOOKUP($A168,'Data Vlaue (Cr)'!$C:$FB,46)*100</f>
        <v>777.39</v>
      </c>
      <c r="J168" s="51">
        <f>VLOOKUP($A168,'Data Vlaue (Cr)'!$C:$FB,59)</f>
        <v>155</v>
      </c>
      <c r="K168" s="51">
        <f>VLOOKUP($A168,'Data Vlaue (Cr)'!$C:$FB,60)</f>
        <v>163</v>
      </c>
      <c r="L168" s="51">
        <f>VLOOKUP($A168,'Data Vlaue (Cr)'!$C:$FB,62)*100</f>
        <v>-4.5699999999999994</v>
      </c>
      <c r="M168" s="51">
        <f>VLOOKUP($A168,'Data Vlaue (Cr)'!$C:$FB,63)</f>
        <v>353</v>
      </c>
      <c r="N168" s="51">
        <f>VLOOKUP($A168,'Data Vlaue (Cr)'!$C:$FB,64)</f>
        <v>58</v>
      </c>
      <c r="O168" s="51">
        <f>VLOOKUP($A168,'Data Vlaue (Cr)'!$C:$FB,66)*100</f>
        <v>507.53000000000003</v>
      </c>
    </row>
    <row r="169" spans="1:15" x14ac:dyDescent="0.25">
      <c r="A169" s="101" t="str">
        <f>'Data Vlaue (Cr)'!C164</f>
        <v>PIDILITIND</v>
      </c>
      <c r="B169" s="50">
        <f>VLOOKUP($A169,'Data Vlaue (Cr)'!$C:$FB,8)</f>
        <v>1402.1</v>
      </c>
      <c r="C169" s="50">
        <f>VLOOKUP($A169,'Data Vlaue (Cr)'!$C:$FB,11)*100</f>
        <v>-1.1900000000000002</v>
      </c>
      <c r="D169" s="50">
        <f>VLOOKUP($A169,'Data Vlaue (Cr)'!$C:$FB,143)</f>
        <v>1182.49</v>
      </c>
      <c r="E169" s="50">
        <f>VLOOKUP($A169,'Data Vlaue (Cr)'!$C:$FB,144)</f>
        <v>577.16999999999996</v>
      </c>
      <c r="F169" s="50">
        <f>VLOOKUP($A169,'Data Vlaue (Cr)'!$C:$FB,146)*100</f>
        <v>104.88</v>
      </c>
      <c r="G169" s="49">
        <f>VLOOKUP($A169,'Data Vlaue (Cr)'!$C:$FB,43)</f>
        <v>841</v>
      </c>
      <c r="H169" s="49">
        <f>VLOOKUP($A169,'Data Vlaue (Cr)'!$C:$FB,44)</f>
        <v>144</v>
      </c>
      <c r="I169" s="49">
        <f>VLOOKUP($A169,'Data Vlaue (Cr)'!$C:$FB,46)*100</f>
        <v>483.01</v>
      </c>
      <c r="J169" s="51">
        <f>VLOOKUP($A169,'Data Vlaue (Cr)'!$C:$FB,59)</f>
        <v>198</v>
      </c>
      <c r="K169" s="51">
        <f>VLOOKUP($A169,'Data Vlaue (Cr)'!$C:$FB,60)</f>
        <v>267</v>
      </c>
      <c r="L169" s="51">
        <f>VLOOKUP($A169,'Data Vlaue (Cr)'!$C:$FB,62)*100</f>
        <v>-26.06</v>
      </c>
      <c r="M169" s="51">
        <f>VLOOKUP($A169,'Data Vlaue (Cr)'!$C:$FB,63)</f>
        <v>135</v>
      </c>
      <c r="N169" s="51">
        <f>VLOOKUP($A169,'Data Vlaue (Cr)'!$C:$FB,64)</f>
        <v>158</v>
      </c>
      <c r="O169" s="51">
        <f>VLOOKUP($A169,'Data Vlaue (Cr)'!$C:$FB,66)*100</f>
        <v>-14.219999999999999</v>
      </c>
    </row>
    <row r="170" spans="1:15" x14ac:dyDescent="0.25">
      <c r="A170" s="101" t="str">
        <f>'Data Vlaue (Cr)'!C165</f>
        <v>PIIND</v>
      </c>
      <c r="B170" s="50">
        <f>VLOOKUP($A170,'Data Vlaue (Cr)'!$C:$FB,8)</f>
        <v>3069.6</v>
      </c>
      <c r="C170" s="50">
        <f>VLOOKUP($A170,'Data Vlaue (Cr)'!$C:$FB,11)*100</f>
        <v>0.4</v>
      </c>
      <c r="D170" s="50">
        <f>VLOOKUP($A170,'Data Vlaue (Cr)'!$C:$FB,143)</f>
        <v>1210.23</v>
      </c>
      <c r="E170" s="50">
        <f>VLOOKUP($A170,'Data Vlaue (Cr)'!$C:$FB,144)</f>
        <v>454</v>
      </c>
      <c r="F170" s="50">
        <f>VLOOKUP($A170,'Data Vlaue (Cr)'!$C:$FB,146)*100</f>
        <v>166.57</v>
      </c>
      <c r="G170" s="49">
        <f>VLOOKUP($A170,'Data Vlaue (Cr)'!$C:$FB,43)</f>
        <v>680</v>
      </c>
      <c r="H170" s="49">
        <f>VLOOKUP($A170,'Data Vlaue (Cr)'!$C:$FB,44)</f>
        <v>112</v>
      </c>
      <c r="I170" s="49">
        <f>VLOOKUP($A170,'Data Vlaue (Cr)'!$C:$FB,46)*100</f>
        <v>509.51000000000005</v>
      </c>
      <c r="J170" s="51">
        <f>VLOOKUP($A170,'Data Vlaue (Cr)'!$C:$FB,59)</f>
        <v>360</v>
      </c>
      <c r="K170" s="51">
        <f>VLOOKUP($A170,'Data Vlaue (Cr)'!$C:$FB,60)</f>
        <v>231</v>
      </c>
      <c r="L170" s="51">
        <f>VLOOKUP($A170,'Data Vlaue (Cr)'!$C:$FB,62)*100</f>
        <v>55.55</v>
      </c>
      <c r="M170" s="51">
        <f>VLOOKUP($A170,'Data Vlaue (Cr)'!$C:$FB,63)</f>
        <v>169</v>
      </c>
      <c r="N170" s="51">
        <f>VLOOKUP($A170,'Data Vlaue (Cr)'!$C:$FB,64)</f>
        <v>112</v>
      </c>
      <c r="O170" s="51">
        <f>VLOOKUP($A170,'Data Vlaue (Cr)'!$C:$FB,66)*100</f>
        <v>51.470000000000006</v>
      </c>
    </row>
    <row r="171" spans="1:15" x14ac:dyDescent="0.25">
      <c r="A171" s="101" t="str">
        <f>'Data Vlaue (Cr)'!C166</f>
        <v>PNB</v>
      </c>
      <c r="B171" s="50">
        <f>VLOOKUP($A171,'Data Vlaue (Cr)'!$C:$FB,8)</f>
        <v>112.71</v>
      </c>
      <c r="C171" s="50">
        <f>VLOOKUP($A171,'Data Vlaue (Cr)'!$C:$FB,11)*100</f>
        <v>-1.71</v>
      </c>
      <c r="D171" s="50">
        <f>VLOOKUP($A171,'Data Vlaue (Cr)'!$C:$FB,143)</f>
        <v>3957.06</v>
      </c>
      <c r="E171" s="50">
        <f>VLOOKUP($A171,'Data Vlaue (Cr)'!$C:$FB,144)</f>
        <v>2578.2600000000002</v>
      </c>
      <c r="F171" s="50">
        <f>VLOOKUP($A171,'Data Vlaue (Cr)'!$C:$FB,146)*100</f>
        <v>53.480000000000004</v>
      </c>
      <c r="G171" s="49">
        <f>VLOOKUP($A171,'Data Vlaue (Cr)'!$C:$FB,43)</f>
        <v>1531</v>
      </c>
      <c r="H171" s="49">
        <f>VLOOKUP($A171,'Data Vlaue (Cr)'!$C:$FB,44)</f>
        <v>555</v>
      </c>
      <c r="I171" s="49">
        <f>VLOOKUP($A171,'Data Vlaue (Cr)'!$C:$FB,46)*100</f>
        <v>176.06</v>
      </c>
      <c r="J171" s="51">
        <f>VLOOKUP($A171,'Data Vlaue (Cr)'!$C:$FB,59)</f>
        <v>1405</v>
      </c>
      <c r="K171" s="51">
        <f>VLOOKUP($A171,'Data Vlaue (Cr)'!$C:$FB,60)</f>
        <v>1222</v>
      </c>
      <c r="L171" s="51">
        <f>VLOOKUP($A171,'Data Vlaue (Cr)'!$C:$FB,62)*100</f>
        <v>14.97</v>
      </c>
      <c r="M171" s="51">
        <f>VLOOKUP($A171,'Data Vlaue (Cr)'!$C:$FB,63)</f>
        <v>965</v>
      </c>
      <c r="N171" s="51">
        <f>VLOOKUP($A171,'Data Vlaue (Cr)'!$C:$FB,64)</f>
        <v>716</v>
      </c>
      <c r="O171" s="51">
        <f>VLOOKUP($A171,'Data Vlaue (Cr)'!$C:$FB,66)*100</f>
        <v>34.83</v>
      </c>
    </row>
    <row r="172" spans="1:15" x14ac:dyDescent="0.25">
      <c r="A172" s="101" t="str">
        <f>'Data Vlaue (Cr)'!C167</f>
        <v>PNBHOUSING</v>
      </c>
      <c r="B172" s="50">
        <f>VLOOKUP($A172,'Data Vlaue (Cr)'!$C:$FB,8)</f>
        <v>1007.75</v>
      </c>
      <c r="C172" s="50">
        <f>VLOOKUP($A172,'Data Vlaue (Cr)'!$C:$FB,11)*100</f>
        <v>1.77</v>
      </c>
      <c r="D172" s="50">
        <f>VLOOKUP($A172,'Data Vlaue (Cr)'!$C:$FB,143)</f>
        <v>3539.94</v>
      </c>
      <c r="E172" s="50">
        <f>VLOOKUP($A172,'Data Vlaue (Cr)'!$C:$FB,144)</f>
        <v>3319.28</v>
      </c>
      <c r="F172" s="50">
        <f>VLOOKUP($A172,'Data Vlaue (Cr)'!$C:$FB,146)*100</f>
        <v>6.65</v>
      </c>
      <c r="G172" s="49">
        <f>VLOOKUP($A172,'Data Vlaue (Cr)'!$C:$FB,43)</f>
        <v>1023</v>
      </c>
      <c r="H172" s="49">
        <f>VLOOKUP($A172,'Data Vlaue (Cr)'!$C:$FB,44)</f>
        <v>512</v>
      </c>
      <c r="I172" s="49">
        <f>VLOOKUP($A172,'Data Vlaue (Cr)'!$C:$FB,46)*100</f>
        <v>99.74</v>
      </c>
      <c r="J172" s="51">
        <f>VLOOKUP($A172,'Data Vlaue (Cr)'!$C:$FB,59)</f>
        <v>1627</v>
      </c>
      <c r="K172" s="51">
        <f>VLOOKUP($A172,'Data Vlaue (Cr)'!$C:$FB,60)</f>
        <v>1879</v>
      </c>
      <c r="L172" s="51">
        <f>VLOOKUP($A172,'Data Vlaue (Cr)'!$C:$FB,62)*100</f>
        <v>-13.370000000000001</v>
      </c>
      <c r="M172" s="51">
        <f>VLOOKUP($A172,'Data Vlaue (Cr)'!$C:$FB,63)</f>
        <v>896</v>
      </c>
      <c r="N172" s="51">
        <f>VLOOKUP($A172,'Data Vlaue (Cr)'!$C:$FB,64)</f>
        <v>945</v>
      </c>
      <c r="O172" s="51">
        <f>VLOOKUP($A172,'Data Vlaue (Cr)'!$C:$FB,66)*100</f>
        <v>-5.1400000000000006</v>
      </c>
    </row>
    <row r="173" spans="1:15" x14ac:dyDescent="0.25">
      <c r="A173" s="101" t="str">
        <f>'Data Vlaue (Cr)'!C168</f>
        <v>POLICYBZR</v>
      </c>
      <c r="B173" s="50">
        <f>VLOOKUP($A173,'Data Vlaue (Cr)'!$C:$FB,8)</f>
        <v>1670.8</v>
      </c>
      <c r="C173" s="50">
        <f>VLOOKUP($A173,'Data Vlaue (Cr)'!$C:$FB,11)*100</f>
        <v>2.77</v>
      </c>
      <c r="D173" s="50">
        <f>VLOOKUP($A173,'Data Vlaue (Cr)'!$C:$FB,143)</f>
        <v>2923.81</v>
      </c>
      <c r="E173" s="50">
        <f>VLOOKUP($A173,'Data Vlaue (Cr)'!$C:$FB,144)</f>
        <v>1325.23</v>
      </c>
      <c r="F173" s="50">
        <f>VLOOKUP($A173,'Data Vlaue (Cr)'!$C:$FB,146)*100</f>
        <v>120.63</v>
      </c>
      <c r="G173" s="49">
        <f>VLOOKUP($A173,'Data Vlaue (Cr)'!$C:$FB,43)</f>
        <v>1041</v>
      </c>
      <c r="H173" s="49">
        <f>VLOOKUP($A173,'Data Vlaue (Cr)'!$C:$FB,44)</f>
        <v>459</v>
      </c>
      <c r="I173" s="49">
        <f>VLOOKUP($A173,'Data Vlaue (Cr)'!$C:$FB,46)*100</f>
        <v>126.69</v>
      </c>
      <c r="J173" s="51">
        <f>VLOOKUP($A173,'Data Vlaue (Cr)'!$C:$FB,59)</f>
        <v>1276</v>
      </c>
      <c r="K173" s="51">
        <f>VLOOKUP($A173,'Data Vlaue (Cr)'!$C:$FB,60)</f>
        <v>582</v>
      </c>
      <c r="L173" s="51">
        <f>VLOOKUP($A173,'Data Vlaue (Cr)'!$C:$FB,62)*100</f>
        <v>119.31</v>
      </c>
      <c r="M173" s="51">
        <f>VLOOKUP($A173,'Data Vlaue (Cr)'!$C:$FB,63)</f>
        <v>604</v>
      </c>
      <c r="N173" s="51">
        <f>VLOOKUP($A173,'Data Vlaue (Cr)'!$C:$FB,64)</f>
        <v>312</v>
      </c>
      <c r="O173" s="51">
        <f>VLOOKUP($A173,'Data Vlaue (Cr)'!$C:$FB,66)*100</f>
        <v>93.4</v>
      </c>
    </row>
    <row r="174" spans="1:15" x14ac:dyDescent="0.25">
      <c r="A174" s="101" t="str">
        <f>'Data Vlaue (Cr)'!C169</f>
        <v>POLYCAB</v>
      </c>
      <c r="B174" s="50">
        <f>VLOOKUP($A174,'Data Vlaue (Cr)'!$C:$FB,8)</f>
        <v>7963.5</v>
      </c>
      <c r="C174" s="50">
        <f>VLOOKUP($A174,'Data Vlaue (Cr)'!$C:$FB,11)*100</f>
        <v>-0.92999999999999994</v>
      </c>
      <c r="D174" s="50">
        <f>VLOOKUP($A174,'Data Vlaue (Cr)'!$C:$FB,143)</f>
        <v>4982.57</v>
      </c>
      <c r="E174" s="50">
        <f>VLOOKUP($A174,'Data Vlaue (Cr)'!$C:$FB,144)</f>
        <v>5691.52</v>
      </c>
      <c r="F174" s="50">
        <f>VLOOKUP($A174,'Data Vlaue (Cr)'!$C:$FB,146)*100</f>
        <v>-12.46</v>
      </c>
      <c r="G174" s="49">
        <f>VLOOKUP($A174,'Data Vlaue (Cr)'!$C:$FB,43)</f>
        <v>1102</v>
      </c>
      <c r="H174" s="49">
        <f>VLOOKUP($A174,'Data Vlaue (Cr)'!$C:$FB,44)</f>
        <v>699</v>
      </c>
      <c r="I174" s="49">
        <f>VLOOKUP($A174,'Data Vlaue (Cr)'!$C:$FB,46)*100</f>
        <v>57.63</v>
      </c>
      <c r="J174" s="51">
        <f>VLOOKUP($A174,'Data Vlaue (Cr)'!$C:$FB,59)</f>
        <v>2058</v>
      </c>
      <c r="K174" s="51">
        <f>VLOOKUP($A174,'Data Vlaue (Cr)'!$C:$FB,60)</f>
        <v>3162</v>
      </c>
      <c r="L174" s="51">
        <f>VLOOKUP($A174,'Data Vlaue (Cr)'!$C:$FB,62)*100</f>
        <v>-34.93</v>
      </c>
      <c r="M174" s="51">
        <f>VLOOKUP($A174,'Data Vlaue (Cr)'!$C:$FB,63)</f>
        <v>1752</v>
      </c>
      <c r="N174" s="51">
        <f>VLOOKUP($A174,'Data Vlaue (Cr)'!$C:$FB,64)</f>
        <v>1768</v>
      </c>
      <c r="O174" s="51">
        <f>VLOOKUP($A174,'Data Vlaue (Cr)'!$C:$FB,66)*100</f>
        <v>-0.89999999999999991</v>
      </c>
    </row>
    <row r="175" spans="1:15" x14ac:dyDescent="0.25">
      <c r="A175" s="101" t="str">
        <f>'Data Vlaue (Cr)'!C170</f>
        <v>POWERGRID</v>
      </c>
      <c r="B175" s="50">
        <f>VLOOKUP($A175,'Data Vlaue (Cr)'!$C:$FB,8)</f>
        <v>319.14999999999998</v>
      </c>
      <c r="C175" s="50">
        <f>VLOOKUP($A175,'Data Vlaue (Cr)'!$C:$FB,11)*100</f>
        <v>-0.19</v>
      </c>
      <c r="D175" s="50">
        <f>VLOOKUP($A175,'Data Vlaue (Cr)'!$C:$FB,143)</f>
        <v>3703.85</v>
      </c>
      <c r="E175" s="50">
        <f>VLOOKUP($A175,'Data Vlaue (Cr)'!$C:$FB,144)</f>
        <v>2679.24</v>
      </c>
      <c r="F175" s="50">
        <f>VLOOKUP($A175,'Data Vlaue (Cr)'!$C:$FB,146)*100</f>
        <v>38.24</v>
      </c>
      <c r="G175" s="49">
        <f>VLOOKUP($A175,'Data Vlaue (Cr)'!$C:$FB,43)</f>
        <v>1507</v>
      </c>
      <c r="H175" s="49">
        <f>VLOOKUP($A175,'Data Vlaue (Cr)'!$C:$FB,44)</f>
        <v>358</v>
      </c>
      <c r="I175" s="49">
        <f>VLOOKUP($A175,'Data Vlaue (Cr)'!$C:$FB,46)*100</f>
        <v>320.89</v>
      </c>
      <c r="J175" s="51">
        <f>VLOOKUP($A175,'Data Vlaue (Cr)'!$C:$FB,59)</f>
        <v>1527</v>
      </c>
      <c r="K175" s="51">
        <f>VLOOKUP($A175,'Data Vlaue (Cr)'!$C:$FB,60)</f>
        <v>1627</v>
      </c>
      <c r="L175" s="51">
        <f>VLOOKUP($A175,'Data Vlaue (Cr)'!$C:$FB,62)*100</f>
        <v>-6.18</v>
      </c>
      <c r="M175" s="51">
        <f>VLOOKUP($A175,'Data Vlaue (Cr)'!$C:$FB,63)</f>
        <v>633</v>
      </c>
      <c r="N175" s="51">
        <f>VLOOKUP($A175,'Data Vlaue (Cr)'!$C:$FB,64)</f>
        <v>656</v>
      </c>
      <c r="O175" s="51">
        <f>VLOOKUP($A175,'Data Vlaue (Cr)'!$C:$FB,66)*100</f>
        <v>-3.38</v>
      </c>
    </row>
    <row r="176" spans="1:15" x14ac:dyDescent="0.25">
      <c r="A176" s="101" t="str">
        <f>'Data Vlaue (Cr)'!C171</f>
        <v>POWERINDIA</v>
      </c>
      <c r="B176" s="50">
        <f>VLOOKUP($A176,'Data Vlaue (Cr)'!$C:$FB,8)</f>
        <v>31720</v>
      </c>
      <c r="C176" s="50">
        <f>VLOOKUP($A176,'Data Vlaue (Cr)'!$C:$FB,11)*100</f>
        <v>4.5699999999999994</v>
      </c>
      <c r="D176" s="50">
        <f>VLOOKUP($A176,'Data Vlaue (Cr)'!$C:$FB,143)</f>
        <v>12517.69</v>
      </c>
      <c r="E176" s="50">
        <f>VLOOKUP($A176,'Data Vlaue (Cr)'!$C:$FB,144)</f>
        <v>5479.21</v>
      </c>
      <c r="F176" s="50">
        <f>VLOOKUP($A176,'Data Vlaue (Cr)'!$C:$FB,146)*100</f>
        <v>128.46</v>
      </c>
      <c r="G176" s="49">
        <f>VLOOKUP($A176,'Data Vlaue (Cr)'!$C:$FB,43)</f>
        <v>1364</v>
      </c>
      <c r="H176" s="49">
        <f>VLOOKUP($A176,'Data Vlaue (Cr)'!$C:$FB,44)</f>
        <v>388</v>
      </c>
      <c r="I176" s="49">
        <f>VLOOKUP($A176,'Data Vlaue (Cr)'!$C:$FB,46)*100</f>
        <v>251.73999999999998</v>
      </c>
      <c r="J176" s="51">
        <f>VLOOKUP($A176,'Data Vlaue (Cr)'!$C:$FB,59)</f>
        <v>6449</v>
      </c>
      <c r="K176" s="51">
        <f>VLOOKUP($A176,'Data Vlaue (Cr)'!$C:$FB,60)</f>
        <v>2222</v>
      </c>
      <c r="L176" s="51">
        <f>VLOOKUP($A176,'Data Vlaue (Cr)'!$C:$FB,62)*100</f>
        <v>190.24</v>
      </c>
      <c r="M176" s="51">
        <f>VLOOKUP($A176,'Data Vlaue (Cr)'!$C:$FB,63)</f>
        <v>4901</v>
      </c>
      <c r="N176" s="51">
        <f>VLOOKUP($A176,'Data Vlaue (Cr)'!$C:$FB,64)</f>
        <v>3405</v>
      </c>
      <c r="O176" s="51">
        <f>VLOOKUP($A176,'Data Vlaue (Cr)'!$C:$FB,66)*100</f>
        <v>43.93</v>
      </c>
    </row>
    <row r="177" spans="1:15" x14ac:dyDescent="0.25">
      <c r="A177" s="101" t="str">
        <f>'Data Vlaue (Cr)'!C172</f>
        <v>PPLPHARMA</v>
      </c>
      <c r="B177" s="50">
        <f>VLOOKUP($A177,'Data Vlaue (Cr)'!$C:$FB,8)</f>
        <v>163.87</v>
      </c>
      <c r="C177" s="50">
        <f>VLOOKUP($A177,'Data Vlaue (Cr)'!$C:$FB,11)*100</f>
        <v>6.54</v>
      </c>
      <c r="D177" s="50">
        <f>VLOOKUP($A177,'Data Vlaue (Cr)'!$C:$FB,143)</f>
        <v>2894.3</v>
      </c>
      <c r="E177" s="50">
        <f>VLOOKUP($A177,'Data Vlaue (Cr)'!$C:$FB,144)</f>
        <v>218.18</v>
      </c>
      <c r="F177" s="50">
        <f>VLOOKUP($A177,'Data Vlaue (Cr)'!$C:$FB,146)*100</f>
        <v>1226.56</v>
      </c>
      <c r="G177" s="49">
        <f>VLOOKUP($A177,'Data Vlaue (Cr)'!$C:$FB,43)</f>
        <v>181</v>
      </c>
      <c r="H177" s="49">
        <f>VLOOKUP($A177,'Data Vlaue (Cr)'!$C:$FB,44)</f>
        <v>28</v>
      </c>
      <c r="I177" s="49">
        <f>VLOOKUP($A177,'Data Vlaue (Cr)'!$C:$FB,46)*100</f>
        <v>538.12</v>
      </c>
      <c r="J177" s="51">
        <f>VLOOKUP($A177,'Data Vlaue (Cr)'!$C:$FB,59)</f>
        <v>2113</v>
      </c>
      <c r="K177" s="51">
        <f>VLOOKUP($A177,'Data Vlaue (Cr)'!$C:$FB,60)</f>
        <v>173</v>
      </c>
      <c r="L177" s="51">
        <f>VLOOKUP($A177,'Data Vlaue (Cr)'!$C:$FB,62)*100</f>
        <v>1121.8600000000001</v>
      </c>
      <c r="M177" s="51">
        <f>VLOOKUP($A177,'Data Vlaue (Cr)'!$C:$FB,63)</f>
        <v>516</v>
      </c>
      <c r="N177" s="51">
        <f>VLOOKUP($A177,'Data Vlaue (Cr)'!$C:$FB,64)</f>
        <v>28</v>
      </c>
      <c r="O177" s="51">
        <f>VLOOKUP($A177,'Data Vlaue (Cr)'!$C:$FB,66)*100</f>
        <v>1757.72</v>
      </c>
    </row>
    <row r="178" spans="1:15" x14ac:dyDescent="0.25">
      <c r="A178" s="101" t="str">
        <f>'Data Vlaue (Cr)'!C173</f>
        <v>PREMIERENE</v>
      </c>
      <c r="B178" s="50">
        <f>VLOOKUP($A178,'Data Vlaue (Cr)'!$C:$FB,8)</f>
        <v>1000.7</v>
      </c>
      <c r="C178" s="50">
        <f>VLOOKUP($A178,'Data Vlaue (Cr)'!$C:$FB,11)*100</f>
        <v>1</v>
      </c>
      <c r="D178" s="50">
        <f>VLOOKUP($A178,'Data Vlaue (Cr)'!$C:$FB,143)</f>
        <v>1353.19</v>
      </c>
      <c r="E178" s="50">
        <f>VLOOKUP($A178,'Data Vlaue (Cr)'!$C:$FB,144)</f>
        <v>660.37</v>
      </c>
      <c r="F178" s="50">
        <f>VLOOKUP($A178,'Data Vlaue (Cr)'!$C:$FB,146)*100</f>
        <v>104.91</v>
      </c>
      <c r="G178" s="49">
        <f>VLOOKUP($A178,'Data Vlaue (Cr)'!$C:$FB,43)</f>
        <v>803</v>
      </c>
      <c r="H178" s="49">
        <f>VLOOKUP($A178,'Data Vlaue (Cr)'!$C:$FB,44)</f>
        <v>173</v>
      </c>
      <c r="I178" s="49">
        <f>VLOOKUP($A178,'Data Vlaue (Cr)'!$C:$FB,46)*100</f>
        <v>362.96</v>
      </c>
      <c r="J178" s="51">
        <f>VLOOKUP($A178,'Data Vlaue (Cr)'!$C:$FB,59)</f>
        <v>407</v>
      </c>
      <c r="K178" s="51">
        <f>VLOOKUP($A178,'Data Vlaue (Cr)'!$C:$FB,60)</f>
        <v>356</v>
      </c>
      <c r="L178" s="51">
        <f>VLOOKUP($A178,'Data Vlaue (Cr)'!$C:$FB,62)*100</f>
        <v>14.399999999999999</v>
      </c>
      <c r="M178" s="51">
        <f>VLOOKUP($A178,'Data Vlaue (Cr)'!$C:$FB,63)</f>
        <v>130</v>
      </c>
      <c r="N178" s="51">
        <f>VLOOKUP($A178,'Data Vlaue (Cr)'!$C:$FB,64)</f>
        <v>120</v>
      </c>
      <c r="O178" s="51">
        <f>VLOOKUP($A178,'Data Vlaue (Cr)'!$C:$FB,66)*100</f>
        <v>8.73</v>
      </c>
    </row>
    <row r="179" spans="1:15" x14ac:dyDescent="0.25">
      <c r="A179" s="101" t="str">
        <f>'Data Vlaue (Cr)'!C174</f>
        <v>PRESTIGE</v>
      </c>
      <c r="B179" s="50">
        <f>VLOOKUP($A179,'Data Vlaue (Cr)'!$C:$FB,8)</f>
        <v>1384.2</v>
      </c>
      <c r="C179" s="50">
        <f>VLOOKUP($A179,'Data Vlaue (Cr)'!$C:$FB,11)*100</f>
        <v>-1.52</v>
      </c>
      <c r="D179" s="50">
        <f>VLOOKUP($A179,'Data Vlaue (Cr)'!$C:$FB,143)</f>
        <v>1035.79</v>
      </c>
      <c r="E179" s="50">
        <f>VLOOKUP($A179,'Data Vlaue (Cr)'!$C:$FB,144)</f>
        <v>463.17</v>
      </c>
      <c r="F179" s="50">
        <f>VLOOKUP($A179,'Data Vlaue (Cr)'!$C:$FB,146)*100</f>
        <v>123.63</v>
      </c>
      <c r="G179" s="49">
        <f>VLOOKUP($A179,'Data Vlaue (Cr)'!$C:$FB,43)</f>
        <v>631</v>
      </c>
      <c r="H179" s="49">
        <f>VLOOKUP($A179,'Data Vlaue (Cr)'!$C:$FB,44)</f>
        <v>127</v>
      </c>
      <c r="I179" s="49">
        <f>VLOOKUP($A179,'Data Vlaue (Cr)'!$C:$FB,46)*100</f>
        <v>398.28000000000003</v>
      </c>
      <c r="J179" s="51">
        <f>VLOOKUP($A179,'Data Vlaue (Cr)'!$C:$FB,59)</f>
        <v>283</v>
      </c>
      <c r="K179" s="51">
        <f>VLOOKUP($A179,'Data Vlaue (Cr)'!$C:$FB,60)</f>
        <v>237</v>
      </c>
      <c r="L179" s="51">
        <f>VLOOKUP($A179,'Data Vlaue (Cr)'!$C:$FB,62)*100</f>
        <v>19.25</v>
      </c>
      <c r="M179" s="51">
        <f>VLOOKUP($A179,'Data Vlaue (Cr)'!$C:$FB,63)</f>
        <v>106</v>
      </c>
      <c r="N179" s="51">
        <f>VLOOKUP($A179,'Data Vlaue (Cr)'!$C:$FB,64)</f>
        <v>89</v>
      </c>
      <c r="O179" s="51">
        <f>VLOOKUP($A179,'Data Vlaue (Cr)'!$C:$FB,66)*100</f>
        <v>19.689999999999998</v>
      </c>
    </row>
    <row r="180" spans="1:15" x14ac:dyDescent="0.25">
      <c r="A180" s="101" t="str">
        <f>'Data Vlaue (Cr)'!C175</f>
        <v>RBLBANK</v>
      </c>
      <c r="B180" s="50">
        <f>VLOOKUP($A180,'Data Vlaue (Cr)'!$C:$FB,8)</f>
        <v>312.45</v>
      </c>
      <c r="C180" s="50">
        <f>VLOOKUP($A180,'Data Vlaue (Cr)'!$C:$FB,11)*100</f>
        <v>-1.6400000000000001</v>
      </c>
      <c r="D180" s="50">
        <f>VLOOKUP($A180,'Data Vlaue (Cr)'!$C:$FB,143)</f>
        <v>2018.7</v>
      </c>
      <c r="E180" s="50">
        <f>VLOOKUP($A180,'Data Vlaue (Cr)'!$C:$FB,144)</f>
        <v>2290.9899999999998</v>
      </c>
      <c r="F180" s="50">
        <f>VLOOKUP($A180,'Data Vlaue (Cr)'!$C:$FB,146)*100</f>
        <v>-11.89</v>
      </c>
      <c r="G180" s="49">
        <f>VLOOKUP($A180,'Data Vlaue (Cr)'!$C:$FB,43)</f>
        <v>990</v>
      </c>
      <c r="H180" s="49">
        <f>VLOOKUP($A180,'Data Vlaue (Cr)'!$C:$FB,44)</f>
        <v>442</v>
      </c>
      <c r="I180" s="49">
        <f>VLOOKUP($A180,'Data Vlaue (Cr)'!$C:$FB,46)*100</f>
        <v>123.79</v>
      </c>
      <c r="J180" s="51">
        <f>VLOOKUP($A180,'Data Vlaue (Cr)'!$C:$FB,59)</f>
        <v>591</v>
      </c>
      <c r="K180" s="51">
        <f>VLOOKUP($A180,'Data Vlaue (Cr)'!$C:$FB,60)</f>
        <v>1102</v>
      </c>
      <c r="L180" s="51">
        <f>VLOOKUP($A180,'Data Vlaue (Cr)'!$C:$FB,62)*100</f>
        <v>-46.37</v>
      </c>
      <c r="M180" s="51">
        <f>VLOOKUP($A180,'Data Vlaue (Cr)'!$C:$FB,63)</f>
        <v>405</v>
      </c>
      <c r="N180" s="51">
        <f>VLOOKUP($A180,'Data Vlaue (Cr)'!$C:$FB,64)</f>
        <v>681</v>
      </c>
      <c r="O180" s="51">
        <f>VLOOKUP($A180,'Data Vlaue (Cr)'!$C:$FB,66)*100</f>
        <v>-40.57</v>
      </c>
    </row>
    <row r="181" spans="1:15" x14ac:dyDescent="0.25">
      <c r="A181" s="101" t="str">
        <f>'Data Vlaue (Cr)'!C176</f>
        <v>RECLTD</v>
      </c>
      <c r="B181" s="50">
        <f>VLOOKUP($A181,'Data Vlaue (Cr)'!$C:$FB,8)</f>
        <v>376.45</v>
      </c>
      <c r="C181" s="50">
        <f>VLOOKUP($A181,'Data Vlaue (Cr)'!$C:$FB,11)*100</f>
        <v>-1.7999999999999998</v>
      </c>
      <c r="D181" s="50">
        <f>VLOOKUP($A181,'Data Vlaue (Cr)'!$C:$FB,143)</f>
        <v>2309.35</v>
      </c>
      <c r="E181" s="50">
        <f>VLOOKUP($A181,'Data Vlaue (Cr)'!$C:$FB,144)</f>
        <v>1854.04</v>
      </c>
      <c r="F181" s="50">
        <f>VLOOKUP($A181,'Data Vlaue (Cr)'!$C:$FB,146)*100</f>
        <v>24.560000000000002</v>
      </c>
      <c r="G181" s="49">
        <f>VLOOKUP($A181,'Data Vlaue (Cr)'!$C:$FB,43)</f>
        <v>976</v>
      </c>
      <c r="H181" s="49">
        <f>VLOOKUP($A181,'Data Vlaue (Cr)'!$C:$FB,44)</f>
        <v>281</v>
      </c>
      <c r="I181" s="49">
        <f>VLOOKUP($A181,'Data Vlaue (Cr)'!$C:$FB,46)*100</f>
        <v>247.06</v>
      </c>
      <c r="J181" s="51">
        <f>VLOOKUP($A181,'Data Vlaue (Cr)'!$C:$FB,59)</f>
        <v>826</v>
      </c>
      <c r="K181" s="51">
        <f>VLOOKUP($A181,'Data Vlaue (Cr)'!$C:$FB,60)</f>
        <v>892</v>
      </c>
      <c r="L181" s="51">
        <f>VLOOKUP($A181,'Data Vlaue (Cr)'!$C:$FB,62)*100</f>
        <v>-7.4300000000000006</v>
      </c>
      <c r="M181" s="51">
        <f>VLOOKUP($A181,'Data Vlaue (Cr)'!$C:$FB,63)</f>
        <v>472</v>
      </c>
      <c r="N181" s="51">
        <f>VLOOKUP($A181,'Data Vlaue (Cr)'!$C:$FB,64)</f>
        <v>647</v>
      </c>
      <c r="O181" s="51">
        <f>VLOOKUP($A181,'Data Vlaue (Cr)'!$C:$FB,66)*100</f>
        <v>-26.99</v>
      </c>
    </row>
    <row r="182" spans="1:15" x14ac:dyDescent="0.25">
      <c r="A182" s="101" t="str">
        <f>'Data Vlaue (Cr)'!C177</f>
        <v>RELIANCE</v>
      </c>
      <c r="B182" s="50">
        <f>VLOOKUP($A182,'Data Vlaue (Cr)'!$C:$FB,8)</f>
        <v>1343.4</v>
      </c>
      <c r="C182" s="50">
        <f>VLOOKUP($A182,'Data Vlaue (Cr)'!$C:$FB,11)*100</f>
        <v>-1.37</v>
      </c>
      <c r="D182" s="50">
        <f>VLOOKUP($A182,'Data Vlaue (Cr)'!$C:$FB,143)</f>
        <v>22848.05</v>
      </c>
      <c r="E182" s="50">
        <f>VLOOKUP($A182,'Data Vlaue (Cr)'!$C:$FB,144)</f>
        <v>17646.169999999998</v>
      </c>
      <c r="F182" s="50">
        <f>VLOOKUP($A182,'Data Vlaue (Cr)'!$C:$FB,146)*100</f>
        <v>29.48</v>
      </c>
      <c r="G182" s="49">
        <f>VLOOKUP($A182,'Data Vlaue (Cr)'!$C:$FB,43)</f>
        <v>5385</v>
      </c>
      <c r="H182" s="49">
        <f>VLOOKUP($A182,'Data Vlaue (Cr)'!$C:$FB,44)</f>
        <v>2298</v>
      </c>
      <c r="I182" s="49">
        <f>VLOOKUP($A182,'Data Vlaue (Cr)'!$C:$FB,46)*100</f>
        <v>134.29</v>
      </c>
      <c r="J182" s="51">
        <f>VLOOKUP($A182,'Data Vlaue (Cr)'!$C:$FB,59)</f>
        <v>10018</v>
      </c>
      <c r="K182" s="51">
        <f>VLOOKUP($A182,'Data Vlaue (Cr)'!$C:$FB,60)</f>
        <v>9411</v>
      </c>
      <c r="L182" s="51">
        <f>VLOOKUP($A182,'Data Vlaue (Cr)'!$C:$FB,62)*100</f>
        <v>6.45</v>
      </c>
      <c r="M182" s="51">
        <f>VLOOKUP($A182,'Data Vlaue (Cr)'!$C:$FB,63)</f>
        <v>6920</v>
      </c>
      <c r="N182" s="51">
        <f>VLOOKUP($A182,'Data Vlaue (Cr)'!$C:$FB,64)</f>
        <v>5439</v>
      </c>
      <c r="O182" s="51">
        <f>VLOOKUP($A182,'Data Vlaue (Cr)'!$C:$FB,66)*100</f>
        <v>27.24</v>
      </c>
    </row>
    <row r="183" spans="1:15" x14ac:dyDescent="0.25">
      <c r="A183" s="101" t="str">
        <f>'Data Vlaue (Cr)'!C178</f>
        <v>RVNL</v>
      </c>
      <c r="B183" s="50">
        <f>VLOOKUP($A183,'Data Vlaue (Cr)'!$C:$FB,8)</f>
        <v>307.20999999999998</v>
      </c>
      <c r="C183" s="50">
        <f>VLOOKUP($A183,'Data Vlaue (Cr)'!$C:$FB,11)*100</f>
        <v>-6.9999999999999993E-2</v>
      </c>
      <c r="D183" s="50">
        <f>VLOOKUP($A183,'Data Vlaue (Cr)'!$C:$FB,143)</f>
        <v>3270.86</v>
      </c>
      <c r="E183" s="50">
        <f>VLOOKUP($A183,'Data Vlaue (Cr)'!$C:$FB,144)</f>
        <v>2410.98</v>
      </c>
      <c r="F183" s="50">
        <f>VLOOKUP($A183,'Data Vlaue (Cr)'!$C:$FB,146)*100</f>
        <v>35.67</v>
      </c>
      <c r="G183" s="49">
        <f>VLOOKUP($A183,'Data Vlaue (Cr)'!$C:$FB,43)</f>
        <v>1756</v>
      </c>
      <c r="H183" s="49">
        <f>VLOOKUP($A183,'Data Vlaue (Cr)'!$C:$FB,44)</f>
        <v>487</v>
      </c>
      <c r="I183" s="49">
        <f>VLOOKUP($A183,'Data Vlaue (Cr)'!$C:$FB,46)*100</f>
        <v>260.78999999999996</v>
      </c>
      <c r="J183" s="51">
        <f>VLOOKUP($A183,'Data Vlaue (Cr)'!$C:$FB,59)</f>
        <v>1085</v>
      </c>
      <c r="K183" s="51">
        <f>VLOOKUP($A183,'Data Vlaue (Cr)'!$C:$FB,60)</f>
        <v>1490</v>
      </c>
      <c r="L183" s="51">
        <f>VLOOKUP($A183,'Data Vlaue (Cr)'!$C:$FB,62)*100</f>
        <v>-27.200000000000003</v>
      </c>
      <c r="M183" s="51">
        <f>VLOOKUP($A183,'Data Vlaue (Cr)'!$C:$FB,63)</f>
        <v>446</v>
      </c>
      <c r="N183" s="51">
        <f>VLOOKUP($A183,'Data Vlaue (Cr)'!$C:$FB,64)</f>
        <v>418</v>
      </c>
      <c r="O183" s="51">
        <f>VLOOKUP($A183,'Data Vlaue (Cr)'!$C:$FB,66)*100</f>
        <v>6.9</v>
      </c>
    </row>
    <row r="184" spans="1:15" x14ac:dyDescent="0.25">
      <c r="A184" s="101" t="str">
        <f>'Data Vlaue (Cr)'!C179</f>
        <v>SAIL</v>
      </c>
      <c r="B184" s="50">
        <f>VLOOKUP($A184,'Data Vlaue (Cr)'!$C:$FB,8)</f>
        <v>176.45</v>
      </c>
      <c r="C184" s="50">
        <f>VLOOKUP($A184,'Data Vlaue (Cr)'!$C:$FB,11)*100</f>
        <v>0.12</v>
      </c>
      <c r="D184" s="50">
        <f>VLOOKUP($A184,'Data Vlaue (Cr)'!$C:$FB,143)</f>
        <v>196.6</v>
      </c>
      <c r="E184" s="50">
        <f>VLOOKUP($A184,'Data Vlaue (Cr)'!$C:$FB,144)</f>
        <v>81.63</v>
      </c>
      <c r="F184" s="50">
        <f>VLOOKUP($A184,'Data Vlaue (Cr)'!$C:$FB,146)*100</f>
        <v>140.84</v>
      </c>
      <c r="G184" s="49">
        <f>VLOOKUP($A184,'Data Vlaue (Cr)'!$C:$FB,43)</f>
        <v>170</v>
      </c>
      <c r="H184" s="49">
        <f>VLOOKUP($A184,'Data Vlaue (Cr)'!$C:$FB,44)</f>
        <v>59</v>
      </c>
      <c r="I184" s="49">
        <f>VLOOKUP($A184,'Data Vlaue (Cr)'!$C:$FB,46)*100</f>
        <v>190.35</v>
      </c>
      <c r="J184" s="51">
        <f>VLOOKUP($A184,'Data Vlaue (Cr)'!$C:$FB,59)</f>
        <v>17</v>
      </c>
      <c r="K184" s="51">
        <f>VLOOKUP($A184,'Data Vlaue (Cr)'!$C:$FB,60)</f>
        <v>14</v>
      </c>
      <c r="L184" s="51">
        <f>VLOOKUP($A184,'Data Vlaue (Cr)'!$C:$FB,62)*100</f>
        <v>23.64</v>
      </c>
      <c r="M184" s="51">
        <f>VLOOKUP($A184,'Data Vlaue (Cr)'!$C:$FB,63)</f>
        <v>12</v>
      </c>
      <c r="N184" s="51">
        <f>VLOOKUP($A184,'Data Vlaue (Cr)'!$C:$FB,64)</f>
        <v>10</v>
      </c>
      <c r="O184" s="51">
        <f>VLOOKUP($A184,'Data Vlaue (Cr)'!$C:$FB,66)*100</f>
        <v>11.200000000000001</v>
      </c>
    </row>
    <row r="185" spans="1:15" x14ac:dyDescent="0.25">
      <c r="A185" s="101" t="str">
        <f>'Data Vlaue (Cr)'!C180</f>
        <v>SAMMAANCAP</v>
      </c>
      <c r="B185" s="50">
        <f>VLOOKUP($A185,'Data Vlaue (Cr)'!$C:$FB,8)</f>
        <v>144.25</v>
      </c>
      <c r="C185" s="50">
        <f>VLOOKUP($A185,'Data Vlaue (Cr)'!$C:$FB,11)*100</f>
        <v>-1.7000000000000002</v>
      </c>
      <c r="D185" s="50">
        <f>VLOOKUP($A185,'Data Vlaue (Cr)'!$C:$FB,143)</f>
        <v>760.28</v>
      </c>
      <c r="E185" s="50">
        <f>VLOOKUP($A185,'Data Vlaue (Cr)'!$C:$FB,144)</f>
        <v>605.38</v>
      </c>
      <c r="F185" s="50">
        <f>VLOOKUP($A185,'Data Vlaue (Cr)'!$C:$FB,146)*100</f>
        <v>25.590000000000003</v>
      </c>
      <c r="G185" s="49">
        <f>VLOOKUP($A185,'Data Vlaue (Cr)'!$C:$FB,43)</f>
        <v>543</v>
      </c>
      <c r="H185" s="49">
        <f>VLOOKUP($A185,'Data Vlaue (Cr)'!$C:$FB,44)</f>
        <v>336</v>
      </c>
      <c r="I185" s="49">
        <f>VLOOKUP($A185,'Data Vlaue (Cr)'!$C:$FB,46)*100</f>
        <v>61.61</v>
      </c>
      <c r="J185" s="51">
        <f>VLOOKUP($A185,'Data Vlaue (Cr)'!$C:$FB,59)</f>
        <v>130</v>
      </c>
      <c r="K185" s="51">
        <f>VLOOKUP($A185,'Data Vlaue (Cr)'!$C:$FB,60)</f>
        <v>138</v>
      </c>
      <c r="L185" s="51">
        <f>VLOOKUP($A185,'Data Vlaue (Cr)'!$C:$FB,62)*100</f>
        <v>-5.4899999999999993</v>
      </c>
      <c r="M185" s="51">
        <f>VLOOKUP($A185,'Data Vlaue (Cr)'!$C:$FB,63)</f>
        <v>70</v>
      </c>
      <c r="N185" s="51">
        <f>VLOOKUP($A185,'Data Vlaue (Cr)'!$C:$FB,64)</f>
        <v>112</v>
      </c>
      <c r="O185" s="51">
        <f>VLOOKUP($A185,'Data Vlaue (Cr)'!$C:$FB,66)*100</f>
        <v>-37.659999999999997</v>
      </c>
    </row>
    <row r="186" spans="1:15" x14ac:dyDescent="0.25">
      <c r="A186" s="101" t="str">
        <f>'Data Vlaue (Cr)'!C181</f>
        <v>SBICARD</v>
      </c>
      <c r="B186" s="50">
        <f>VLOOKUP($A186,'Data Vlaue (Cr)'!$C:$FB,8)</f>
        <v>680.55</v>
      </c>
      <c r="C186" s="50">
        <f>VLOOKUP($A186,'Data Vlaue (Cr)'!$C:$FB,11)*100</f>
        <v>-0.82000000000000006</v>
      </c>
      <c r="D186" s="50">
        <f>VLOOKUP($A186,'Data Vlaue (Cr)'!$C:$FB,143)</f>
        <v>1952.8</v>
      </c>
      <c r="E186" s="50">
        <f>VLOOKUP($A186,'Data Vlaue (Cr)'!$C:$FB,144)</f>
        <v>1513.64</v>
      </c>
      <c r="F186" s="50">
        <f>VLOOKUP($A186,'Data Vlaue (Cr)'!$C:$FB,146)*100</f>
        <v>29.01</v>
      </c>
      <c r="G186" s="49">
        <f>VLOOKUP($A186,'Data Vlaue (Cr)'!$C:$FB,43)</f>
        <v>1215</v>
      </c>
      <c r="H186" s="49">
        <f>VLOOKUP($A186,'Data Vlaue (Cr)'!$C:$FB,44)</f>
        <v>425</v>
      </c>
      <c r="I186" s="49">
        <f>VLOOKUP($A186,'Data Vlaue (Cr)'!$C:$FB,46)*100</f>
        <v>186</v>
      </c>
      <c r="J186" s="51">
        <f>VLOOKUP($A186,'Data Vlaue (Cr)'!$C:$FB,59)</f>
        <v>445</v>
      </c>
      <c r="K186" s="51">
        <f>VLOOKUP($A186,'Data Vlaue (Cr)'!$C:$FB,60)</f>
        <v>694</v>
      </c>
      <c r="L186" s="51">
        <f>VLOOKUP($A186,'Data Vlaue (Cr)'!$C:$FB,62)*100</f>
        <v>-35.85</v>
      </c>
      <c r="M186" s="51">
        <f>VLOOKUP($A186,'Data Vlaue (Cr)'!$C:$FB,63)</f>
        <v>271</v>
      </c>
      <c r="N186" s="51">
        <f>VLOOKUP($A186,'Data Vlaue (Cr)'!$C:$FB,64)</f>
        <v>368</v>
      </c>
      <c r="O186" s="51">
        <f>VLOOKUP($A186,'Data Vlaue (Cr)'!$C:$FB,66)*100</f>
        <v>-26.369999999999997</v>
      </c>
    </row>
    <row r="187" spans="1:15" x14ac:dyDescent="0.25">
      <c r="A187" s="101" t="str">
        <f>'Data Vlaue (Cr)'!C182</f>
        <v>SBILIFE</v>
      </c>
      <c r="B187" s="50">
        <f>VLOOKUP($A187,'Data Vlaue (Cr)'!$C:$FB,8)</f>
        <v>1828.1</v>
      </c>
      <c r="C187" s="50">
        <f>VLOOKUP($A187,'Data Vlaue (Cr)'!$C:$FB,11)*100</f>
        <v>-3.01</v>
      </c>
      <c r="D187" s="50">
        <f>VLOOKUP($A187,'Data Vlaue (Cr)'!$C:$FB,143)</f>
        <v>9659.67</v>
      </c>
      <c r="E187" s="50">
        <f>VLOOKUP($A187,'Data Vlaue (Cr)'!$C:$FB,144)</f>
        <v>6892.96</v>
      </c>
      <c r="F187" s="50">
        <f>VLOOKUP($A187,'Data Vlaue (Cr)'!$C:$FB,146)*100</f>
        <v>40.14</v>
      </c>
      <c r="G187" s="49">
        <f>VLOOKUP($A187,'Data Vlaue (Cr)'!$C:$FB,43)</f>
        <v>1576</v>
      </c>
      <c r="H187" s="49">
        <f>VLOOKUP($A187,'Data Vlaue (Cr)'!$C:$FB,44)</f>
        <v>975</v>
      </c>
      <c r="I187" s="49">
        <f>VLOOKUP($A187,'Data Vlaue (Cr)'!$C:$FB,46)*100</f>
        <v>61.660000000000004</v>
      </c>
      <c r="J187" s="51">
        <f>VLOOKUP($A187,'Data Vlaue (Cr)'!$C:$FB,59)</f>
        <v>4697</v>
      </c>
      <c r="K187" s="51">
        <f>VLOOKUP($A187,'Data Vlaue (Cr)'!$C:$FB,60)</f>
        <v>3727</v>
      </c>
      <c r="L187" s="51">
        <f>VLOOKUP($A187,'Data Vlaue (Cr)'!$C:$FB,62)*100</f>
        <v>26.040000000000003</v>
      </c>
      <c r="M187" s="51">
        <f>VLOOKUP($A187,'Data Vlaue (Cr)'!$C:$FB,63)</f>
        <v>3081</v>
      </c>
      <c r="N187" s="51">
        <f>VLOOKUP($A187,'Data Vlaue (Cr)'!$C:$FB,64)</f>
        <v>1793</v>
      </c>
      <c r="O187" s="51">
        <f>VLOOKUP($A187,'Data Vlaue (Cr)'!$C:$FB,66)*100</f>
        <v>71.81</v>
      </c>
    </row>
    <row r="188" spans="1:15" x14ac:dyDescent="0.25">
      <c r="A188" s="101" t="str">
        <f>'Data Vlaue (Cr)'!C183</f>
        <v>SBIN</v>
      </c>
      <c r="B188" s="50">
        <f>VLOOKUP($A188,'Data Vlaue (Cr)'!$C:$FB,8)</f>
        <v>1094.25</v>
      </c>
      <c r="C188" s="50">
        <f>VLOOKUP($A188,'Data Vlaue (Cr)'!$C:$FB,11)*100</f>
        <v>-0.82000000000000006</v>
      </c>
      <c r="D188" s="50">
        <f>VLOOKUP($A188,'Data Vlaue (Cr)'!$C:$FB,143)</f>
        <v>22004.560000000001</v>
      </c>
      <c r="E188" s="50">
        <f>VLOOKUP($A188,'Data Vlaue (Cr)'!$C:$FB,144)</f>
        <v>14777.44</v>
      </c>
      <c r="F188" s="50">
        <f>VLOOKUP($A188,'Data Vlaue (Cr)'!$C:$FB,146)*100</f>
        <v>48.91</v>
      </c>
      <c r="G188" s="49">
        <f>VLOOKUP($A188,'Data Vlaue (Cr)'!$C:$FB,43)</f>
        <v>4249</v>
      </c>
      <c r="H188" s="49">
        <f>VLOOKUP($A188,'Data Vlaue (Cr)'!$C:$FB,44)</f>
        <v>1910</v>
      </c>
      <c r="I188" s="49">
        <f>VLOOKUP($A188,'Data Vlaue (Cr)'!$C:$FB,46)*100</f>
        <v>122.39</v>
      </c>
      <c r="J188" s="51">
        <f>VLOOKUP($A188,'Data Vlaue (Cr)'!$C:$FB,59)</f>
        <v>9713</v>
      </c>
      <c r="K188" s="51">
        <f>VLOOKUP($A188,'Data Vlaue (Cr)'!$C:$FB,60)</f>
        <v>7622</v>
      </c>
      <c r="L188" s="51">
        <f>VLOOKUP($A188,'Data Vlaue (Cr)'!$C:$FB,62)*100</f>
        <v>27.43</v>
      </c>
      <c r="M188" s="51">
        <f>VLOOKUP($A188,'Data Vlaue (Cr)'!$C:$FB,63)</f>
        <v>7840</v>
      </c>
      <c r="N188" s="51">
        <f>VLOOKUP($A188,'Data Vlaue (Cr)'!$C:$FB,64)</f>
        <v>4923</v>
      </c>
      <c r="O188" s="51">
        <f>VLOOKUP($A188,'Data Vlaue (Cr)'!$C:$FB,66)*100</f>
        <v>59.24</v>
      </c>
    </row>
    <row r="189" spans="1:15" x14ac:dyDescent="0.25">
      <c r="A189" s="101" t="str">
        <f>'Data Vlaue (Cr)'!C184</f>
        <v>SHREECEM</v>
      </c>
      <c r="B189" s="50">
        <f>VLOOKUP($A189,'Data Vlaue (Cr)'!$C:$FB,8)</f>
        <v>25470</v>
      </c>
      <c r="C189" s="50">
        <f>VLOOKUP($A189,'Data Vlaue (Cr)'!$C:$FB,11)*100</f>
        <v>-1.03</v>
      </c>
      <c r="D189" s="50">
        <f>VLOOKUP($A189,'Data Vlaue (Cr)'!$C:$FB,143)</f>
        <v>1125.1400000000001</v>
      </c>
      <c r="E189" s="50">
        <f>VLOOKUP($A189,'Data Vlaue (Cr)'!$C:$FB,144)</f>
        <v>885.63</v>
      </c>
      <c r="F189" s="50">
        <f>VLOOKUP($A189,'Data Vlaue (Cr)'!$C:$FB,146)*100</f>
        <v>27.04</v>
      </c>
      <c r="G189" s="49">
        <f>VLOOKUP($A189,'Data Vlaue (Cr)'!$C:$FB,43)</f>
        <v>779</v>
      </c>
      <c r="H189" s="49">
        <f>VLOOKUP($A189,'Data Vlaue (Cr)'!$C:$FB,44)</f>
        <v>127</v>
      </c>
      <c r="I189" s="49">
        <f>VLOOKUP($A189,'Data Vlaue (Cr)'!$C:$FB,46)*100</f>
        <v>510.77000000000004</v>
      </c>
      <c r="J189" s="51">
        <f>VLOOKUP($A189,'Data Vlaue (Cr)'!$C:$FB,59)</f>
        <v>157</v>
      </c>
      <c r="K189" s="51">
        <f>VLOOKUP($A189,'Data Vlaue (Cr)'!$C:$FB,60)</f>
        <v>150</v>
      </c>
      <c r="L189" s="51">
        <f>VLOOKUP($A189,'Data Vlaue (Cr)'!$C:$FB,62)*100</f>
        <v>4.58</v>
      </c>
      <c r="M189" s="51">
        <f>VLOOKUP($A189,'Data Vlaue (Cr)'!$C:$FB,63)</f>
        <v>210</v>
      </c>
      <c r="N189" s="51">
        <f>VLOOKUP($A189,'Data Vlaue (Cr)'!$C:$FB,64)</f>
        <v>686</v>
      </c>
      <c r="O189" s="51">
        <f>VLOOKUP($A189,'Data Vlaue (Cr)'!$C:$FB,66)*100</f>
        <v>-69.34</v>
      </c>
    </row>
    <row r="190" spans="1:15" x14ac:dyDescent="0.25">
      <c r="A190" s="101" t="str">
        <f>'Data Vlaue (Cr)'!C185</f>
        <v>SHRIRAMFIN</v>
      </c>
      <c r="B190" s="50">
        <f>VLOOKUP($A190,'Data Vlaue (Cr)'!$C:$FB,8)</f>
        <v>1009.3</v>
      </c>
      <c r="C190" s="50">
        <f>VLOOKUP($A190,'Data Vlaue (Cr)'!$C:$FB,11)*100</f>
        <v>-3.37</v>
      </c>
      <c r="D190" s="50">
        <f>VLOOKUP($A190,'Data Vlaue (Cr)'!$C:$FB,143)</f>
        <v>5547.2</v>
      </c>
      <c r="E190" s="50">
        <f>VLOOKUP($A190,'Data Vlaue (Cr)'!$C:$FB,144)</f>
        <v>3315.88</v>
      </c>
      <c r="F190" s="50">
        <f>VLOOKUP($A190,'Data Vlaue (Cr)'!$C:$FB,146)*100</f>
        <v>67.290000000000006</v>
      </c>
      <c r="G190" s="49">
        <f>VLOOKUP($A190,'Data Vlaue (Cr)'!$C:$FB,43)</f>
        <v>2228</v>
      </c>
      <c r="H190" s="49">
        <f>VLOOKUP($A190,'Data Vlaue (Cr)'!$C:$FB,44)</f>
        <v>1042</v>
      </c>
      <c r="I190" s="49">
        <f>VLOOKUP($A190,'Data Vlaue (Cr)'!$C:$FB,46)*100</f>
        <v>113.7</v>
      </c>
      <c r="J190" s="51">
        <f>VLOOKUP($A190,'Data Vlaue (Cr)'!$C:$FB,59)</f>
        <v>1950</v>
      </c>
      <c r="K190" s="51">
        <f>VLOOKUP($A190,'Data Vlaue (Cr)'!$C:$FB,60)</f>
        <v>1453</v>
      </c>
      <c r="L190" s="51">
        <f>VLOOKUP($A190,'Data Vlaue (Cr)'!$C:$FB,62)*100</f>
        <v>34.17</v>
      </c>
      <c r="M190" s="51">
        <f>VLOOKUP($A190,'Data Vlaue (Cr)'!$C:$FB,63)</f>
        <v>1212</v>
      </c>
      <c r="N190" s="51">
        <f>VLOOKUP($A190,'Data Vlaue (Cr)'!$C:$FB,64)</f>
        <v>662</v>
      </c>
      <c r="O190" s="51">
        <f>VLOOKUP($A190,'Data Vlaue (Cr)'!$C:$FB,66)*100</f>
        <v>83.009999999999991</v>
      </c>
    </row>
    <row r="191" spans="1:15" x14ac:dyDescent="0.25">
      <c r="A191" s="101" t="str">
        <f>'Data Vlaue (Cr)'!C186</f>
        <v>SIEMENS</v>
      </c>
      <c r="B191" s="50">
        <f>VLOOKUP($A191,'Data Vlaue (Cr)'!$C:$FB,8)</f>
        <v>3864.4</v>
      </c>
      <c r="C191" s="50">
        <f>VLOOKUP($A191,'Data Vlaue (Cr)'!$C:$FB,11)*100</f>
        <v>0.52</v>
      </c>
      <c r="D191" s="50">
        <f>VLOOKUP($A191,'Data Vlaue (Cr)'!$C:$FB,143)</f>
        <v>3935.34</v>
      </c>
      <c r="E191" s="50">
        <f>VLOOKUP($A191,'Data Vlaue (Cr)'!$C:$FB,144)</f>
        <v>8483.9699999999993</v>
      </c>
      <c r="F191" s="50">
        <f>VLOOKUP($A191,'Data Vlaue (Cr)'!$C:$FB,146)*100</f>
        <v>-53.61</v>
      </c>
      <c r="G191" s="49">
        <f>VLOOKUP($A191,'Data Vlaue (Cr)'!$C:$FB,43)</f>
        <v>1165</v>
      </c>
      <c r="H191" s="49">
        <f>VLOOKUP($A191,'Data Vlaue (Cr)'!$C:$FB,44)</f>
        <v>675</v>
      </c>
      <c r="I191" s="49">
        <f>VLOOKUP($A191,'Data Vlaue (Cr)'!$C:$FB,46)*100</f>
        <v>72.509999999999991</v>
      </c>
      <c r="J191" s="51">
        <f>VLOOKUP($A191,'Data Vlaue (Cr)'!$C:$FB,59)</f>
        <v>1752</v>
      </c>
      <c r="K191" s="51">
        <f>VLOOKUP($A191,'Data Vlaue (Cr)'!$C:$FB,60)</f>
        <v>5607</v>
      </c>
      <c r="L191" s="51">
        <f>VLOOKUP($A191,'Data Vlaue (Cr)'!$C:$FB,62)*100</f>
        <v>-68.75</v>
      </c>
      <c r="M191" s="51">
        <f>VLOOKUP($A191,'Data Vlaue (Cr)'!$C:$FB,63)</f>
        <v>1003</v>
      </c>
      <c r="N191" s="51">
        <f>VLOOKUP($A191,'Data Vlaue (Cr)'!$C:$FB,64)</f>
        <v>2169</v>
      </c>
      <c r="O191" s="51">
        <f>VLOOKUP($A191,'Data Vlaue (Cr)'!$C:$FB,66)*100</f>
        <v>-53.73</v>
      </c>
    </row>
    <row r="192" spans="1:15" x14ac:dyDescent="0.25">
      <c r="A192" s="101" t="str">
        <f>'Data Vlaue (Cr)'!C187</f>
        <v>SOLARINDS</v>
      </c>
      <c r="B192" s="50">
        <f>VLOOKUP($A192,'Data Vlaue (Cr)'!$C:$FB,8)</f>
        <v>15747</v>
      </c>
      <c r="C192" s="50">
        <f>VLOOKUP($A192,'Data Vlaue (Cr)'!$C:$FB,11)*100</f>
        <v>3.11</v>
      </c>
      <c r="D192" s="50">
        <f>VLOOKUP($A192,'Data Vlaue (Cr)'!$C:$FB,143)</f>
        <v>6194.21</v>
      </c>
      <c r="E192" s="50">
        <f>VLOOKUP($A192,'Data Vlaue (Cr)'!$C:$FB,144)</f>
        <v>2843.29</v>
      </c>
      <c r="F192" s="50">
        <f>VLOOKUP($A192,'Data Vlaue (Cr)'!$C:$FB,146)*100</f>
        <v>117.85000000000001</v>
      </c>
      <c r="G192" s="49">
        <f>VLOOKUP($A192,'Data Vlaue (Cr)'!$C:$FB,43)</f>
        <v>1166</v>
      </c>
      <c r="H192" s="49">
        <f>VLOOKUP($A192,'Data Vlaue (Cr)'!$C:$FB,44)</f>
        <v>217</v>
      </c>
      <c r="I192" s="49">
        <f>VLOOKUP($A192,'Data Vlaue (Cr)'!$C:$FB,46)*100</f>
        <v>437.1</v>
      </c>
      <c r="J192" s="51">
        <f>VLOOKUP($A192,'Data Vlaue (Cr)'!$C:$FB,59)</f>
        <v>3091</v>
      </c>
      <c r="K192" s="51">
        <f>VLOOKUP($A192,'Data Vlaue (Cr)'!$C:$FB,60)</f>
        <v>1304</v>
      </c>
      <c r="L192" s="51">
        <f>VLOOKUP($A192,'Data Vlaue (Cr)'!$C:$FB,62)*100</f>
        <v>137.03</v>
      </c>
      <c r="M192" s="51">
        <f>VLOOKUP($A192,'Data Vlaue (Cr)'!$C:$FB,63)</f>
        <v>2150</v>
      </c>
      <c r="N192" s="51">
        <f>VLOOKUP($A192,'Data Vlaue (Cr)'!$C:$FB,64)</f>
        <v>1619</v>
      </c>
      <c r="O192" s="51">
        <f>VLOOKUP($A192,'Data Vlaue (Cr)'!$C:$FB,66)*100</f>
        <v>32.81</v>
      </c>
    </row>
    <row r="193" spans="1:15" x14ac:dyDescent="0.25">
      <c r="A193" s="101" t="str">
        <f>'Data Vlaue (Cr)'!C188</f>
        <v>SONACOMS</v>
      </c>
      <c r="B193" s="50">
        <f>VLOOKUP($A193,'Data Vlaue (Cr)'!$C:$FB,8)</f>
        <v>574.54999999999995</v>
      </c>
      <c r="C193" s="50">
        <f>VLOOKUP($A193,'Data Vlaue (Cr)'!$C:$FB,11)*100</f>
        <v>-2.36</v>
      </c>
      <c r="D193" s="50">
        <f>VLOOKUP($A193,'Data Vlaue (Cr)'!$C:$FB,143)</f>
        <v>870.93</v>
      </c>
      <c r="E193" s="50">
        <f>VLOOKUP($A193,'Data Vlaue (Cr)'!$C:$FB,144)</f>
        <v>543.26</v>
      </c>
      <c r="F193" s="50">
        <f>VLOOKUP($A193,'Data Vlaue (Cr)'!$C:$FB,146)*100</f>
        <v>60.309999999999995</v>
      </c>
      <c r="G193" s="49">
        <f>VLOOKUP($A193,'Data Vlaue (Cr)'!$C:$FB,43)</f>
        <v>457</v>
      </c>
      <c r="H193" s="49">
        <f>VLOOKUP($A193,'Data Vlaue (Cr)'!$C:$FB,44)</f>
        <v>178</v>
      </c>
      <c r="I193" s="49">
        <f>VLOOKUP($A193,'Data Vlaue (Cr)'!$C:$FB,46)*100</f>
        <v>157.22999999999999</v>
      </c>
      <c r="J193" s="51">
        <f>VLOOKUP($A193,'Data Vlaue (Cr)'!$C:$FB,59)</f>
        <v>257</v>
      </c>
      <c r="K193" s="51">
        <f>VLOOKUP($A193,'Data Vlaue (Cr)'!$C:$FB,60)</f>
        <v>273</v>
      </c>
      <c r="L193" s="51">
        <f>VLOOKUP($A193,'Data Vlaue (Cr)'!$C:$FB,62)*100</f>
        <v>-5.64</v>
      </c>
      <c r="M193" s="51">
        <f>VLOOKUP($A193,'Data Vlaue (Cr)'!$C:$FB,63)</f>
        <v>143</v>
      </c>
      <c r="N193" s="51">
        <f>VLOOKUP($A193,'Data Vlaue (Cr)'!$C:$FB,64)</f>
        <v>71</v>
      </c>
      <c r="O193" s="51">
        <f>VLOOKUP($A193,'Data Vlaue (Cr)'!$C:$FB,66)*100</f>
        <v>102.08999999999999</v>
      </c>
    </row>
    <row r="194" spans="1:15" x14ac:dyDescent="0.25">
      <c r="A194" s="101" t="str">
        <f>'Data Vlaue (Cr)'!C189</f>
        <v>SRF</v>
      </c>
      <c r="B194" s="50">
        <f>VLOOKUP($A194,'Data Vlaue (Cr)'!$C:$FB,8)</f>
        <v>2542.4</v>
      </c>
      <c r="C194" s="50">
        <f>VLOOKUP($A194,'Data Vlaue (Cr)'!$C:$FB,11)*100</f>
        <v>1.9900000000000002</v>
      </c>
      <c r="D194" s="50">
        <f>VLOOKUP($A194,'Data Vlaue (Cr)'!$C:$FB,143)</f>
        <v>3197.1</v>
      </c>
      <c r="E194" s="50">
        <f>VLOOKUP($A194,'Data Vlaue (Cr)'!$C:$FB,144)</f>
        <v>1348.5</v>
      </c>
      <c r="F194" s="50">
        <f>VLOOKUP($A194,'Data Vlaue (Cr)'!$C:$FB,146)*100</f>
        <v>137.09</v>
      </c>
      <c r="G194" s="49">
        <f>VLOOKUP($A194,'Data Vlaue (Cr)'!$C:$FB,43)</f>
        <v>923</v>
      </c>
      <c r="H194" s="49">
        <f>VLOOKUP($A194,'Data Vlaue (Cr)'!$C:$FB,44)</f>
        <v>225</v>
      </c>
      <c r="I194" s="49">
        <f>VLOOKUP($A194,'Data Vlaue (Cr)'!$C:$FB,46)*100</f>
        <v>311.01</v>
      </c>
      <c r="J194" s="51">
        <f>VLOOKUP($A194,'Data Vlaue (Cr)'!$C:$FB,59)</f>
        <v>1778</v>
      </c>
      <c r="K194" s="51">
        <f>VLOOKUP($A194,'Data Vlaue (Cr)'!$C:$FB,60)</f>
        <v>812</v>
      </c>
      <c r="L194" s="51">
        <f>VLOOKUP($A194,'Data Vlaue (Cr)'!$C:$FB,62)*100</f>
        <v>119</v>
      </c>
      <c r="M194" s="51">
        <f>VLOOKUP($A194,'Data Vlaue (Cr)'!$C:$FB,63)</f>
        <v>456</v>
      </c>
      <c r="N194" s="51">
        <f>VLOOKUP($A194,'Data Vlaue (Cr)'!$C:$FB,64)</f>
        <v>314</v>
      </c>
      <c r="O194" s="51">
        <f>VLOOKUP($A194,'Data Vlaue (Cr)'!$C:$FB,66)*100</f>
        <v>45.190000000000005</v>
      </c>
    </row>
    <row r="195" spans="1:15" x14ac:dyDescent="0.25">
      <c r="A195" s="101" t="str">
        <f>'Data Vlaue (Cr)'!C190</f>
        <v>SUNPHARMA</v>
      </c>
      <c r="B195" s="50">
        <f>VLOOKUP($A195,'Data Vlaue (Cr)'!$C:$FB,8)</f>
        <v>1680.1</v>
      </c>
      <c r="C195" s="50">
        <f>VLOOKUP($A195,'Data Vlaue (Cr)'!$C:$FB,11)*100</f>
        <v>0.62</v>
      </c>
      <c r="D195" s="50">
        <f>VLOOKUP($A195,'Data Vlaue (Cr)'!$C:$FB,143)</f>
        <v>8868.1200000000008</v>
      </c>
      <c r="E195" s="50">
        <f>VLOOKUP($A195,'Data Vlaue (Cr)'!$C:$FB,144)</f>
        <v>2839.88</v>
      </c>
      <c r="F195" s="50">
        <f>VLOOKUP($A195,'Data Vlaue (Cr)'!$C:$FB,146)*100</f>
        <v>212.27</v>
      </c>
      <c r="G195" s="49">
        <f>VLOOKUP($A195,'Data Vlaue (Cr)'!$C:$FB,43)</f>
        <v>1619</v>
      </c>
      <c r="H195" s="49">
        <f>VLOOKUP($A195,'Data Vlaue (Cr)'!$C:$FB,44)</f>
        <v>472</v>
      </c>
      <c r="I195" s="49">
        <f>VLOOKUP($A195,'Data Vlaue (Cr)'!$C:$FB,46)*100</f>
        <v>243.06</v>
      </c>
      <c r="J195" s="51">
        <f>VLOOKUP($A195,'Data Vlaue (Cr)'!$C:$FB,59)</f>
        <v>5039</v>
      </c>
      <c r="K195" s="51">
        <f>VLOOKUP($A195,'Data Vlaue (Cr)'!$C:$FB,60)</f>
        <v>1514</v>
      </c>
      <c r="L195" s="51">
        <f>VLOOKUP($A195,'Data Vlaue (Cr)'!$C:$FB,62)*100</f>
        <v>232.73999999999998</v>
      </c>
      <c r="M195" s="51">
        <f>VLOOKUP($A195,'Data Vlaue (Cr)'!$C:$FB,63)</f>
        <v>2033</v>
      </c>
      <c r="N195" s="51">
        <f>VLOOKUP($A195,'Data Vlaue (Cr)'!$C:$FB,64)</f>
        <v>832</v>
      </c>
      <c r="O195" s="51">
        <f>VLOOKUP($A195,'Data Vlaue (Cr)'!$C:$FB,66)*100</f>
        <v>144.46</v>
      </c>
    </row>
    <row r="196" spans="1:15" x14ac:dyDescent="0.25">
      <c r="A196" s="101" t="str">
        <f>'Data Vlaue (Cr)'!C191</f>
        <v>SUPREMEIND</v>
      </c>
      <c r="B196" s="50">
        <f>VLOOKUP($A196,'Data Vlaue (Cr)'!$C:$FB,8)</f>
        <v>3677.3</v>
      </c>
      <c r="C196" s="50">
        <f>VLOOKUP($A196,'Data Vlaue (Cr)'!$C:$FB,11)*100</f>
        <v>-0.38</v>
      </c>
      <c r="D196" s="50">
        <f>VLOOKUP($A196,'Data Vlaue (Cr)'!$C:$FB,143)</f>
        <v>1093.05</v>
      </c>
      <c r="E196" s="50">
        <f>VLOOKUP($A196,'Data Vlaue (Cr)'!$C:$FB,144)</f>
        <v>545.46</v>
      </c>
      <c r="F196" s="50">
        <f>VLOOKUP($A196,'Data Vlaue (Cr)'!$C:$FB,146)*100</f>
        <v>100.39</v>
      </c>
      <c r="G196" s="49">
        <f>VLOOKUP($A196,'Data Vlaue (Cr)'!$C:$FB,43)</f>
        <v>547</v>
      </c>
      <c r="H196" s="49">
        <f>VLOOKUP($A196,'Data Vlaue (Cr)'!$C:$FB,44)</f>
        <v>157</v>
      </c>
      <c r="I196" s="49">
        <f>VLOOKUP($A196,'Data Vlaue (Cr)'!$C:$FB,46)*100</f>
        <v>248.81000000000003</v>
      </c>
      <c r="J196" s="51">
        <f>VLOOKUP($A196,'Data Vlaue (Cr)'!$C:$FB,59)</f>
        <v>413</v>
      </c>
      <c r="K196" s="51">
        <f>VLOOKUP($A196,'Data Vlaue (Cr)'!$C:$FB,60)</f>
        <v>281</v>
      </c>
      <c r="L196" s="51">
        <f>VLOOKUP($A196,'Data Vlaue (Cr)'!$C:$FB,62)*100</f>
        <v>46.989999999999995</v>
      </c>
      <c r="M196" s="51">
        <f>VLOOKUP($A196,'Data Vlaue (Cr)'!$C:$FB,63)</f>
        <v>110</v>
      </c>
      <c r="N196" s="51">
        <f>VLOOKUP($A196,'Data Vlaue (Cr)'!$C:$FB,64)</f>
        <v>90</v>
      </c>
      <c r="O196" s="51">
        <f>VLOOKUP($A196,'Data Vlaue (Cr)'!$C:$FB,66)*100</f>
        <v>22.36</v>
      </c>
    </row>
    <row r="197" spans="1:15" x14ac:dyDescent="0.25">
      <c r="A197" s="101" t="str">
        <f>'Data Vlaue (Cr)'!C192</f>
        <v>SUZLON</v>
      </c>
      <c r="B197" s="50">
        <f>VLOOKUP($A197,'Data Vlaue (Cr)'!$C:$FB,8)</f>
        <v>53.73</v>
      </c>
      <c r="C197" s="50">
        <f>VLOOKUP($A197,'Data Vlaue (Cr)'!$C:$FB,11)*100</f>
        <v>-1.54</v>
      </c>
      <c r="D197" s="50">
        <f>VLOOKUP($A197,'Data Vlaue (Cr)'!$C:$FB,143)</f>
        <v>3794.82</v>
      </c>
      <c r="E197" s="50">
        <f>VLOOKUP($A197,'Data Vlaue (Cr)'!$C:$FB,144)</f>
        <v>3500.01</v>
      </c>
      <c r="F197" s="50">
        <f>VLOOKUP($A197,'Data Vlaue (Cr)'!$C:$FB,146)*100</f>
        <v>8.42</v>
      </c>
      <c r="G197" s="49">
        <f>VLOOKUP($A197,'Data Vlaue (Cr)'!$C:$FB,43)</f>
        <v>1344</v>
      </c>
      <c r="H197" s="49">
        <f>VLOOKUP($A197,'Data Vlaue (Cr)'!$C:$FB,44)</f>
        <v>584</v>
      </c>
      <c r="I197" s="49">
        <f>VLOOKUP($A197,'Data Vlaue (Cr)'!$C:$FB,46)*100</f>
        <v>130.10999999999999</v>
      </c>
      <c r="J197" s="51">
        <f>VLOOKUP($A197,'Data Vlaue (Cr)'!$C:$FB,59)</f>
        <v>1622</v>
      </c>
      <c r="K197" s="51">
        <f>VLOOKUP($A197,'Data Vlaue (Cr)'!$C:$FB,60)</f>
        <v>1871</v>
      </c>
      <c r="L197" s="51">
        <f>VLOOKUP($A197,'Data Vlaue (Cr)'!$C:$FB,62)*100</f>
        <v>-13.309999999999999</v>
      </c>
      <c r="M197" s="51">
        <f>VLOOKUP($A197,'Data Vlaue (Cr)'!$C:$FB,63)</f>
        <v>772</v>
      </c>
      <c r="N197" s="51">
        <f>VLOOKUP($A197,'Data Vlaue (Cr)'!$C:$FB,64)</f>
        <v>993</v>
      </c>
      <c r="O197" s="51">
        <f>VLOOKUP($A197,'Data Vlaue (Cr)'!$C:$FB,66)*100</f>
        <v>-22.28</v>
      </c>
    </row>
    <row r="198" spans="1:15" x14ac:dyDescent="0.25">
      <c r="A198" s="101" t="str">
        <f>'Data Vlaue (Cr)'!C193</f>
        <v>SWIGGY</v>
      </c>
      <c r="B198" s="50">
        <f>VLOOKUP($A198,'Data Vlaue (Cr)'!$C:$FB,8)</f>
        <v>293.05</v>
      </c>
      <c r="C198" s="50">
        <f>VLOOKUP($A198,'Data Vlaue (Cr)'!$C:$FB,11)*100</f>
        <v>-0.55999999999999994</v>
      </c>
      <c r="D198" s="50">
        <f>VLOOKUP($A198,'Data Vlaue (Cr)'!$C:$FB,143)</f>
        <v>2362.41</v>
      </c>
      <c r="E198" s="50">
        <f>VLOOKUP($A198,'Data Vlaue (Cr)'!$C:$FB,144)</f>
        <v>1660.13</v>
      </c>
      <c r="F198" s="50">
        <f>VLOOKUP($A198,'Data Vlaue (Cr)'!$C:$FB,146)*100</f>
        <v>42.3</v>
      </c>
      <c r="G198" s="49">
        <f>VLOOKUP($A198,'Data Vlaue (Cr)'!$C:$FB,43)</f>
        <v>1405</v>
      </c>
      <c r="H198" s="49">
        <f>VLOOKUP($A198,'Data Vlaue (Cr)'!$C:$FB,44)</f>
        <v>354</v>
      </c>
      <c r="I198" s="49">
        <f>VLOOKUP($A198,'Data Vlaue (Cr)'!$C:$FB,46)*100</f>
        <v>296.34999999999997</v>
      </c>
      <c r="J198" s="51">
        <f>VLOOKUP($A198,'Data Vlaue (Cr)'!$C:$FB,59)</f>
        <v>694</v>
      </c>
      <c r="K198" s="51">
        <f>VLOOKUP($A198,'Data Vlaue (Cr)'!$C:$FB,60)</f>
        <v>961</v>
      </c>
      <c r="L198" s="51">
        <f>VLOOKUP($A198,'Data Vlaue (Cr)'!$C:$FB,62)*100</f>
        <v>-27.810000000000002</v>
      </c>
      <c r="M198" s="51">
        <f>VLOOKUP($A198,'Data Vlaue (Cr)'!$C:$FB,63)</f>
        <v>244</v>
      </c>
      <c r="N198" s="51">
        <f>VLOOKUP($A198,'Data Vlaue (Cr)'!$C:$FB,64)</f>
        <v>332</v>
      </c>
      <c r="O198" s="51">
        <f>VLOOKUP($A198,'Data Vlaue (Cr)'!$C:$FB,66)*100</f>
        <v>-26.490000000000002</v>
      </c>
    </row>
    <row r="199" spans="1:15" x14ac:dyDescent="0.25">
      <c r="A199" s="101" t="str">
        <f>'Data Vlaue (Cr)'!C194</f>
        <v>TATACONSUM</v>
      </c>
      <c r="B199" s="50">
        <f>VLOOKUP($A199,'Data Vlaue (Cr)'!$C:$FB,8)</f>
        <v>1184.4000000000001</v>
      </c>
      <c r="C199" s="50">
        <f>VLOOKUP($A199,'Data Vlaue (Cr)'!$C:$FB,11)*100</f>
        <v>0.49</v>
      </c>
      <c r="D199" s="50">
        <f>VLOOKUP($A199,'Data Vlaue (Cr)'!$C:$FB,143)</f>
        <v>1583.73</v>
      </c>
      <c r="E199" s="50">
        <f>VLOOKUP($A199,'Data Vlaue (Cr)'!$C:$FB,144)</f>
        <v>4285.38</v>
      </c>
      <c r="F199" s="50">
        <f>VLOOKUP($A199,'Data Vlaue (Cr)'!$C:$FB,146)*100</f>
        <v>-63.04</v>
      </c>
      <c r="G199" s="49">
        <f>VLOOKUP($A199,'Data Vlaue (Cr)'!$C:$FB,43)</f>
        <v>607</v>
      </c>
      <c r="H199" s="49">
        <f>VLOOKUP($A199,'Data Vlaue (Cr)'!$C:$FB,44)</f>
        <v>527</v>
      </c>
      <c r="I199" s="49">
        <f>VLOOKUP($A199,'Data Vlaue (Cr)'!$C:$FB,46)*100</f>
        <v>15.310000000000002</v>
      </c>
      <c r="J199" s="51">
        <f>VLOOKUP($A199,'Data Vlaue (Cr)'!$C:$FB,59)</f>
        <v>561</v>
      </c>
      <c r="K199" s="51">
        <f>VLOOKUP($A199,'Data Vlaue (Cr)'!$C:$FB,60)</f>
        <v>2663</v>
      </c>
      <c r="L199" s="51">
        <f>VLOOKUP($A199,'Data Vlaue (Cr)'!$C:$FB,62)*100</f>
        <v>-78.930000000000007</v>
      </c>
      <c r="M199" s="51">
        <f>VLOOKUP($A199,'Data Vlaue (Cr)'!$C:$FB,63)</f>
        <v>412</v>
      </c>
      <c r="N199" s="51">
        <f>VLOOKUP($A199,'Data Vlaue (Cr)'!$C:$FB,64)</f>
        <v>1094</v>
      </c>
      <c r="O199" s="51">
        <f>VLOOKUP($A199,'Data Vlaue (Cr)'!$C:$FB,66)*100</f>
        <v>-62.33</v>
      </c>
    </row>
    <row r="200" spans="1:15" x14ac:dyDescent="0.25">
      <c r="A200" s="101" t="str">
        <f>'Data Vlaue (Cr)'!C195</f>
        <v>TATAELXSI</v>
      </c>
      <c r="B200" s="50">
        <f>VLOOKUP($A200,'Data Vlaue (Cr)'!$C:$FB,8)</f>
        <v>4233.5</v>
      </c>
      <c r="C200" s="50">
        <f>VLOOKUP($A200,'Data Vlaue (Cr)'!$C:$FB,11)*100</f>
        <v>-2.96</v>
      </c>
      <c r="D200" s="50">
        <f>VLOOKUP($A200,'Data Vlaue (Cr)'!$C:$FB,143)</f>
        <v>5820.38</v>
      </c>
      <c r="E200" s="50">
        <f>VLOOKUP($A200,'Data Vlaue (Cr)'!$C:$FB,144)</f>
        <v>9498.59</v>
      </c>
      <c r="F200" s="50">
        <f>VLOOKUP($A200,'Data Vlaue (Cr)'!$C:$FB,146)*100</f>
        <v>-38.72</v>
      </c>
      <c r="G200" s="49">
        <f>VLOOKUP($A200,'Data Vlaue (Cr)'!$C:$FB,43)</f>
        <v>1326</v>
      </c>
      <c r="H200" s="49">
        <f>VLOOKUP($A200,'Data Vlaue (Cr)'!$C:$FB,44)</f>
        <v>1110</v>
      </c>
      <c r="I200" s="49">
        <f>VLOOKUP($A200,'Data Vlaue (Cr)'!$C:$FB,46)*100</f>
        <v>19.43</v>
      </c>
      <c r="J200" s="51">
        <f>VLOOKUP($A200,'Data Vlaue (Cr)'!$C:$FB,59)</f>
        <v>2984</v>
      </c>
      <c r="K200" s="51">
        <f>VLOOKUP($A200,'Data Vlaue (Cr)'!$C:$FB,60)</f>
        <v>4856</v>
      </c>
      <c r="L200" s="51">
        <f>VLOOKUP($A200,'Data Vlaue (Cr)'!$C:$FB,62)*100</f>
        <v>-38.54</v>
      </c>
      <c r="M200" s="51">
        <f>VLOOKUP($A200,'Data Vlaue (Cr)'!$C:$FB,63)</f>
        <v>1268</v>
      </c>
      <c r="N200" s="51">
        <f>VLOOKUP($A200,'Data Vlaue (Cr)'!$C:$FB,64)</f>
        <v>2798</v>
      </c>
      <c r="O200" s="51">
        <f>VLOOKUP($A200,'Data Vlaue (Cr)'!$C:$FB,66)*100</f>
        <v>-54.679999999999993</v>
      </c>
    </row>
    <row r="201" spans="1:15" x14ac:dyDescent="0.25">
      <c r="A201" s="101" t="str">
        <f>'Data Vlaue (Cr)'!C196</f>
        <v>TATAPOWER</v>
      </c>
      <c r="B201" s="50">
        <f>VLOOKUP($A201,'Data Vlaue (Cr)'!$C:$FB,8)</f>
        <v>430.3</v>
      </c>
      <c r="C201" s="50">
        <f>VLOOKUP($A201,'Data Vlaue (Cr)'!$C:$FB,11)*100</f>
        <v>-1.32</v>
      </c>
      <c r="D201" s="50">
        <f>VLOOKUP($A201,'Data Vlaue (Cr)'!$C:$FB,143)</f>
        <v>4805.8500000000004</v>
      </c>
      <c r="E201" s="50">
        <f>VLOOKUP($A201,'Data Vlaue (Cr)'!$C:$FB,144)</f>
        <v>4111.42</v>
      </c>
      <c r="F201" s="50">
        <f>VLOOKUP($A201,'Data Vlaue (Cr)'!$C:$FB,146)*100</f>
        <v>16.89</v>
      </c>
      <c r="G201" s="49">
        <f>VLOOKUP($A201,'Data Vlaue (Cr)'!$C:$FB,43)</f>
        <v>1316</v>
      </c>
      <c r="H201" s="49">
        <f>VLOOKUP($A201,'Data Vlaue (Cr)'!$C:$FB,44)</f>
        <v>448</v>
      </c>
      <c r="I201" s="49">
        <f>VLOOKUP($A201,'Data Vlaue (Cr)'!$C:$FB,46)*100</f>
        <v>193.89000000000001</v>
      </c>
      <c r="J201" s="51">
        <f>VLOOKUP($A201,'Data Vlaue (Cr)'!$C:$FB,59)</f>
        <v>2079</v>
      </c>
      <c r="K201" s="51">
        <f>VLOOKUP($A201,'Data Vlaue (Cr)'!$C:$FB,60)</f>
        <v>2263</v>
      </c>
      <c r="L201" s="51">
        <f>VLOOKUP($A201,'Data Vlaue (Cr)'!$C:$FB,62)*100</f>
        <v>-8.129999999999999</v>
      </c>
      <c r="M201" s="51">
        <f>VLOOKUP($A201,'Data Vlaue (Cr)'!$C:$FB,63)</f>
        <v>1330</v>
      </c>
      <c r="N201" s="51">
        <f>VLOOKUP($A201,'Data Vlaue (Cr)'!$C:$FB,64)</f>
        <v>1288</v>
      </c>
      <c r="O201" s="51">
        <f>VLOOKUP($A201,'Data Vlaue (Cr)'!$C:$FB,66)*100</f>
        <v>3.2300000000000004</v>
      </c>
    </row>
    <row r="202" spans="1:15" x14ac:dyDescent="0.25">
      <c r="A202" s="101" t="str">
        <f>'Data Vlaue (Cr)'!C197</f>
        <v>TATASTEEL</v>
      </c>
      <c r="B202" s="50">
        <f>VLOOKUP($A202,'Data Vlaue (Cr)'!$C:$FB,8)</f>
        <v>210.91</v>
      </c>
      <c r="C202" s="50">
        <f>VLOOKUP($A202,'Data Vlaue (Cr)'!$C:$FB,11)*100</f>
        <v>-1</v>
      </c>
      <c r="D202" s="50">
        <f>VLOOKUP($A202,'Data Vlaue (Cr)'!$C:$FB,143)</f>
        <v>4600.54</v>
      </c>
      <c r="E202" s="50">
        <f>VLOOKUP($A202,'Data Vlaue (Cr)'!$C:$FB,144)</f>
        <v>4879.17</v>
      </c>
      <c r="F202" s="50">
        <f>VLOOKUP($A202,'Data Vlaue (Cr)'!$C:$FB,146)*100</f>
        <v>-5.71</v>
      </c>
      <c r="G202" s="49">
        <f>VLOOKUP($A202,'Data Vlaue (Cr)'!$C:$FB,43)</f>
        <v>1594</v>
      </c>
      <c r="H202" s="49">
        <f>VLOOKUP($A202,'Data Vlaue (Cr)'!$C:$FB,44)</f>
        <v>799</v>
      </c>
      <c r="I202" s="49">
        <f>VLOOKUP($A202,'Data Vlaue (Cr)'!$C:$FB,46)*100</f>
        <v>99.41</v>
      </c>
      <c r="J202" s="51">
        <f>VLOOKUP($A202,'Data Vlaue (Cr)'!$C:$FB,59)</f>
        <v>1831</v>
      </c>
      <c r="K202" s="51">
        <f>VLOOKUP($A202,'Data Vlaue (Cr)'!$C:$FB,60)</f>
        <v>2488</v>
      </c>
      <c r="L202" s="51">
        <f>VLOOKUP($A202,'Data Vlaue (Cr)'!$C:$FB,62)*100</f>
        <v>-26.419999999999998</v>
      </c>
      <c r="M202" s="51">
        <f>VLOOKUP($A202,'Data Vlaue (Cr)'!$C:$FB,63)</f>
        <v>1130</v>
      </c>
      <c r="N202" s="51">
        <f>VLOOKUP($A202,'Data Vlaue (Cr)'!$C:$FB,64)</f>
        <v>1513</v>
      </c>
      <c r="O202" s="51">
        <f>VLOOKUP($A202,'Data Vlaue (Cr)'!$C:$FB,66)*100</f>
        <v>-25.31</v>
      </c>
    </row>
    <row r="203" spans="1:15" x14ac:dyDescent="0.25">
      <c r="A203" s="101" t="str">
        <f>'Data Vlaue (Cr)'!C198</f>
        <v>TATATECH</v>
      </c>
      <c r="B203" s="50">
        <f>VLOOKUP($A203,'Data Vlaue (Cr)'!$C:$FB,8)</f>
        <v>563.5</v>
      </c>
      <c r="C203" s="50">
        <f>VLOOKUP($A203,'Data Vlaue (Cr)'!$C:$FB,11)*100</f>
        <v>-2.0500000000000003</v>
      </c>
      <c r="D203" s="50">
        <f>VLOOKUP($A203,'Data Vlaue (Cr)'!$C:$FB,143)</f>
        <v>360.72</v>
      </c>
      <c r="E203" s="50">
        <f>VLOOKUP($A203,'Data Vlaue (Cr)'!$C:$FB,144)</f>
        <v>221.6</v>
      </c>
      <c r="F203" s="50">
        <f>VLOOKUP($A203,'Data Vlaue (Cr)'!$C:$FB,146)*100</f>
        <v>62.78</v>
      </c>
      <c r="G203" s="49">
        <f>VLOOKUP($A203,'Data Vlaue (Cr)'!$C:$FB,43)</f>
        <v>106</v>
      </c>
      <c r="H203" s="49">
        <f>VLOOKUP($A203,'Data Vlaue (Cr)'!$C:$FB,44)</f>
        <v>35</v>
      </c>
      <c r="I203" s="49">
        <f>VLOOKUP($A203,'Data Vlaue (Cr)'!$C:$FB,46)*100</f>
        <v>198.6</v>
      </c>
      <c r="J203" s="51">
        <f>VLOOKUP($A203,'Data Vlaue (Cr)'!$C:$FB,59)</f>
        <v>142</v>
      </c>
      <c r="K203" s="51">
        <f>VLOOKUP($A203,'Data Vlaue (Cr)'!$C:$FB,60)</f>
        <v>116</v>
      </c>
      <c r="L203" s="51">
        <f>VLOOKUP($A203,'Data Vlaue (Cr)'!$C:$FB,62)*100</f>
        <v>22.650000000000002</v>
      </c>
      <c r="M203" s="51">
        <f>VLOOKUP($A203,'Data Vlaue (Cr)'!$C:$FB,63)</f>
        <v>105</v>
      </c>
      <c r="N203" s="51">
        <f>VLOOKUP($A203,'Data Vlaue (Cr)'!$C:$FB,64)</f>
        <v>62</v>
      </c>
      <c r="O203" s="51">
        <f>VLOOKUP($A203,'Data Vlaue (Cr)'!$C:$FB,66)*100</f>
        <v>70.34</v>
      </c>
    </row>
    <row r="204" spans="1:15" x14ac:dyDescent="0.25">
      <c r="A204" s="101" t="str">
        <f>'Data Vlaue (Cr)'!C199</f>
        <v>TCS</v>
      </c>
      <c r="B204" s="50">
        <f>VLOOKUP($A204,'Data Vlaue (Cr)'!$C:$FB,8)</f>
        <v>2521.8000000000002</v>
      </c>
      <c r="C204" s="50">
        <f>VLOOKUP($A204,'Data Vlaue (Cr)'!$C:$FB,11)*100</f>
        <v>-0.66</v>
      </c>
      <c r="D204" s="50">
        <f>VLOOKUP($A204,'Data Vlaue (Cr)'!$C:$FB,143)</f>
        <v>15178.71</v>
      </c>
      <c r="E204" s="50">
        <f>VLOOKUP($A204,'Data Vlaue (Cr)'!$C:$FB,144)</f>
        <v>19513.18</v>
      </c>
      <c r="F204" s="50">
        <f>VLOOKUP($A204,'Data Vlaue (Cr)'!$C:$FB,146)*100</f>
        <v>-22.21</v>
      </c>
      <c r="G204" s="49">
        <f>VLOOKUP($A204,'Data Vlaue (Cr)'!$C:$FB,43)</f>
        <v>5396</v>
      </c>
      <c r="H204" s="49">
        <f>VLOOKUP($A204,'Data Vlaue (Cr)'!$C:$FB,44)</f>
        <v>2178</v>
      </c>
      <c r="I204" s="49">
        <f>VLOOKUP($A204,'Data Vlaue (Cr)'!$C:$FB,46)*100</f>
        <v>147.77000000000001</v>
      </c>
      <c r="J204" s="51">
        <f>VLOOKUP($A204,'Data Vlaue (Cr)'!$C:$FB,59)</f>
        <v>6010</v>
      </c>
      <c r="K204" s="51">
        <f>VLOOKUP($A204,'Data Vlaue (Cr)'!$C:$FB,60)</f>
        <v>10492</v>
      </c>
      <c r="L204" s="51">
        <f>VLOOKUP($A204,'Data Vlaue (Cr)'!$C:$FB,62)*100</f>
        <v>-42.72</v>
      </c>
      <c r="M204" s="51">
        <f>VLOOKUP($A204,'Data Vlaue (Cr)'!$C:$FB,63)</f>
        <v>3447</v>
      </c>
      <c r="N204" s="51">
        <f>VLOOKUP($A204,'Data Vlaue (Cr)'!$C:$FB,64)</f>
        <v>6325</v>
      </c>
      <c r="O204" s="51">
        <f>VLOOKUP($A204,'Data Vlaue (Cr)'!$C:$FB,66)*100</f>
        <v>-45.5</v>
      </c>
    </row>
    <row r="205" spans="1:15" x14ac:dyDescent="0.25">
      <c r="A205" s="101" t="str">
        <f>'Data Vlaue (Cr)'!C200</f>
        <v>TECHM</v>
      </c>
      <c r="B205" s="50">
        <f>VLOOKUP($A205,'Data Vlaue (Cr)'!$C:$FB,8)</f>
        <v>1421.5</v>
      </c>
      <c r="C205" s="50">
        <f>VLOOKUP($A205,'Data Vlaue (Cr)'!$C:$FB,11)*100</f>
        <v>-2.81</v>
      </c>
      <c r="D205" s="50">
        <f>VLOOKUP($A205,'Data Vlaue (Cr)'!$C:$FB,143)</f>
        <v>13298.6</v>
      </c>
      <c r="E205" s="50">
        <f>VLOOKUP($A205,'Data Vlaue (Cr)'!$C:$FB,144)</f>
        <v>31785.02</v>
      </c>
      <c r="F205" s="50">
        <f>VLOOKUP($A205,'Data Vlaue (Cr)'!$C:$FB,146)*100</f>
        <v>-58.160000000000004</v>
      </c>
      <c r="G205" s="49">
        <f>VLOOKUP($A205,'Data Vlaue (Cr)'!$C:$FB,43)</f>
        <v>2832</v>
      </c>
      <c r="H205" s="49">
        <f>VLOOKUP($A205,'Data Vlaue (Cr)'!$C:$FB,44)</f>
        <v>3089</v>
      </c>
      <c r="I205" s="49">
        <f>VLOOKUP($A205,'Data Vlaue (Cr)'!$C:$FB,46)*100</f>
        <v>-8.32</v>
      </c>
      <c r="J205" s="51">
        <f>VLOOKUP($A205,'Data Vlaue (Cr)'!$C:$FB,59)</f>
        <v>6584</v>
      </c>
      <c r="K205" s="51">
        <f>VLOOKUP($A205,'Data Vlaue (Cr)'!$C:$FB,60)</f>
        <v>16388</v>
      </c>
      <c r="L205" s="51">
        <f>VLOOKUP($A205,'Data Vlaue (Cr)'!$C:$FB,62)*100</f>
        <v>-59.819999999999993</v>
      </c>
      <c r="M205" s="51">
        <f>VLOOKUP($A205,'Data Vlaue (Cr)'!$C:$FB,63)</f>
        <v>3492</v>
      </c>
      <c r="N205" s="51">
        <f>VLOOKUP($A205,'Data Vlaue (Cr)'!$C:$FB,64)</f>
        <v>10950</v>
      </c>
      <c r="O205" s="51">
        <f>VLOOKUP($A205,'Data Vlaue (Cr)'!$C:$FB,66)*100</f>
        <v>-68.11</v>
      </c>
    </row>
    <row r="206" spans="1:15" x14ac:dyDescent="0.25">
      <c r="A206" s="101" t="str">
        <f>'Data Vlaue (Cr)'!C201</f>
        <v>TIINDIA</v>
      </c>
      <c r="B206" s="50">
        <f>VLOOKUP($A206,'Data Vlaue (Cr)'!$C:$FB,8)</f>
        <v>3086.8</v>
      </c>
      <c r="C206" s="50">
        <f>VLOOKUP($A206,'Data Vlaue (Cr)'!$C:$FB,11)*100</f>
        <v>2.06</v>
      </c>
      <c r="D206" s="50">
        <f>VLOOKUP($A206,'Data Vlaue (Cr)'!$C:$FB,143)</f>
        <v>2297.84</v>
      </c>
      <c r="E206" s="50">
        <f>VLOOKUP($A206,'Data Vlaue (Cr)'!$C:$FB,144)</f>
        <v>1873.34</v>
      </c>
      <c r="F206" s="50">
        <f>VLOOKUP($A206,'Data Vlaue (Cr)'!$C:$FB,146)*100</f>
        <v>22.66</v>
      </c>
      <c r="G206" s="49">
        <f>VLOOKUP($A206,'Data Vlaue (Cr)'!$C:$FB,43)</f>
        <v>754</v>
      </c>
      <c r="H206" s="49">
        <f>VLOOKUP($A206,'Data Vlaue (Cr)'!$C:$FB,44)</f>
        <v>177</v>
      </c>
      <c r="I206" s="49">
        <f>VLOOKUP($A206,'Data Vlaue (Cr)'!$C:$FB,46)*100</f>
        <v>325.45999999999998</v>
      </c>
      <c r="J206" s="51">
        <f>VLOOKUP($A206,'Data Vlaue (Cr)'!$C:$FB,59)</f>
        <v>1073</v>
      </c>
      <c r="K206" s="51">
        <f>VLOOKUP($A206,'Data Vlaue (Cr)'!$C:$FB,60)</f>
        <v>1280</v>
      </c>
      <c r="L206" s="51">
        <f>VLOOKUP($A206,'Data Vlaue (Cr)'!$C:$FB,62)*100</f>
        <v>-16.16</v>
      </c>
      <c r="M206" s="51">
        <f>VLOOKUP($A206,'Data Vlaue (Cr)'!$C:$FB,63)</f>
        <v>456</v>
      </c>
      <c r="N206" s="51">
        <f>VLOOKUP($A206,'Data Vlaue (Cr)'!$C:$FB,64)</f>
        <v>467</v>
      </c>
      <c r="O206" s="51">
        <f>VLOOKUP($A206,'Data Vlaue (Cr)'!$C:$FB,66)*100</f>
        <v>-2.46</v>
      </c>
    </row>
    <row r="207" spans="1:15" x14ac:dyDescent="0.25">
      <c r="A207" s="101" t="str">
        <f>'Data Vlaue (Cr)'!C202</f>
        <v>TITAN</v>
      </c>
      <c r="B207" s="50">
        <f>VLOOKUP($A207,'Data Vlaue (Cr)'!$C:$FB,8)</f>
        <v>4456.5</v>
      </c>
      <c r="C207" s="50">
        <f>VLOOKUP($A207,'Data Vlaue (Cr)'!$C:$FB,11)*100</f>
        <v>0.04</v>
      </c>
      <c r="D207" s="50">
        <f>VLOOKUP($A207,'Data Vlaue (Cr)'!$C:$FB,143)</f>
        <v>4875.3999999999996</v>
      </c>
      <c r="E207" s="50">
        <f>VLOOKUP($A207,'Data Vlaue (Cr)'!$C:$FB,144)</f>
        <v>3075.27</v>
      </c>
      <c r="F207" s="50">
        <f>VLOOKUP($A207,'Data Vlaue (Cr)'!$C:$FB,146)*100</f>
        <v>58.540000000000006</v>
      </c>
      <c r="G207" s="49">
        <f>VLOOKUP($A207,'Data Vlaue (Cr)'!$C:$FB,43)</f>
        <v>1732</v>
      </c>
      <c r="H207" s="49">
        <f>VLOOKUP($A207,'Data Vlaue (Cr)'!$C:$FB,44)</f>
        <v>464</v>
      </c>
      <c r="I207" s="49">
        <f>VLOOKUP($A207,'Data Vlaue (Cr)'!$C:$FB,46)*100</f>
        <v>273.64000000000004</v>
      </c>
      <c r="J207" s="51">
        <f>VLOOKUP($A207,'Data Vlaue (Cr)'!$C:$FB,59)</f>
        <v>1713</v>
      </c>
      <c r="K207" s="51">
        <f>VLOOKUP($A207,'Data Vlaue (Cr)'!$C:$FB,60)</f>
        <v>1463</v>
      </c>
      <c r="L207" s="51">
        <f>VLOOKUP($A207,'Data Vlaue (Cr)'!$C:$FB,62)*100</f>
        <v>17.080000000000002</v>
      </c>
      <c r="M207" s="51">
        <f>VLOOKUP($A207,'Data Vlaue (Cr)'!$C:$FB,63)</f>
        <v>1401</v>
      </c>
      <c r="N207" s="51">
        <f>VLOOKUP($A207,'Data Vlaue (Cr)'!$C:$FB,64)</f>
        <v>1115</v>
      </c>
      <c r="O207" s="51">
        <f>VLOOKUP($A207,'Data Vlaue (Cr)'!$C:$FB,66)*100</f>
        <v>25.64</v>
      </c>
    </row>
    <row r="208" spans="1:15" x14ac:dyDescent="0.25">
      <c r="A208" s="101" t="str">
        <f>'Data Vlaue (Cr)'!C203</f>
        <v>TMPV</v>
      </c>
      <c r="B208" s="50">
        <f>VLOOKUP($A208,'Data Vlaue (Cr)'!$C:$FB,8)</f>
        <v>351.95</v>
      </c>
      <c r="C208" s="50">
        <f>VLOOKUP($A208,'Data Vlaue (Cr)'!$C:$FB,11)*100</f>
        <v>-2.74</v>
      </c>
      <c r="D208" s="50">
        <f>VLOOKUP($A208,'Data Vlaue (Cr)'!$C:$FB,143)</f>
        <v>5721.88</v>
      </c>
      <c r="E208" s="50">
        <f>VLOOKUP($A208,'Data Vlaue (Cr)'!$C:$FB,144)</f>
        <v>5923.8</v>
      </c>
      <c r="F208" s="50">
        <f>VLOOKUP($A208,'Data Vlaue (Cr)'!$C:$FB,146)*100</f>
        <v>-3.4099999999999997</v>
      </c>
      <c r="G208" s="49">
        <f>VLOOKUP($A208,'Data Vlaue (Cr)'!$C:$FB,43)</f>
        <v>1852</v>
      </c>
      <c r="H208" s="49">
        <f>VLOOKUP($A208,'Data Vlaue (Cr)'!$C:$FB,44)</f>
        <v>674</v>
      </c>
      <c r="I208" s="49">
        <f>VLOOKUP($A208,'Data Vlaue (Cr)'!$C:$FB,46)*100</f>
        <v>174.65</v>
      </c>
      <c r="J208" s="51">
        <f>VLOOKUP($A208,'Data Vlaue (Cr)'!$C:$FB,59)</f>
        <v>2163</v>
      </c>
      <c r="K208" s="51">
        <f>VLOOKUP($A208,'Data Vlaue (Cr)'!$C:$FB,60)</f>
        <v>3152</v>
      </c>
      <c r="L208" s="51">
        <f>VLOOKUP($A208,'Data Vlaue (Cr)'!$C:$FB,62)*100</f>
        <v>-31.369999999999997</v>
      </c>
      <c r="M208" s="51">
        <f>VLOOKUP($A208,'Data Vlaue (Cr)'!$C:$FB,63)</f>
        <v>1589</v>
      </c>
      <c r="N208" s="51">
        <f>VLOOKUP($A208,'Data Vlaue (Cr)'!$C:$FB,64)</f>
        <v>1877</v>
      </c>
      <c r="O208" s="51">
        <f>VLOOKUP($A208,'Data Vlaue (Cr)'!$C:$FB,66)*100</f>
        <v>-15.340000000000002</v>
      </c>
    </row>
    <row r="209" spans="1:15" x14ac:dyDescent="0.25">
      <c r="A209" s="101" t="str">
        <f>'Data Vlaue (Cr)'!C204</f>
        <v>TORNTPHARM</v>
      </c>
      <c r="B209" s="50">
        <f>VLOOKUP($A209,'Data Vlaue (Cr)'!$C:$FB,8)</f>
        <v>4147.2</v>
      </c>
      <c r="C209" s="50">
        <f>VLOOKUP($A209,'Data Vlaue (Cr)'!$C:$FB,11)*100</f>
        <v>1.53</v>
      </c>
      <c r="D209" s="50">
        <f>VLOOKUP($A209,'Data Vlaue (Cr)'!$C:$FB,143)</f>
        <v>2508.16</v>
      </c>
      <c r="E209" s="50">
        <f>VLOOKUP($A209,'Data Vlaue (Cr)'!$C:$FB,144)</f>
        <v>909.18</v>
      </c>
      <c r="F209" s="50">
        <f>VLOOKUP($A209,'Data Vlaue (Cr)'!$C:$FB,146)*100</f>
        <v>175.87</v>
      </c>
      <c r="G209" s="49">
        <f>VLOOKUP($A209,'Data Vlaue (Cr)'!$C:$FB,43)</f>
        <v>1167</v>
      </c>
      <c r="H209" s="49">
        <f>VLOOKUP($A209,'Data Vlaue (Cr)'!$C:$FB,44)</f>
        <v>419</v>
      </c>
      <c r="I209" s="49">
        <f>VLOOKUP($A209,'Data Vlaue (Cr)'!$C:$FB,46)*100</f>
        <v>178.2</v>
      </c>
      <c r="J209" s="51">
        <f>VLOOKUP($A209,'Data Vlaue (Cr)'!$C:$FB,59)</f>
        <v>1005</v>
      </c>
      <c r="K209" s="51">
        <f>VLOOKUP($A209,'Data Vlaue (Cr)'!$C:$FB,60)</f>
        <v>287</v>
      </c>
      <c r="L209" s="51">
        <f>VLOOKUP($A209,'Data Vlaue (Cr)'!$C:$FB,62)*100</f>
        <v>250.82</v>
      </c>
      <c r="M209" s="51">
        <f>VLOOKUP($A209,'Data Vlaue (Cr)'!$C:$FB,63)</f>
        <v>330</v>
      </c>
      <c r="N209" s="51">
        <f>VLOOKUP($A209,'Data Vlaue (Cr)'!$C:$FB,64)</f>
        <v>214</v>
      </c>
      <c r="O209" s="51">
        <f>VLOOKUP($A209,'Data Vlaue (Cr)'!$C:$FB,66)*100</f>
        <v>54.52</v>
      </c>
    </row>
    <row r="210" spans="1:15" x14ac:dyDescent="0.25">
      <c r="A210" s="101" t="str">
        <f>'Data Vlaue (Cr)'!C205</f>
        <v>TORNTPOWER</v>
      </c>
      <c r="B210" s="50">
        <f>VLOOKUP($A210,'Data Vlaue (Cr)'!$C:$FB,8)</f>
        <v>1737</v>
      </c>
      <c r="C210" s="50">
        <f>VLOOKUP($A210,'Data Vlaue (Cr)'!$C:$FB,11)*100</f>
        <v>4.8</v>
      </c>
      <c r="D210" s="50">
        <f>VLOOKUP($A210,'Data Vlaue (Cr)'!$C:$FB,143)</f>
        <v>2037.05</v>
      </c>
      <c r="E210" s="50">
        <f>VLOOKUP($A210,'Data Vlaue (Cr)'!$C:$FB,144)</f>
        <v>1440.23</v>
      </c>
      <c r="F210" s="50">
        <f>VLOOKUP($A210,'Data Vlaue (Cr)'!$C:$FB,146)*100</f>
        <v>41.44</v>
      </c>
      <c r="G210" s="49">
        <f>VLOOKUP($A210,'Data Vlaue (Cr)'!$C:$FB,43)</f>
        <v>127</v>
      </c>
      <c r="H210" s="49">
        <f>VLOOKUP($A210,'Data Vlaue (Cr)'!$C:$FB,44)</f>
        <v>82</v>
      </c>
      <c r="I210" s="49">
        <f>VLOOKUP($A210,'Data Vlaue (Cr)'!$C:$FB,46)*100</f>
        <v>56.07</v>
      </c>
      <c r="J210" s="51">
        <f>VLOOKUP($A210,'Data Vlaue (Cr)'!$C:$FB,59)</f>
        <v>1297</v>
      </c>
      <c r="K210" s="51">
        <f>VLOOKUP($A210,'Data Vlaue (Cr)'!$C:$FB,60)</f>
        <v>1107</v>
      </c>
      <c r="L210" s="51">
        <f>VLOOKUP($A210,'Data Vlaue (Cr)'!$C:$FB,62)*100</f>
        <v>17.130000000000003</v>
      </c>
      <c r="M210" s="51">
        <f>VLOOKUP($A210,'Data Vlaue (Cr)'!$C:$FB,63)</f>
        <v>646</v>
      </c>
      <c r="N210" s="51">
        <f>VLOOKUP($A210,'Data Vlaue (Cr)'!$C:$FB,64)</f>
        <v>304</v>
      </c>
      <c r="O210" s="51">
        <f>VLOOKUP($A210,'Data Vlaue (Cr)'!$C:$FB,66)*100</f>
        <v>112.74</v>
      </c>
    </row>
    <row r="211" spans="1:15" x14ac:dyDescent="0.25">
      <c r="A211" s="101" t="str">
        <f>'Data Vlaue (Cr)'!C206</f>
        <v>TRENT</v>
      </c>
      <c r="B211" s="50">
        <f>VLOOKUP($A211,'Data Vlaue (Cr)'!$C:$FB,8)</f>
        <v>4251.3999999999996</v>
      </c>
      <c r="C211" s="50">
        <f>VLOOKUP($A211,'Data Vlaue (Cr)'!$C:$FB,11)*100</f>
        <v>-4.1300000000000008</v>
      </c>
      <c r="D211" s="50">
        <f>VLOOKUP($A211,'Data Vlaue (Cr)'!$C:$FB,143)</f>
        <v>25544.27</v>
      </c>
      <c r="E211" s="50">
        <f>VLOOKUP($A211,'Data Vlaue (Cr)'!$C:$FB,144)</f>
        <v>14154.29</v>
      </c>
      <c r="F211" s="50">
        <f>VLOOKUP($A211,'Data Vlaue (Cr)'!$C:$FB,146)*100</f>
        <v>80.47</v>
      </c>
      <c r="G211" s="49">
        <f>VLOOKUP($A211,'Data Vlaue (Cr)'!$C:$FB,43)</f>
        <v>4396</v>
      </c>
      <c r="H211" s="49">
        <f>VLOOKUP($A211,'Data Vlaue (Cr)'!$C:$FB,44)</f>
        <v>1359</v>
      </c>
      <c r="I211" s="49">
        <f>VLOOKUP($A211,'Data Vlaue (Cr)'!$C:$FB,46)*100</f>
        <v>223.51999999999998</v>
      </c>
      <c r="J211" s="51">
        <f>VLOOKUP($A211,'Data Vlaue (Cr)'!$C:$FB,59)</f>
        <v>12863</v>
      </c>
      <c r="K211" s="51">
        <f>VLOOKUP($A211,'Data Vlaue (Cr)'!$C:$FB,60)</f>
        <v>8061</v>
      </c>
      <c r="L211" s="51">
        <f>VLOOKUP($A211,'Data Vlaue (Cr)'!$C:$FB,62)*100</f>
        <v>59.58</v>
      </c>
      <c r="M211" s="51">
        <f>VLOOKUP($A211,'Data Vlaue (Cr)'!$C:$FB,63)</f>
        <v>7257</v>
      </c>
      <c r="N211" s="51">
        <f>VLOOKUP($A211,'Data Vlaue (Cr)'!$C:$FB,64)</f>
        <v>3892</v>
      </c>
      <c r="O211" s="51">
        <f>VLOOKUP($A211,'Data Vlaue (Cr)'!$C:$FB,66)*100</f>
        <v>86.460000000000008</v>
      </c>
    </row>
    <row r="212" spans="1:15" x14ac:dyDescent="0.25">
      <c r="A212" s="101" t="str">
        <f>'Data Vlaue (Cr)'!C207</f>
        <v>TVSMOTOR</v>
      </c>
      <c r="B212" s="50">
        <f>VLOOKUP($A212,'Data Vlaue (Cr)'!$C:$FB,8)</f>
        <v>3513</v>
      </c>
      <c r="C212" s="50">
        <f>VLOOKUP($A212,'Data Vlaue (Cr)'!$C:$FB,11)*100</f>
        <v>-4.03</v>
      </c>
      <c r="D212" s="50">
        <f>VLOOKUP($A212,'Data Vlaue (Cr)'!$C:$FB,143)</f>
        <v>5253.21</v>
      </c>
      <c r="E212" s="50">
        <f>VLOOKUP($A212,'Data Vlaue (Cr)'!$C:$FB,144)</f>
        <v>1869.32</v>
      </c>
      <c r="F212" s="50">
        <f>VLOOKUP($A212,'Data Vlaue (Cr)'!$C:$FB,146)*100</f>
        <v>181.02</v>
      </c>
      <c r="G212" s="49">
        <f>VLOOKUP($A212,'Data Vlaue (Cr)'!$C:$FB,43)</f>
        <v>1714</v>
      </c>
      <c r="H212" s="49">
        <f>VLOOKUP($A212,'Data Vlaue (Cr)'!$C:$FB,44)</f>
        <v>364</v>
      </c>
      <c r="I212" s="49">
        <f>VLOOKUP($A212,'Data Vlaue (Cr)'!$C:$FB,46)*100</f>
        <v>371.14</v>
      </c>
      <c r="J212" s="51">
        <f>VLOOKUP($A212,'Data Vlaue (Cr)'!$C:$FB,59)</f>
        <v>1983</v>
      </c>
      <c r="K212" s="51">
        <f>VLOOKUP($A212,'Data Vlaue (Cr)'!$C:$FB,60)</f>
        <v>989</v>
      </c>
      <c r="L212" s="51">
        <f>VLOOKUP($A212,'Data Vlaue (Cr)'!$C:$FB,62)*100</f>
        <v>100.52000000000001</v>
      </c>
      <c r="M212" s="51">
        <f>VLOOKUP($A212,'Data Vlaue (Cr)'!$C:$FB,63)</f>
        <v>1398</v>
      </c>
      <c r="N212" s="51">
        <f>VLOOKUP($A212,'Data Vlaue (Cr)'!$C:$FB,64)</f>
        <v>370</v>
      </c>
      <c r="O212" s="51">
        <f>VLOOKUP($A212,'Data Vlaue (Cr)'!$C:$FB,66)*100</f>
        <v>277.67</v>
      </c>
    </row>
    <row r="213" spans="1:15" x14ac:dyDescent="0.25">
      <c r="A213" s="101" t="str">
        <f>'Data Vlaue (Cr)'!C208</f>
        <v>ULTRACEMCO</v>
      </c>
      <c r="B213" s="50">
        <f>VLOOKUP($A213,'Data Vlaue (Cr)'!$C:$FB,8)</f>
        <v>12167</v>
      </c>
      <c r="C213" s="50">
        <f>VLOOKUP($A213,'Data Vlaue (Cr)'!$C:$FB,11)*100</f>
        <v>-0.21</v>
      </c>
      <c r="D213" s="50">
        <f>VLOOKUP($A213,'Data Vlaue (Cr)'!$C:$FB,143)</f>
        <v>5533.61</v>
      </c>
      <c r="E213" s="50">
        <f>VLOOKUP($A213,'Data Vlaue (Cr)'!$C:$FB,144)</f>
        <v>3416.66</v>
      </c>
      <c r="F213" s="50">
        <f>VLOOKUP($A213,'Data Vlaue (Cr)'!$C:$FB,146)*100</f>
        <v>61.96</v>
      </c>
      <c r="G213" s="49">
        <f>VLOOKUP($A213,'Data Vlaue (Cr)'!$C:$FB,43)</f>
        <v>2134</v>
      </c>
      <c r="H213" s="49">
        <f>VLOOKUP($A213,'Data Vlaue (Cr)'!$C:$FB,44)</f>
        <v>652</v>
      </c>
      <c r="I213" s="49">
        <f>VLOOKUP($A213,'Data Vlaue (Cr)'!$C:$FB,46)*100</f>
        <v>227.07999999999998</v>
      </c>
      <c r="J213" s="51">
        <f>VLOOKUP($A213,'Data Vlaue (Cr)'!$C:$FB,59)</f>
        <v>1838</v>
      </c>
      <c r="K213" s="51">
        <f>VLOOKUP($A213,'Data Vlaue (Cr)'!$C:$FB,60)</f>
        <v>1782</v>
      </c>
      <c r="L213" s="51">
        <f>VLOOKUP($A213,'Data Vlaue (Cr)'!$C:$FB,62)*100</f>
        <v>3.17</v>
      </c>
      <c r="M213" s="51">
        <f>VLOOKUP($A213,'Data Vlaue (Cr)'!$C:$FB,63)</f>
        <v>1659</v>
      </c>
      <c r="N213" s="51">
        <f>VLOOKUP($A213,'Data Vlaue (Cr)'!$C:$FB,64)</f>
        <v>970</v>
      </c>
      <c r="O213" s="51">
        <f>VLOOKUP($A213,'Data Vlaue (Cr)'!$C:$FB,66)*100</f>
        <v>70.95</v>
      </c>
    </row>
    <row r="214" spans="1:15" x14ac:dyDescent="0.25">
      <c r="A214" s="101" t="str">
        <f>'Data Vlaue (Cr)'!C209</f>
        <v>UNIONBANK</v>
      </c>
      <c r="B214" s="50">
        <f>VLOOKUP($A214,'Data Vlaue (Cr)'!$C:$FB,8)</f>
        <v>179.71</v>
      </c>
      <c r="C214" s="50">
        <f>VLOOKUP($A214,'Data Vlaue (Cr)'!$C:$FB,11)*100</f>
        <v>-7.39</v>
      </c>
      <c r="D214" s="50">
        <f>VLOOKUP($A214,'Data Vlaue (Cr)'!$C:$FB,143)</f>
        <v>16155.82</v>
      </c>
      <c r="E214" s="50">
        <f>VLOOKUP($A214,'Data Vlaue (Cr)'!$C:$FB,144)</f>
        <v>4695.49</v>
      </c>
      <c r="F214" s="50">
        <f>VLOOKUP($A214,'Data Vlaue (Cr)'!$C:$FB,146)*100</f>
        <v>244.07000000000002</v>
      </c>
      <c r="G214" s="49">
        <f>VLOOKUP($A214,'Data Vlaue (Cr)'!$C:$FB,43)</f>
        <v>3849</v>
      </c>
      <c r="H214" s="49">
        <f>VLOOKUP($A214,'Data Vlaue (Cr)'!$C:$FB,44)</f>
        <v>851</v>
      </c>
      <c r="I214" s="49">
        <f>VLOOKUP($A214,'Data Vlaue (Cr)'!$C:$FB,46)*100</f>
        <v>352.53999999999996</v>
      </c>
      <c r="J214" s="51">
        <f>VLOOKUP($A214,'Data Vlaue (Cr)'!$C:$FB,59)</f>
        <v>6934</v>
      </c>
      <c r="K214" s="51">
        <f>VLOOKUP($A214,'Data Vlaue (Cr)'!$C:$FB,60)</f>
        <v>2263</v>
      </c>
      <c r="L214" s="51">
        <f>VLOOKUP($A214,'Data Vlaue (Cr)'!$C:$FB,62)*100</f>
        <v>206.42000000000002</v>
      </c>
      <c r="M214" s="51">
        <f>VLOOKUP($A214,'Data Vlaue (Cr)'!$C:$FB,63)</f>
        <v>4529</v>
      </c>
      <c r="N214" s="51">
        <f>VLOOKUP($A214,'Data Vlaue (Cr)'!$C:$FB,64)</f>
        <v>1134</v>
      </c>
      <c r="O214" s="51">
        <f>VLOOKUP($A214,'Data Vlaue (Cr)'!$C:$FB,66)*100</f>
        <v>299.27999999999997</v>
      </c>
    </row>
    <row r="215" spans="1:15" x14ac:dyDescent="0.25">
      <c r="A215" s="101" t="str">
        <f>'Data Vlaue (Cr)'!C210</f>
        <v>UNITDSPR</v>
      </c>
      <c r="B215" s="50">
        <f>VLOOKUP($A215,'Data Vlaue (Cr)'!$C:$FB,8)</f>
        <v>1382.3</v>
      </c>
      <c r="C215" s="50">
        <f>VLOOKUP($A215,'Data Vlaue (Cr)'!$C:$FB,11)*100</f>
        <v>-0.75</v>
      </c>
      <c r="D215" s="50">
        <f>VLOOKUP($A215,'Data Vlaue (Cr)'!$C:$FB,143)</f>
        <v>1553.55</v>
      </c>
      <c r="E215" s="50">
        <f>VLOOKUP($A215,'Data Vlaue (Cr)'!$C:$FB,144)</f>
        <v>2571.86</v>
      </c>
      <c r="F215" s="50">
        <f>VLOOKUP($A215,'Data Vlaue (Cr)'!$C:$FB,146)*100</f>
        <v>-39.589999999999996</v>
      </c>
      <c r="G215" s="49">
        <f>VLOOKUP($A215,'Data Vlaue (Cr)'!$C:$FB,43)</f>
        <v>982</v>
      </c>
      <c r="H215" s="49">
        <f>VLOOKUP($A215,'Data Vlaue (Cr)'!$C:$FB,44)</f>
        <v>479</v>
      </c>
      <c r="I215" s="49">
        <f>VLOOKUP($A215,'Data Vlaue (Cr)'!$C:$FB,46)*100</f>
        <v>104.84</v>
      </c>
      <c r="J215" s="51">
        <f>VLOOKUP($A215,'Data Vlaue (Cr)'!$C:$FB,59)</f>
        <v>367</v>
      </c>
      <c r="K215" s="51">
        <f>VLOOKUP($A215,'Data Vlaue (Cr)'!$C:$FB,60)</f>
        <v>1355</v>
      </c>
      <c r="L215" s="51">
        <f>VLOOKUP($A215,'Data Vlaue (Cr)'!$C:$FB,62)*100</f>
        <v>-72.899999999999991</v>
      </c>
      <c r="M215" s="51">
        <f>VLOOKUP($A215,'Data Vlaue (Cr)'!$C:$FB,63)</f>
        <v>192</v>
      </c>
      <c r="N215" s="51">
        <f>VLOOKUP($A215,'Data Vlaue (Cr)'!$C:$FB,64)</f>
        <v>713</v>
      </c>
      <c r="O215" s="51">
        <f>VLOOKUP($A215,'Data Vlaue (Cr)'!$C:$FB,66)*100</f>
        <v>-73</v>
      </c>
    </row>
    <row r="216" spans="1:15" x14ac:dyDescent="0.25">
      <c r="A216" s="101" t="str">
        <f>'Data Vlaue (Cr)'!C211</f>
        <v>UNOMINDA</v>
      </c>
      <c r="B216" s="50">
        <f>VLOOKUP($A216,'Data Vlaue (Cr)'!$C:$FB,8)</f>
        <v>1130.0999999999999</v>
      </c>
      <c r="C216" s="50">
        <f>VLOOKUP($A216,'Data Vlaue (Cr)'!$C:$FB,11)*100</f>
        <v>-1.8399999999999999</v>
      </c>
      <c r="D216" s="50">
        <f>VLOOKUP($A216,'Data Vlaue (Cr)'!$C:$FB,143)</f>
        <v>678.19</v>
      </c>
      <c r="E216" s="50">
        <f>VLOOKUP($A216,'Data Vlaue (Cr)'!$C:$FB,144)</f>
        <v>317.63</v>
      </c>
      <c r="F216" s="50">
        <f>VLOOKUP($A216,'Data Vlaue (Cr)'!$C:$FB,146)*100</f>
        <v>113.52</v>
      </c>
      <c r="G216" s="49">
        <f>VLOOKUP($A216,'Data Vlaue (Cr)'!$C:$FB,43)</f>
        <v>435</v>
      </c>
      <c r="H216" s="49">
        <f>VLOOKUP($A216,'Data Vlaue (Cr)'!$C:$FB,44)</f>
        <v>76</v>
      </c>
      <c r="I216" s="49">
        <f>VLOOKUP($A216,'Data Vlaue (Cr)'!$C:$FB,46)*100</f>
        <v>472.32000000000005</v>
      </c>
      <c r="J216" s="51">
        <f>VLOOKUP($A216,'Data Vlaue (Cr)'!$C:$FB,59)</f>
        <v>163</v>
      </c>
      <c r="K216" s="51">
        <f>VLOOKUP($A216,'Data Vlaue (Cr)'!$C:$FB,60)</f>
        <v>184</v>
      </c>
      <c r="L216" s="51">
        <f>VLOOKUP($A216,'Data Vlaue (Cr)'!$C:$FB,62)*100</f>
        <v>-11.540000000000001</v>
      </c>
      <c r="M216" s="51">
        <f>VLOOKUP($A216,'Data Vlaue (Cr)'!$C:$FB,63)</f>
        <v>70</v>
      </c>
      <c r="N216" s="51">
        <f>VLOOKUP($A216,'Data Vlaue (Cr)'!$C:$FB,64)</f>
        <v>48</v>
      </c>
      <c r="O216" s="51">
        <f>VLOOKUP($A216,'Data Vlaue (Cr)'!$C:$FB,66)*100</f>
        <v>46.800000000000004</v>
      </c>
    </row>
    <row r="217" spans="1:15" x14ac:dyDescent="0.25">
      <c r="A217" s="101" t="str">
        <f>'Data Vlaue (Cr)'!C212</f>
        <v>UPL</v>
      </c>
      <c r="B217" s="50">
        <f>VLOOKUP($A217,'Data Vlaue (Cr)'!$C:$FB,8)</f>
        <v>642.04999999999995</v>
      </c>
      <c r="C217" s="50">
        <f>VLOOKUP($A217,'Data Vlaue (Cr)'!$C:$FB,11)*100</f>
        <v>-1.7999999999999998</v>
      </c>
      <c r="D217" s="50">
        <f>VLOOKUP($A217,'Data Vlaue (Cr)'!$C:$FB,143)</f>
        <v>2154.4899999999998</v>
      </c>
      <c r="E217" s="50">
        <f>VLOOKUP($A217,'Data Vlaue (Cr)'!$C:$FB,144)</f>
        <v>1075.6300000000001</v>
      </c>
      <c r="F217" s="50">
        <f>VLOOKUP($A217,'Data Vlaue (Cr)'!$C:$FB,146)*100</f>
        <v>100.29999999999998</v>
      </c>
      <c r="G217" s="49">
        <f>VLOOKUP($A217,'Data Vlaue (Cr)'!$C:$FB,43)</f>
        <v>1191</v>
      </c>
      <c r="H217" s="49">
        <f>VLOOKUP($A217,'Data Vlaue (Cr)'!$C:$FB,44)</f>
        <v>343</v>
      </c>
      <c r="I217" s="49">
        <f>VLOOKUP($A217,'Data Vlaue (Cr)'!$C:$FB,46)*100</f>
        <v>246.82</v>
      </c>
      <c r="J217" s="51">
        <f>VLOOKUP($A217,'Data Vlaue (Cr)'!$C:$FB,59)</f>
        <v>576</v>
      </c>
      <c r="K217" s="51">
        <f>VLOOKUP($A217,'Data Vlaue (Cr)'!$C:$FB,60)</f>
        <v>436</v>
      </c>
      <c r="L217" s="51">
        <f>VLOOKUP($A217,'Data Vlaue (Cr)'!$C:$FB,62)*100</f>
        <v>32.190000000000005</v>
      </c>
      <c r="M217" s="51">
        <f>VLOOKUP($A217,'Data Vlaue (Cr)'!$C:$FB,63)</f>
        <v>347</v>
      </c>
      <c r="N217" s="51">
        <f>VLOOKUP($A217,'Data Vlaue (Cr)'!$C:$FB,64)</f>
        <v>264</v>
      </c>
      <c r="O217" s="51">
        <f>VLOOKUP($A217,'Data Vlaue (Cr)'!$C:$FB,66)*100</f>
        <v>31.240000000000002</v>
      </c>
    </row>
    <row r="218" spans="1:15" x14ac:dyDescent="0.25">
      <c r="A218" s="101" t="str">
        <f>'Data Vlaue (Cr)'!C213</f>
        <v>VBL</v>
      </c>
      <c r="B218" s="50">
        <f>VLOOKUP($A218,'Data Vlaue (Cr)'!$C:$FB,8)</f>
        <v>484.25</v>
      </c>
      <c r="C218" s="50">
        <f>VLOOKUP($A218,'Data Vlaue (Cr)'!$C:$FB,11)*100</f>
        <v>-2.16</v>
      </c>
      <c r="D218" s="50">
        <f>VLOOKUP($A218,'Data Vlaue (Cr)'!$C:$FB,143)</f>
        <v>3882.23</v>
      </c>
      <c r="E218" s="50">
        <f>VLOOKUP($A218,'Data Vlaue (Cr)'!$C:$FB,144)</f>
        <v>3581.94</v>
      </c>
      <c r="F218" s="50">
        <f>VLOOKUP($A218,'Data Vlaue (Cr)'!$C:$FB,146)*100</f>
        <v>8.3800000000000008</v>
      </c>
      <c r="G218" s="49">
        <f>VLOOKUP($A218,'Data Vlaue (Cr)'!$C:$FB,43)</f>
        <v>1903</v>
      </c>
      <c r="H218" s="49">
        <f>VLOOKUP($A218,'Data Vlaue (Cr)'!$C:$FB,44)</f>
        <v>619</v>
      </c>
      <c r="I218" s="49">
        <f>VLOOKUP($A218,'Data Vlaue (Cr)'!$C:$FB,46)*100</f>
        <v>207.64000000000001</v>
      </c>
      <c r="J218" s="51">
        <f>VLOOKUP($A218,'Data Vlaue (Cr)'!$C:$FB,59)</f>
        <v>1236</v>
      </c>
      <c r="K218" s="51">
        <f>VLOOKUP($A218,'Data Vlaue (Cr)'!$C:$FB,60)</f>
        <v>1953</v>
      </c>
      <c r="L218" s="51">
        <f>VLOOKUP($A218,'Data Vlaue (Cr)'!$C:$FB,62)*100</f>
        <v>-36.69</v>
      </c>
      <c r="M218" s="51">
        <f>VLOOKUP($A218,'Data Vlaue (Cr)'!$C:$FB,63)</f>
        <v>693</v>
      </c>
      <c r="N218" s="51">
        <f>VLOOKUP($A218,'Data Vlaue (Cr)'!$C:$FB,64)</f>
        <v>911</v>
      </c>
      <c r="O218" s="51">
        <f>VLOOKUP($A218,'Data Vlaue (Cr)'!$C:$FB,66)*100</f>
        <v>-23.97</v>
      </c>
    </row>
    <row r="219" spans="1:15" x14ac:dyDescent="0.25">
      <c r="A219" s="101" t="str">
        <f>'Data Vlaue (Cr)'!C214</f>
        <v>VEDL</v>
      </c>
      <c r="B219" s="50">
        <f>VLOOKUP($A219,'Data Vlaue (Cr)'!$C:$FB,8)</f>
        <v>735.6</v>
      </c>
      <c r="C219" s="50">
        <f>VLOOKUP($A219,'Data Vlaue (Cr)'!$C:$FB,11)*100</f>
        <v>-2.83</v>
      </c>
      <c r="D219" s="50">
        <f>VLOOKUP($A219,'Data Vlaue (Cr)'!$C:$FB,143)</f>
        <v>12996.87</v>
      </c>
      <c r="E219" s="50">
        <f>VLOOKUP($A219,'Data Vlaue (Cr)'!$C:$FB,144)</f>
        <v>11598.47</v>
      </c>
      <c r="F219" s="50">
        <f>VLOOKUP($A219,'Data Vlaue (Cr)'!$C:$FB,146)*100</f>
        <v>12.06</v>
      </c>
      <c r="G219" s="49">
        <f>VLOOKUP($A219,'Data Vlaue (Cr)'!$C:$FB,43)</f>
        <v>1809</v>
      </c>
      <c r="H219" s="49">
        <f>VLOOKUP($A219,'Data Vlaue (Cr)'!$C:$FB,44)</f>
        <v>1124</v>
      </c>
      <c r="I219" s="49">
        <f>VLOOKUP($A219,'Data Vlaue (Cr)'!$C:$FB,46)*100</f>
        <v>60.89</v>
      </c>
      <c r="J219" s="51">
        <f>VLOOKUP($A219,'Data Vlaue (Cr)'!$C:$FB,59)</f>
        <v>7128</v>
      </c>
      <c r="K219" s="51">
        <f>VLOOKUP($A219,'Data Vlaue (Cr)'!$C:$FB,60)</f>
        <v>6225</v>
      </c>
      <c r="L219" s="51">
        <f>VLOOKUP($A219,'Data Vlaue (Cr)'!$C:$FB,62)*100</f>
        <v>14.499999999999998</v>
      </c>
      <c r="M219" s="51">
        <f>VLOOKUP($A219,'Data Vlaue (Cr)'!$C:$FB,63)</f>
        <v>3600</v>
      </c>
      <c r="N219" s="51">
        <f>VLOOKUP($A219,'Data Vlaue (Cr)'!$C:$FB,64)</f>
        <v>3575</v>
      </c>
      <c r="O219" s="51">
        <f>VLOOKUP($A219,'Data Vlaue (Cr)'!$C:$FB,66)*100</f>
        <v>0.71000000000000008</v>
      </c>
    </row>
    <row r="220" spans="1:15" x14ac:dyDescent="0.25">
      <c r="A220" s="101" t="str">
        <f>'Data Vlaue (Cr)'!C215</f>
        <v>VMM</v>
      </c>
      <c r="B220" s="50">
        <f>VLOOKUP($A220,'Data Vlaue (Cr)'!$C:$FB,8)</f>
        <v>126.16</v>
      </c>
      <c r="C220" s="50">
        <f>VLOOKUP($A220,'Data Vlaue (Cr)'!$C:$FB,11)*100</f>
        <v>1.28</v>
      </c>
      <c r="D220" s="50">
        <f>VLOOKUP($A220,'Data Vlaue (Cr)'!$C:$FB,143)</f>
        <v>475.68</v>
      </c>
      <c r="E220" s="50">
        <f>VLOOKUP($A220,'Data Vlaue (Cr)'!$C:$FB,144)</f>
        <v>154.93</v>
      </c>
      <c r="F220" s="50">
        <f>VLOOKUP($A220,'Data Vlaue (Cr)'!$C:$FB,146)*100</f>
        <v>207.04</v>
      </c>
      <c r="G220" s="49">
        <f>VLOOKUP($A220,'Data Vlaue (Cr)'!$C:$FB,43)</f>
        <v>327</v>
      </c>
      <c r="H220" s="49">
        <f>VLOOKUP($A220,'Data Vlaue (Cr)'!$C:$FB,44)</f>
        <v>65</v>
      </c>
      <c r="I220" s="49">
        <f>VLOOKUP($A220,'Data Vlaue (Cr)'!$C:$FB,46)*100</f>
        <v>404.81999999999994</v>
      </c>
      <c r="J220" s="51">
        <f>VLOOKUP($A220,'Data Vlaue (Cr)'!$C:$FB,59)</f>
        <v>120</v>
      </c>
      <c r="K220" s="51">
        <f>VLOOKUP($A220,'Data Vlaue (Cr)'!$C:$FB,60)</f>
        <v>65</v>
      </c>
      <c r="L220" s="51">
        <f>VLOOKUP($A220,'Data Vlaue (Cr)'!$C:$FB,62)*100</f>
        <v>85.31</v>
      </c>
      <c r="M220" s="51">
        <f>VLOOKUP($A220,'Data Vlaue (Cr)'!$C:$FB,63)</f>
        <v>23</v>
      </c>
      <c r="N220" s="51">
        <f>VLOOKUP($A220,'Data Vlaue (Cr)'!$C:$FB,64)</f>
        <v>28</v>
      </c>
      <c r="O220" s="51">
        <f>VLOOKUP($A220,'Data Vlaue (Cr)'!$C:$FB,66)*100</f>
        <v>-16.809999999999999</v>
      </c>
    </row>
    <row r="221" spans="1:15" x14ac:dyDescent="0.25">
      <c r="A221" s="101" t="str">
        <f>'Data Vlaue (Cr)'!C216</f>
        <v>VOLTAS</v>
      </c>
      <c r="B221" s="50">
        <f>VLOOKUP($A221,'Data Vlaue (Cr)'!$C:$FB,8)</f>
        <v>1445.5</v>
      </c>
      <c r="C221" s="50">
        <f>VLOOKUP($A221,'Data Vlaue (Cr)'!$C:$FB,11)*100</f>
        <v>-2.44</v>
      </c>
      <c r="D221" s="50">
        <f>VLOOKUP($A221,'Data Vlaue (Cr)'!$C:$FB,143)</f>
        <v>3242.74</v>
      </c>
      <c r="E221" s="50">
        <f>VLOOKUP($A221,'Data Vlaue (Cr)'!$C:$FB,144)</f>
        <v>3094.32</v>
      </c>
      <c r="F221" s="50">
        <f>VLOOKUP($A221,'Data Vlaue (Cr)'!$C:$FB,146)*100</f>
        <v>4.8</v>
      </c>
      <c r="G221" s="49">
        <f>VLOOKUP($A221,'Data Vlaue (Cr)'!$C:$FB,43)</f>
        <v>1083</v>
      </c>
      <c r="H221" s="49">
        <f>VLOOKUP($A221,'Data Vlaue (Cr)'!$C:$FB,44)</f>
        <v>478</v>
      </c>
      <c r="I221" s="49">
        <f>VLOOKUP($A221,'Data Vlaue (Cr)'!$C:$FB,46)*100</f>
        <v>126.44999999999999</v>
      </c>
      <c r="J221" s="51">
        <f>VLOOKUP($A221,'Data Vlaue (Cr)'!$C:$FB,59)</f>
        <v>1164</v>
      </c>
      <c r="K221" s="51">
        <f>VLOOKUP($A221,'Data Vlaue (Cr)'!$C:$FB,60)</f>
        <v>1587</v>
      </c>
      <c r="L221" s="51">
        <f>VLOOKUP($A221,'Data Vlaue (Cr)'!$C:$FB,62)*100</f>
        <v>-26.68</v>
      </c>
      <c r="M221" s="51">
        <f>VLOOKUP($A221,'Data Vlaue (Cr)'!$C:$FB,63)</f>
        <v>977</v>
      </c>
      <c r="N221" s="51">
        <f>VLOOKUP($A221,'Data Vlaue (Cr)'!$C:$FB,64)</f>
        <v>947</v>
      </c>
      <c r="O221" s="51">
        <f>VLOOKUP($A221,'Data Vlaue (Cr)'!$C:$FB,66)*100</f>
        <v>3.17</v>
      </c>
    </row>
    <row r="222" spans="1:15" x14ac:dyDescent="0.25">
      <c r="A222" s="101" t="str">
        <f>'Data Vlaue (Cr)'!C217</f>
        <v>WAAREEENER</v>
      </c>
      <c r="B222" s="50">
        <f>VLOOKUP($A222,'Data Vlaue (Cr)'!$C:$FB,8)</f>
        <v>3413</v>
      </c>
      <c r="C222" s="50">
        <f>VLOOKUP($A222,'Data Vlaue (Cr)'!$C:$FB,11)*100</f>
        <v>-0.43</v>
      </c>
      <c r="D222" s="50">
        <f>VLOOKUP($A222,'Data Vlaue (Cr)'!$C:$FB,143)</f>
        <v>3455.41</v>
      </c>
      <c r="E222" s="50">
        <f>VLOOKUP($A222,'Data Vlaue (Cr)'!$C:$FB,144)</f>
        <v>3159.43</v>
      </c>
      <c r="F222" s="50">
        <f>VLOOKUP($A222,'Data Vlaue (Cr)'!$C:$FB,146)*100</f>
        <v>9.370000000000001</v>
      </c>
      <c r="G222" s="49">
        <f>VLOOKUP($A222,'Data Vlaue (Cr)'!$C:$FB,43)</f>
        <v>1000</v>
      </c>
      <c r="H222" s="49">
        <f>VLOOKUP($A222,'Data Vlaue (Cr)'!$C:$FB,44)</f>
        <v>413</v>
      </c>
      <c r="I222" s="49">
        <f>VLOOKUP($A222,'Data Vlaue (Cr)'!$C:$FB,46)*100</f>
        <v>141.87</v>
      </c>
      <c r="J222" s="51">
        <f>VLOOKUP($A222,'Data Vlaue (Cr)'!$C:$FB,59)</f>
        <v>1479</v>
      </c>
      <c r="K222" s="51">
        <f>VLOOKUP($A222,'Data Vlaue (Cr)'!$C:$FB,60)</f>
        <v>1675</v>
      </c>
      <c r="L222" s="51">
        <f>VLOOKUP($A222,'Data Vlaue (Cr)'!$C:$FB,62)*100</f>
        <v>-11.68</v>
      </c>
      <c r="M222" s="51">
        <f>VLOOKUP($A222,'Data Vlaue (Cr)'!$C:$FB,63)</f>
        <v>905</v>
      </c>
      <c r="N222" s="51">
        <f>VLOOKUP($A222,'Data Vlaue (Cr)'!$C:$FB,64)</f>
        <v>970</v>
      </c>
      <c r="O222" s="51">
        <f>VLOOKUP($A222,'Data Vlaue (Cr)'!$C:$FB,66)*100</f>
        <v>-6.7100000000000009</v>
      </c>
    </row>
    <row r="223" spans="1:15" x14ac:dyDescent="0.25">
      <c r="A223" s="101" t="str">
        <f>'Data Vlaue (Cr)'!C218</f>
        <v>WIPRO</v>
      </c>
      <c r="B223" s="50">
        <f>VLOOKUP($A223,'Data Vlaue (Cr)'!$C:$FB,8)</f>
        <v>202.76</v>
      </c>
      <c r="C223" s="50">
        <f>VLOOKUP($A223,'Data Vlaue (Cr)'!$C:$FB,11)*100</f>
        <v>-0.61</v>
      </c>
      <c r="D223" s="50">
        <f>VLOOKUP($A223,'Data Vlaue (Cr)'!$C:$FB,143)</f>
        <v>8212</v>
      </c>
      <c r="E223" s="50">
        <f>VLOOKUP($A223,'Data Vlaue (Cr)'!$C:$FB,144)</f>
        <v>7793.88</v>
      </c>
      <c r="F223" s="50">
        <f>VLOOKUP($A223,'Data Vlaue (Cr)'!$C:$FB,146)*100</f>
        <v>5.36</v>
      </c>
      <c r="G223" s="49">
        <f>VLOOKUP($A223,'Data Vlaue (Cr)'!$C:$FB,43)</f>
        <v>3956</v>
      </c>
      <c r="H223" s="49">
        <f>VLOOKUP($A223,'Data Vlaue (Cr)'!$C:$FB,44)</f>
        <v>1524</v>
      </c>
      <c r="I223" s="49">
        <f>VLOOKUP($A223,'Data Vlaue (Cr)'!$C:$FB,46)*100</f>
        <v>159.63</v>
      </c>
      <c r="J223" s="51">
        <f>VLOOKUP($A223,'Data Vlaue (Cr)'!$C:$FB,59)</f>
        <v>2634</v>
      </c>
      <c r="K223" s="51">
        <f>VLOOKUP($A223,'Data Vlaue (Cr)'!$C:$FB,60)</f>
        <v>3862</v>
      </c>
      <c r="L223" s="51">
        <f>VLOOKUP($A223,'Data Vlaue (Cr)'!$C:$FB,62)*100</f>
        <v>-31.819999999999997</v>
      </c>
      <c r="M223" s="51">
        <f>VLOOKUP($A223,'Data Vlaue (Cr)'!$C:$FB,63)</f>
        <v>1555</v>
      </c>
      <c r="N223" s="51">
        <f>VLOOKUP($A223,'Data Vlaue (Cr)'!$C:$FB,64)</f>
        <v>2249</v>
      </c>
      <c r="O223" s="51">
        <f>VLOOKUP($A223,'Data Vlaue (Cr)'!$C:$FB,66)*100</f>
        <v>-30.85</v>
      </c>
    </row>
    <row r="224" spans="1:15" x14ac:dyDescent="0.25">
      <c r="A224" s="101" t="str">
        <f>'Data Vlaue (Cr)'!C219</f>
        <v>YESBANK</v>
      </c>
      <c r="B224" s="50">
        <f>VLOOKUP($A224,'Data Vlaue (Cr)'!$C:$FB,8)</f>
        <v>20.03</v>
      </c>
      <c r="C224" s="50">
        <f>VLOOKUP($A224,'Data Vlaue (Cr)'!$C:$FB,11)*100</f>
        <v>0.2</v>
      </c>
      <c r="D224" s="50">
        <f>VLOOKUP($A224,'Data Vlaue (Cr)'!$C:$FB,143)</f>
        <v>2487.83</v>
      </c>
      <c r="E224" s="50">
        <f>VLOOKUP($A224,'Data Vlaue (Cr)'!$C:$FB,144)</f>
        <v>2248.4299999999998</v>
      </c>
      <c r="F224" s="50">
        <f>VLOOKUP($A224,'Data Vlaue (Cr)'!$C:$FB,146)*100</f>
        <v>10.65</v>
      </c>
      <c r="G224" s="49">
        <f>VLOOKUP($A224,'Data Vlaue (Cr)'!$C:$FB,43)</f>
        <v>1245</v>
      </c>
      <c r="H224" s="49">
        <f>VLOOKUP($A224,'Data Vlaue (Cr)'!$C:$FB,44)</f>
        <v>415</v>
      </c>
      <c r="I224" s="49">
        <f>VLOOKUP($A224,'Data Vlaue (Cr)'!$C:$FB,46)*100</f>
        <v>199.63</v>
      </c>
      <c r="J224" s="51">
        <f>VLOOKUP($A224,'Data Vlaue (Cr)'!$C:$FB,59)</f>
        <v>827</v>
      </c>
      <c r="K224" s="51">
        <f>VLOOKUP($A224,'Data Vlaue (Cr)'!$C:$FB,60)</f>
        <v>1328</v>
      </c>
      <c r="L224" s="51">
        <f>VLOOKUP($A224,'Data Vlaue (Cr)'!$C:$FB,62)*100</f>
        <v>-37.72</v>
      </c>
      <c r="M224" s="51">
        <f>VLOOKUP($A224,'Data Vlaue (Cr)'!$C:$FB,63)</f>
        <v>370</v>
      </c>
      <c r="N224" s="51">
        <f>VLOOKUP($A224,'Data Vlaue (Cr)'!$C:$FB,64)</f>
        <v>413</v>
      </c>
      <c r="O224" s="51">
        <f>VLOOKUP($A224,'Data Vlaue (Cr)'!$C:$FB,66)*100</f>
        <v>-10.38</v>
      </c>
    </row>
    <row r="225" spans="1:15" x14ac:dyDescent="0.25">
      <c r="A225" s="101" t="str">
        <f>'Data Vlaue (Cr)'!C220</f>
        <v>ZYDUSLIFE</v>
      </c>
      <c r="B225" s="50">
        <f>VLOOKUP($A225,'Data Vlaue (Cr)'!$C:$FB,8)</f>
        <v>946.35</v>
      </c>
      <c r="C225" s="50">
        <f>VLOOKUP($A225,'Data Vlaue (Cr)'!$C:$FB,11)*100</f>
        <v>1.77</v>
      </c>
      <c r="D225" s="50">
        <f>VLOOKUP($A225,'Data Vlaue (Cr)'!$C:$FB,143)</f>
        <v>3045.73</v>
      </c>
      <c r="E225" s="50">
        <f>VLOOKUP($A225,'Data Vlaue (Cr)'!$C:$FB,144)</f>
        <v>476.24</v>
      </c>
      <c r="F225" s="50">
        <f>VLOOKUP($A225,'Data Vlaue (Cr)'!$C:$FB,146)*100</f>
        <v>539.54000000000008</v>
      </c>
      <c r="G225" s="49">
        <f>VLOOKUP($A225,'Data Vlaue (Cr)'!$C:$FB,43)</f>
        <v>909</v>
      </c>
      <c r="H225" s="49">
        <f>VLOOKUP($A225,'Data Vlaue (Cr)'!$C:$FB,44)</f>
        <v>136</v>
      </c>
      <c r="I225" s="49">
        <f>VLOOKUP($A225,'Data Vlaue (Cr)'!$C:$FB,46)*100</f>
        <v>570.09999999999991</v>
      </c>
      <c r="J225" s="51">
        <f>VLOOKUP($A225,'Data Vlaue (Cr)'!$C:$FB,59)</f>
        <v>1666</v>
      </c>
      <c r="K225" s="51">
        <f>VLOOKUP($A225,'Data Vlaue (Cr)'!$C:$FB,60)</f>
        <v>270</v>
      </c>
      <c r="L225" s="51">
        <f>VLOOKUP($A225,'Data Vlaue (Cr)'!$C:$FB,62)*100</f>
        <v>518.27</v>
      </c>
      <c r="M225" s="51">
        <f>VLOOKUP($A225,'Data Vlaue (Cr)'!$C:$FB,63)</f>
        <v>420</v>
      </c>
      <c r="N225" s="51">
        <f>VLOOKUP($A225,'Data Vlaue (Cr)'!$C:$FB,64)</f>
        <v>71</v>
      </c>
      <c r="O225" s="51">
        <f>VLOOKUP($A225,'Data Vlaue (Cr)'!$C:$FB,66)*100</f>
        <v>496.01</v>
      </c>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7870349.2600000016</v>
      </c>
      <c r="E232" s="131">
        <f>SUM(E7:E231)</f>
        <v>7107424.5299999993</v>
      </c>
      <c r="F232" s="132">
        <f>(D232-E232)/E232</f>
        <v>0.10734193895126767</v>
      </c>
      <c r="G232" s="131">
        <f>SUM(G7:G231)</f>
        <v>344038</v>
      </c>
      <c r="H232" s="131">
        <f>SUM(H7:H231)</f>
        <v>154410</v>
      </c>
      <c r="I232" s="132">
        <f>(G232-H232)/H232</f>
        <v>1.2280810828314228</v>
      </c>
      <c r="J232" s="131">
        <f>SUM(J7:J231)</f>
        <v>4036452</v>
      </c>
      <c r="K232" s="131">
        <f>SUM(K7:K231)</f>
        <v>3475590</v>
      </c>
      <c r="L232" s="132">
        <f>(J232-K232)/K232</f>
        <v>0.16137173832356522</v>
      </c>
      <c r="M232" s="131">
        <f>SUM(M7:M231)</f>
        <v>3415247</v>
      </c>
      <c r="N232" s="131">
        <f>SUM(N7:N231)</f>
        <v>3370576</v>
      </c>
      <c r="O232" s="132">
        <f>(M232-N232)/N232</f>
        <v>1.3253224374706281E-2</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33"/>
  <sheetViews>
    <sheetView workbookViewId="0">
      <pane ySplit="6" topLeftCell="A195" activePane="bottomLeft" state="frozen"/>
      <selection pane="bottomLeft" activeCell="A7" sqref="A7:A225"/>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2" t="s">
        <v>315</v>
      </c>
      <c r="B3" s="299"/>
      <c r="C3" s="299"/>
      <c r="D3" s="299"/>
      <c r="E3" s="299"/>
      <c r="F3" s="299"/>
      <c r="G3" s="299"/>
      <c r="H3" s="299"/>
      <c r="I3" s="299"/>
      <c r="J3" s="299"/>
      <c r="K3" s="299"/>
      <c r="L3" s="299"/>
      <c r="M3" s="299"/>
      <c r="N3" s="299"/>
      <c r="O3" s="300"/>
    </row>
    <row r="4" spans="1:15" x14ac:dyDescent="0.25">
      <c r="A4" s="303" t="s">
        <v>330</v>
      </c>
      <c r="B4" s="303" t="s">
        <v>308</v>
      </c>
      <c r="C4" s="303"/>
      <c r="D4" s="303" t="s">
        <v>361</v>
      </c>
      <c r="E4" s="303"/>
      <c r="F4" s="303"/>
      <c r="G4" s="303"/>
      <c r="H4" s="303"/>
      <c r="I4" s="303"/>
      <c r="J4" s="303"/>
      <c r="K4" s="303"/>
      <c r="L4" s="303"/>
      <c r="M4" s="303"/>
      <c r="N4" s="303"/>
      <c r="O4" s="303"/>
    </row>
    <row r="5" spans="1:15" x14ac:dyDescent="0.25">
      <c r="A5" s="304"/>
      <c r="B5" s="304" t="s">
        <v>312</v>
      </c>
      <c r="C5" s="304"/>
      <c r="D5" s="304" t="s">
        <v>315</v>
      </c>
      <c r="E5" s="304"/>
      <c r="F5" s="304"/>
      <c r="G5" s="304" t="s">
        <v>362</v>
      </c>
      <c r="H5" s="304"/>
      <c r="I5" s="304"/>
      <c r="J5" s="304" t="s">
        <v>363</v>
      </c>
      <c r="K5" s="304"/>
      <c r="L5" s="304"/>
      <c r="M5" s="304" t="s">
        <v>364</v>
      </c>
      <c r="N5" s="304"/>
      <c r="O5" s="304"/>
    </row>
    <row r="6" spans="1:15" x14ac:dyDescent="0.25">
      <c r="A6" s="34" t="s">
        <v>318</v>
      </c>
      <c r="B6" s="21">
        <f>'Total Value'!B6</f>
        <v>46135</v>
      </c>
      <c r="C6" s="34" t="s">
        <v>328</v>
      </c>
      <c r="D6" s="21">
        <f>B6</f>
        <v>46135</v>
      </c>
      <c r="E6" s="34" t="s">
        <v>322</v>
      </c>
      <c r="F6" s="34" t="s">
        <v>328</v>
      </c>
      <c r="G6" s="21">
        <f>D6</f>
        <v>46135</v>
      </c>
      <c r="H6" s="34" t="s">
        <v>322</v>
      </c>
      <c r="I6" s="34" t="s">
        <v>328</v>
      </c>
      <c r="J6" s="21">
        <f>D6</f>
        <v>46135</v>
      </c>
      <c r="K6" s="34" t="s">
        <v>322</v>
      </c>
      <c r="L6" s="34" t="s">
        <v>328</v>
      </c>
      <c r="M6" s="21">
        <f>D6</f>
        <v>46135</v>
      </c>
      <c r="N6" s="34" t="s">
        <v>322</v>
      </c>
      <c r="O6" s="34" t="s">
        <v>328</v>
      </c>
    </row>
    <row r="7" spans="1:15" x14ac:dyDescent="0.25">
      <c r="A7" s="101" t="str">
        <f>'Data Vlaue (Cr)'!C2</f>
        <v>360ONE</v>
      </c>
      <c r="B7" s="50">
        <f>VLOOKUP($A7,'Data shares'!$C:$FB,7)</f>
        <v>1052.25</v>
      </c>
      <c r="C7" s="50">
        <f>VLOOKUP($A7,'Data shares'!$C:$FB,10)*100</f>
        <v>-0.25</v>
      </c>
      <c r="D7" s="49">
        <f>VLOOKUP($A7,'Data shares'!$C:$FB,66)</f>
        <v>12505000</v>
      </c>
      <c r="E7" s="49">
        <f>VLOOKUP($A7,'Data shares'!$C:$FB,67)</f>
        <v>43919500</v>
      </c>
      <c r="F7" s="50">
        <f>VLOOKUP($A7,'Data shares'!$C:$FB,69)*100</f>
        <v>-71.53</v>
      </c>
      <c r="G7" s="49">
        <f>VLOOKUP($A7,'Data shares'!$C:$FB,42)</f>
        <v>3331000</v>
      </c>
      <c r="H7" s="49">
        <f>VLOOKUP($A7,'Data shares'!$C:$FB,43)</f>
        <v>5604000</v>
      </c>
      <c r="I7" s="50">
        <f>VLOOKUP($A7,'Data shares'!$C:$FB,45)*100</f>
        <v>-40.56</v>
      </c>
      <c r="J7" s="49">
        <f>VLOOKUP($A7,'Data shares'!$C:$FB,58)</f>
        <v>7040000</v>
      </c>
      <c r="K7" s="49">
        <f>VLOOKUP($A7,'Data shares'!$C:$FB,59)</f>
        <v>24967000</v>
      </c>
      <c r="L7" s="50">
        <f>VLOOKUP($A7,'Data shares'!$C:$FB,61)*100</f>
        <v>-71.8</v>
      </c>
      <c r="M7" s="49">
        <f>VLOOKUP($A7,'Data shares'!$C:$FB,62)</f>
        <v>2134000</v>
      </c>
      <c r="N7" s="49">
        <f>VLOOKUP($A7,'Data shares'!$C:$FB,63)</f>
        <v>13348500</v>
      </c>
      <c r="O7" s="140">
        <f>VLOOKUP($A7,'Data shares'!$C:$FB,65)*100</f>
        <v>-84.009999999999991</v>
      </c>
    </row>
    <row r="8" spans="1:15" x14ac:dyDescent="0.25">
      <c r="A8" s="101" t="str">
        <f>'Data Vlaue (Cr)'!C3</f>
        <v>ABB</v>
      </c>
      <c r="B8" s="50">
        <f>VLOOKUP($A8,'Data shares'!$C:$FB,7)</f>
        <v>7575.5</v>
      </c>
      <c r="C8" s="50">
        <f>VLOOKUP($A8,'Data shares'!$C:$FB,10)*100</f>
        <v>-0.15</v>
      </c>
      <c r="D8" s="49">
        <f>VLOOKUP($A8,'Data shares'!$C:$FB,66)</f>
        <v>8476375</v>
      </c>
      <c r="E8" s="49">
        <f>VLOOKUP($A8,'Data shares'!$C:$FB,67)</f>
        <v>40244125</v>
      </c>
      <c r="F8" s="50">
        <f>VLOOKUP($A8,'Data shares'!$C:$FB,69)*100</f>
        <v>-78.94</v>
      </c>
      <c r="G8" s="49">
        <f>VLOOKUP($A8,'Data shares'!$C:$FB,42)</f>
        <v>2051000</v>
      </c>
      <c r="H8" s="49">
        <f>VLOOKUP($A8,'Data shares'!$C:$FB,43)</f>
        <v>3091875</v>
      </c>
      <c r="I8" s="50">
        <f>VLOOKUP($A8,'Data shares'!$C:$FB,45)*100</f>
        <v>-33.660000000000004</v>
      </c>
      <c r="J8" s="49">
        <f>VLOOKUP($A8,'Data shares'!$C:$FB,58)</f>
        <v>4229875</v>
      </c>
      <c r="K8" s="49">
        <f>VLOOKUP($A8,'Data shares'!$C:$FB,59)</f>
        <v>24945750</v>
      </c>
      <c r="L8" s="50">
        <f>VLOOKUP($A8,'Data shares'!$C:$FB,61)*100</f>
        <v>-83.04</v>
      </c>
      <c r="M8" s="49">
        <f>VLOOKUP($A8,'Data shares'!$C:$FB,62)</f>
        <v>2195500</v>
      </c>
      <c r="N8" s="49">
        <f>VLOOKUP($A8,'Data shares'!$C:$FB,63)</f>
        <v>12206500</v>
      </c>
      <c r="O8" s="140">
        <f>VLOOKUP($A8,'Data shares'!$C:$FB,65)*100</f>
        <v>-82.01</v>
      </c>
    </row>
    <row r="9" spans="1:15" x14ac:dyDescent="0.25">
      <c r="A9" s="101" t="str">
        <f>'Data Vlaue (Cr)'!C4</f>
        <v>ABCAPITAL</v>
      </c>
      <c r="B9" s="50">
        <f>VLOOKUP($A9,'Data shares'!$C:$FB,7)</f>
        <v>349.75</v>
      </c>
      <c r="C9" s="50">
        <f>VLOOKUP($A9,'Data shares'!$C:$FB,10)*100</f>
        <v>-0.27</v>
      </c>
      <c r="D9" s="49">
        <f>VLOOKUP($A9,'Data shares'!$C:$FB,66)</f>
        <v>56444800</v>
      </c>
      <c r="E9" s="49">
        <f>VLOOKUP($A9,'Data shares'!$C:$FB,67)</f>
        <v>59120100</v>
      </c>
      <c r="F9" s="50">
        <f>VLOOKUP($A9,'Data shares'!$C:$FB,69)*100</f>
        <v>-4.53</v>
      </c>
      <c r="G9" s="49">
        <f>VLOOKUP($A9,'Data shares'!$C:$FB,42)</f>
        <v>26508100</v>
      </c>
      <c r="H9" s="49">
        <f>VLOOKUP($A9,'Data shares'!$C:$FB,43)</f>
        <v>8890800</v>
      </c>
      <c r="I9" s="50">
        <f>VLOOKUP($A9,'Data shares'!$C:$FB,45)*100</f>
        <v>198.15</v>
      </c>
      <c r="J9" s="49">
        <f>VLOOKUP($A9,'Data shares'!$C:$FB,58)</f>
        <v>19533100</v>
      </c>
      <c r="K9" s="49">
        <f>VLOOKUP($A9,'Data shares'!$C:$FB,59)</f>
        <v>31911400</v>
      </c>
      <c r="L9" s="50">
        <f>VLOOKUP($A9,'Data shares'!$C:$FB,61)*100</f>
        <v>-38.79</v>
      </c>
      <c r="M9" s="49">
        <f>VLOOKUP($A9,'Data shares'!$C:$FB,62)</f>
        <v>10403600</v>
      </c>
      <c r="N9" s="49">
        <f>VLOOKUP($A9,'Data shares'!$C:$FB,63)</f>
        <v>18317900</v>
      </c>
      <c r="O9" s="140">
        <f>VLOOKUP($A9,'Data shares'!$C:$FB,65)*100</f>
        <v>-43.21</v>
      </c>
    </row>
    <row r="10" spans="1:15" x14ac:dyDescent="0.25">
      <c r="A10" s="101" t="str">
        <f>'Data Vlaue (Cr)'!C5</f>
        <v>ADANIENSOL</v>
      </c>
      <c r="B10" s="50">
        <f>VLOOKUP($A10,'Data shares'!$C:$FB,7)</f>
        <v>1361.25</v>
      </c>
      <c r="C10" s="50">
        <f>VLOOKUP($A10,'Data shares'!$C:$FB,10)*100</f>
        <v>-0.5</v>
      </c>
      <c r="D10" s="49">
        <f>VLOOKUP($A10,'Data shares'!$C:$FB,66)</f>
        <v>42749775</v>
      </c>
      <c r="E10" s="49">
        <f>VLOOKUP($A10,'Data shares'!$C:$FB,67)</f>
        <v>56144475</v>
      </c>
      <c r="F10" s="50">
        <f>VLOOKUP($A10,'Data shares'!$C:$FB,69)*100</f>
        <v>-23.86</v>
      </c>
      <c r="G10" s="49">
        <f>VLOOKUP($A10,'Data shares'!$C:$FB,42)</f>
        <v>11638350</v>
      </c>
      <c r="H10" s="49">
        <f>VLOOKUP($A10,'Data shares'!$C:$FB,43)</f>
        <v>8711550</v>
      </c>
      <c r="I10" s="50">
        <f>VLOOKUP($A10,'Data shares'!$C:$FB,45)*100</f>
        <v>33.6</v>
      </c>
      <c r="J10" s="49">
        <f>VLOOKUP($A10,'Data shares'!$C:$FB,58)</f>
        <v>23179500</v>
      </c>
      <c r="K10" s="49">
        <f>VLOOKUP($A10,'Data shares'!$C:$FB,59)</f>
        <v>35981550</v>
      </c>
      <c r="L10" s="50">
        <f>VLOOKUP($A10,'Data shares'!$C:$FB,61)*100</f>
        <v>-35.58</v>
      </c>
      <c r="M10" s="49">
        <f>VLOOKUP($A10,'Data shares'!$C:$FB,62)</f>
        <v>7931925</v>
      </c>
      <c r="N10" s="49">
        <f>VLOOKUP($A10,'Data shares'!$C:$FB,63)</f>
        <v>11451375</v>
      </c>
      <c r="O10" s="140">
        <f>VLOOKUP($A10,'Data shares'!$C:$FB,65)*100</f>
        <v>-30.73</v>
      </c>
    </row>
    <row r="11" spans="1:15" x14ac:dyDescent="0.25">
      <c r="A11" s="101" t="str">
        <f>'Data Vlaue (Cr)'!C6</f>
        <v>ADANIENT</v>
      </c>
      <c r="B11" s="50">
        <f>VLOOKUP($A11,'Data shares'!$C:$FB,7)</f>
        <v>2300</v>
      </c>
      <c r="C11" s="50">
        <f>VLOOKUP($A11,'Data shares'!$C:$FB,10)*100</f>
        <v>1.73</v>
      </c>
      <c r="D11" s="49">
        <f>VLOOKUP($A11,'Data shares'!$C:$FB,66)</f>
        <v>45176109</v>
      </c>
      <c r="E11" s="49">
        <f>VLOOKUP($A11,'Data shares'!$C:$FB,67)</f>
        <v>28128270</v>
      </c>
      <c r="F11" s="50">
        <f>VLOOKUP($A11,'Data shares'!$C:$FB,69)*100</f>
        <v>60.61</v>
      </c>
      <c r="G11" s="49">
        <f>VLOOKUP($A11,'Data shares'!$C:$FB,42)</f>
        <v>9522762</v>
      </c>
      <c r="H11" s="49">
        <f>VLOOKUP($A11,'Data shares'!$C:$FB,43)</f>
        <v>5530173</v>
      </c>
      <c r="I11" s="50">
        <f>VLOOKUP($A11,'Data shares'!$C:$FB,45)*100</f>
        <v>72.2</v>
      </c>
      <c r="J11" s="49">
        <f>VLOOKUP($A11,'Data shares'!$C:$FB,58)</f>
        <v>25821276</v>
      </c>
      <c r="K11" s="49">
        <f>VLOOKUP($A11,'Data shares'!$C:$FB,59)</f>
        <v>14545557</v>
      </c>
      <c r="L11" s="50">
        <f>VLOOKUP($A11,'Data shares'!$C:$FB,61)*100</f>
        <v>77.52</v>
      </c>
      <c r="M11" s="49">
        <f>VLOOKUP($A11,'Data shares'!$C:$FB,62)</f>
        <v>9832071</v>
      </c>
      <c r="N11" s="49">
        <f>VLOOKUP($A11,'Data shares'!$C:$FB,63)</f>
        <v>8052540</v>
      </c>
      <c r="O11" s="140">
        <f>VLOOKUP($A11,'Data shares'!$C:$FB,65)*100</f>
        <v>22.1</v>
      </c>
    </row>
    <row r="12" spans="1:15" x14ac:dyDescent="0.25">
      <c r="A12" s="101" t="str">
        <f>'Data Vlaue (Cr)'!C7</f>
        <v>ADANIGREEN</v>
      </c>
      <c r="B12" s="50">
        <f>VLOOKUP($A12,'Data shares'!$C:$FB,7)</f>
        <v>1214.1500000000001</v>
      </c>
      <c r="C12" s="50">
        <f>VLOOKUP($A12,'Data shares'!$C:$FB,10)*100</f>
        <v>1.27</v>
      </c>
      <c r="D12" s="49">
        <f>VLOOKUP($A12,'Data shares'!$C:$FB,66)</f>
        <v>70604400</v>
      </c>
      <c r="E12" s="49">
        <f>VLOOKUP($A12,'Data shares'!$C:$FB,67)</f>
        <v>49089000</v>
      </c>
      <c r="F12" s="50">
        <f>VLOOKUP($A12,'Data shares'!$C:$FB,69)*100</f>
        <v>43.830000000000005</v>
      </c>
      <c r="G12" s="49">
        <f>VLOOKUP($A12,'Data shares'!$C:$FB,42)</f>
        <v>13521000</v>
      </c>
      <c r="H12" s="49">
        <f>VLOOKUP($A12,'Data shares'!$C:$FB,43)</f>
        <v>9286200</v>
      </c>
      <c r="I12" s="50">
        <f>VLOOKUP($A12,'Data shares'!$C:$FB,45)*100</f>
        <v>45.6</v>
      </c>
      <c r="J12" s="49">
        <f>VLOOKUP($A12,'Data shares'!$C:$FB,58)</f>
        <v>43658400</v>
      </c>
      <c r="K12" s="49">
        <f>VLOOKUP($A12,'Data shares'!$C:$FB,59)</f>
        <v>29872200</v>
      </c>
      <c r="L12" s="50">
        <f>VLOOKUP($A12,'Data shares'!$C:$FB,61)*100</f>
        <v>46.150000000000006</v>
      </c>
      <c r="M12" s="49">
        <f>VLOOKUP($A12,'Data shares'!$C:$FB,62)</f>
        <v>13425000</v>
      </c>
      <c r="N12" s="49">
        <f>VLOOKUP($A12,'Data shares'!$C:$FB,63)</f>
        <v>9930600</v>
      </c>
      <c r="O12" s="140">
        <f>VLOOKUP($A12,'Data shares'!$C:$FB,65)*100</f>
        <v>35.19</v>
      </c>
    </row>
    <row r="13" spans="1:15" x14ac:dyDescent="0.25">
      <c r="A13" s="101" t="str">
        <f>'Data Vlaue (Cr)'!C8</f>
        <v>ADANIPORTS</v>
      </c>
      <c r="B13" s="50">
        <f>VLOOKUP($A13,'Data shares'!$C:$FB,7)</f>
        <v>1602.9</v>
      </c>
      <c r="C13" s="50">
        <f>VLOOKUP($A13,'Data shares'!$C:$FB,10)*100</f>
        <v>0.89999999999999991</v>
      </c>
      <c r="D13" s="49">
        <f>VLOOKUP($A13,'Data shares'!$C:$FB,66)</f>
        <v>34626550</v>
      </c>
      <c r="E13" s="49">
        <f>VLOOKUP($A13,'Data shares'!$C:$FB,67)</f>
        <v>23136775</v>
      </c>
      <c r="F13" s="50">
        <f>VLOOKUP($A13,'Data shares'!$C:$FB,69)*100</f>
        <v>49.66</v>
      </c>
      <c r="G13" s="49">
        <f>VLOOKUP($A13,'Data shares'!$C:$FB,42)</f>
        <v>10775375</v>
      </c>
      <c r="H13" s="49">
        <f>VLOOKUP($A13,'Data shares'!$C:$FB,43)</f>
        <v>3315025</v>
      </c>
      <c r="I13" s="50">
        <f>VLOOKUP($A13,'Data shares'!$C:$FB,45)*100</f>
        <v>225.05</v>
      </c>
      <c r="J13" s="49">
        <f>VLOOKUP($A13,'Data shares'!$C:$FB,58)</f>
        <v>15102150</v>
      </c>
      <c r="K13" s="49">
        <f>VLOOKUP($A13,'Data shares'!$C:$FB,59)</f>
        <v>12380400</v>
      </c>
      <c r="L13" s="50">
        <f>VLOOKUP($A13,'Data shares'!$C:$FB,61)*100</f>
        <v>21.98</v>
      </c>
      <c r="M13" s="49">
        <f>VLOOKUP($A13,'Data shares'!$C:$FB,62)</f>
        <v>8749025</v>
      </c>
      <c r="N13" s="49">
        <f>VLOOKUP($A13,'Data shares'!$C:$FB,63)</f>
        <v>7441350</v>
      </c>
      <c r="O13" s="140">
        <f>VLOOKUP($A13,'Data shares'!$C:$FB,65)*100</f>
        <v>17.57</v>
      </c>
    </row>
    <row r="14" spans="1:15" x14ac:dyDescent="0.25">
      <c r="A14" s="101" t="str">
        <f>'Data Vlaue (Cr)'!C9</f>
        <v>ADANIPOWER</v>
      </c>
      <c r="B14" s="50">
        <f>VLOOKUP($A14,'Data shares'!$C:$FB,7)</f>
        <v>214.18</v>
      </c>
      <c r="C14" s="50">
        <f>VLOOKUP($A14,'Data shares'!$C:$FB,10)*100</f>
        <v>-0.67999999999999994</v>
      </c>
      <c r="D14" s="49">
        <f>VLOOKUP($A14,'Data shares'!$C:$FB,66)</f>
        <v>161475300</v>
      </c>
      <c r="E14" s="49">
        <f>VLOOKUP($A14,'Data shares'!$C:$FB,67)</f>
        <v>327281600</v>
      </c>
      <c r="F14" s="50">
        <f>VLOOKUP($A14,'Data shares'!$C:$FB,69)*100</f>
        <v>-50.660000000000004</v>
      </c>
      <c r="G14" s="49">
        <f>VLOOKUP($A14,'Data shares'!$C:$FB,42)</f>
        <v>48819600</v>
      </c>
      <c r="H14" s="49">
        <f>VLOOKUP($A14,'Data shares'!$C:$FB,43)</f>
        <v>56856800</v>
      </c>
      <c r="I14" s="50">
        <f>VLOOKUP($A14,'Data shares'!$C:$FB,45)*100</f>
        <v>-14.14</v>
      </c>
      <c r="J14" s="49">
        <f>VLOOKUP($A14,'Data shares'!$C:$FB,58)</f>
        <v>76044550</v>
      </c>
      <c r="K14" s="49">
        <f>VLOOKUP($A14,'Data shares'!$C:$FB,59)</f>
        <v>203762900</v>
      </c>
      <c r="L14" s="50">
        <f>VLOOKUP($A14,'Data shares'!$C:$FB,61)*100</f>
        <v>-62.68</v>
      </c>
      <c r="M14" s="49">
        <f>VLOOKUP($A14,'Data shares'!$C:$FB,62)</f>
        <v>36611150</v>
      </c>
      <c r="N14" s="49">
        <f>VLOOKUP($A14,'Data shares'!$C:$FB,63)</f>
        <v>66661900</v>
      </c>
      <c r="O14" s="140">
        <f>VLOOKUP($A14,'Data shares'!$C:$FB,65)*100</f>
        <v>-45.08</v>
      </c>
    </row>
    <row r="15" spans="1:15" x14ac:dyDescent="0.25">
      <c r="A15" s="101" t="str">
        <f>'Data Vlaue (Cr)'!C10</f>
        <v>ALKEM</v>
      </c>
      <c r="B15" s="50">
        <f>VLOOKUP($A15,'Data shares'!$C:$FB,7)</f>
        <v>5520.5</v>
      </c>
      <c r="C15" s="50">
        <f>VLOOKUP($A15,'Data shares'!$C:$FB,10)*100</f>
        <v>-1.8900000000000001</v>
      </c>
      <c r="D15" s="49">
        <f>VLOOKUP($A15,'Data shares'!$C:$FB,66)</f>
        <v>2437250</v>
      </c>
      <c r="E15" s="49">
        <f>VLOOKUP($A15,'Data shares'!$C:$FB,67)</f>
        <v>1374625</v>
      </c>
      <c r="F15" s="50">
        <f>VLOOKUP($A15,'Data shares'!$C:$FB,69)*100</f>
        <v>77.3</v>
      </c>
      <c r="G15" s="49">
        <f>VLOOKUP($A15,'Data shares'!$C:$FB,42)</f>
        <v>1112250</v>
      </c>
      <c r="H15" s="49">
        <f>VLOOKUP($A15,'Data shares'!$C:$FB,43)</f>
        <v>357500</v>
      </c>
      <c r="I15" s="50">
        <f>VLOOKUP($A15,'Data shares'!$C:$FB,45)*100</f>
        <v>211.12</v>
      </c>
      <c r="J15" s="49">
        <f>VLOOKUP($A15,'Data shares'!$C:$FB,58)</f>
        <v>858250</v>
      </c>
      <c r="K15" s="49">
        <f>VLOOKUP($A15,'Data shares'!$C:$FB,59)</f>
        <v>656000</v>
      </c>
      <c r="L15" s="50">
        <f>VLOOKUP($A15,'Data shares'!$C:$FB,61)*100</f>
        <v>30.830000000000002</v>
      </c>
      <c r="M15" s="49">
        <f>VLOOKUP($A15,'Data shares'!$C:$FB,62)</f>
        <v>466750</v>
      </c>
      <c r="N15" s="49">
        <f>VLOOKUP($A15,'Data shares'!$C:$FB,63)</f>
        <v>361125</v>
      </c>
      <c r="O15" s="140">
        <f>VLOOKUP($A15,'Data shares'!$C:$FB,65)*100</f>
        <v>29.25</v>
      </c>
    </row>
    <row r="16" spans="1:15" x14ac:dyDescent="0.25">
      <c r="A16" s="101" t="str">
        <f>'Data Vlaue (Cr)'!C11</f>
        <v>AMBER</v>
      </c>
      <c r="B16" s="50">
        <f>VLOOKUP($A16,'Data shares'!$C:$FB,7)</f>
        <v>7795</v>
      </c>
      <c r="C16" s="50">
        <f>VLOOKUP($A16,'Data shares'!$C:$FB,10)*100</f>
        <v>-0.11</v>
      </c>
      <c r="D16" s="49">
        <f>VLOOKUP($A16,'Data shares'!$C:$FB,66)</f>
        <v>3194000</v>
      </c>
      <c r="E16" s="49">
        <f>VLOOKUP($A16,'Data shares'!$C:$FB,67)</f>
        <v>2343800</v>
      </c>
      <c r="F16" s="50">
        <f>VLOOKUP($A16,'Data shares'!$C:$FB,69)*100</f>
        <v>36.270000000000003</v>
      </c>
      <c r="G16" s="49">
        <f>VLOOKUP($A16,'Data shares'!$C:$FB,42)</f>
        <v>1060500</v>
      </c>
      <c r="H16" s="49">
        <f>VLOOKUP($A16,'Data shares'!$C:$FB,43)</f>
        <v>293600</v>
      </c>
      <c r="I16" s="50">
        <f>VLOOKUP($A16,'Data shares'!$C:$FB,45)*100</f>
        <v>261.20999999999998</v>
      </c>
      <c r="J16" s="49">
        <f>VLOOKUP($A16,'Data shares'!$C:$FB,58)</f>
        <v>1309800</v>
      </c>
      <c r="K16" s="49">
        <f>VLOOKUP($A16,'Data shares'!$C:$FB,59)</f>
        <v>1348500</v>
      </c>
      <c r="L16" s="50">
        <f>VLOOKUP($A16,'Data shares'!$C:$FB,61)*100</f>
        <v>-2.87</v>
      </c>
      <c r="M16" s="49">
        <f>VLOOKUP($A16,'Data shares'!$C:$FB,62)</f>
        <v>823700</v>
      </c>
      <c r="N16" s="49">
        <f>VLOOKUP($A16,'Data shares'!$C:$FB,63)</f>
        <v>701700</v>
      </c>
      <c r="O16" s="140">
        <f>VLOOKUP($A16,'Data shares'!$C:$FB,65)*100</f>
        <v>17.39</v>
      </c>
    </row>
    <row r="17" spans="1:15" x14ac:dyDescent="0.25">
      <c r="A17" s="101" t="str">
        <f>'Data Vlaue (Cr)'!C12</f>
        <v>AMBUJACEM</v>
      </c>
      <c r="B17" s="50">
        <f>VLOOKUP($A17,'Data shares'!$C:$FB,7)</f>
        <v>450.4</v>
      </c>
      <c r="C17" s="50">
        <f>VLOOKUP($A17,'Data shares'!$C:$FB,10)*100</f>
        <v>-2.2800000000000002</v>
      </c>
      <c r="D17" s="49">
        <f>VLOOKUP($A17,'Data shares'!$C:$FB,66)</f>
        <v>40111050</v>
      </c>
      <c r="E17" s="49">
        <f>VLOOKUP($A17,'Data shares'!$C:$FB,67)</f>
        <v>41352150</v>
      </c>
      <c r="F17" s="50">
        <f>VLOOKUP($A17,'Data shares'!$C:$FB,69)*100</f>
        <v>-3</v>
      </c>
      <c r="G17" s="49">
        <f>VLOOKUP($A17,'Data shares'!$C:$FB,42)</f>
        <v>26775000</v>
      </c>
      <c r="H17" s="49">
        <f>VLOOKUP($A17,'Data shares'!$C:$FB,43)</f>
        <v>23483250</v>
      </c>
      <c r="I17" s="50">
        <f>VLOOKUP($A17,'Data shares'!$C:$FB,45)*100</f>
        <v>14.02</v>
      </c>
      <c r="J17" s="49">
        <f>VLOOKUP($A17,'Data shares'!$C:$FB,58)</f>
        <v>9801750</v>
      </c>
      <c r="K17" s="49">
        <f>VLOOKUP($A17,'Data shares'!$C:$FB,59)</f>
        <v>12056100</v>
      </c>
      <c r="L17" s="50">
        <f>VLOOKUP($A17,'Data shares'!$C:$FB,61)*100</f>
        <v>-18.7</v>
      </c>
      <c r="M17" s="49">
        <f>VLOOKUP($A17,'Data shares'!$C:$FB,62)</f>
        <v>3534300</v>
      </c>
      <c r="N17" s="49">
        <f>VLOOKUP($A17,'Data shares'!$C:$FB,63)</f>
        <v>5812800</v>
      </c>
      <c r="O17" s="140">
        <f>VLOOKUP($A17,'Data shares'!$C:$FB,65)*100</f>
        <v>-39.200000000000003</v>
      </c>
    </row>
    <row r="18" spans="1:15" x14ac:dyDescent="0.25">
      <c r="A18" s="101" t="str">
        <f>'Data Vlaue (Cr)'!C13</f>
        <v>ANGELONE</v>
      </c>
      <c r="B18" s="50">
        <f>VLOOKUP($A18,'Data shares'!$C:$FB,7)</f>
        <v>321.20999999999998</v>
      </c>
      <c r="C18" s="50">
        <f>VLOOKUP($A18,'Data shares'!$C:$FB,10)*100</f>
        <v>-2.25</v>
      </c>
      <c r="D18" s="49">
        <f>VLOOKUP($A18,'Data shares'!$C:$FB,66)</f>
        <v>93875000</v>
      </c>
      <c r="E18" s="49">
        <f>VLOOKUP($A18,'Data shares'!$C:$FB,67)</f>
        <v>98360000</v>
      </c>
      <c r="F18" s="50">
        <f>VLOOKUP($A18,'Data shares'!$C:$FB,69)*100</f>
        <v>-4.5600000000000005</v>
      </c>
      <c r="G18" s="49">
        <f>VLOOKUP($A18,'Data shares'!$C:$FB,42)</f>
        <v>25817500</v>
      </c>
      <c r="H18" s="49">
        <f>VLOOKUP($A18,'Data shares'!$C:$FB,43)</f>
        <v>9455000</v>
      </c>
      <c r="I18" s="50">
        <f>VLOOKUP($A18,'Data shares'!$C:$FB,45)*100</f>
        <v>173.06</v>
      </c>
      <c r="J18" s="49">
        <f>VLOOKUP($A18,'Data shares'!$C:$FB,58)</f>
        <v>34567500</v>
      </c>
      <c r="K18" s="49">
        <f>VLOOKUP($A18,'Data shares'!$C:$FB,59)</f>
        <v>52762500</v>
      </c>
      <c r="L18" s="50">
        <f>VLOOKUP($A18,'Data shares'!$C:$FB,61)*100</f>
        <v>-34.479999999999997</v>
      </c>
      <c r="M18" s="49">
        <f>VLOOKUP($A18,'Data shares'!$C:$FB,62)</f>
        <v>33490000</v>
      </c>
      <c r="N18" s="49">
        <f>VLOOKUP($A18,'Data shares'!$C:$FB,63)</f>
        <v>36142500</v>
      </c>
      <c r="O18" s="140">
        <f>VLOOKUP($A18,'Data shares'!$C:$FB,65)*100</f>
        <v>-7.3400000000000007</v>
      </c>
    </row>
    <row r="19" spans="1:15" x14ac:dyDescent="0.25">
      <c r="A19" s="101" t="str">
        <f>'Data Vlaue (Cr)'!C14</f>
        <v>APLAPOLLO</v>
      </c>
      <c r="B19" s="50">
        <f>VLOOKUP($A19,'Data shares'!$C:$FB,7)</f>
        <v>2022.9</v>
      </c>
      <c r="C19" s="50">
        <f>VLOOKUP($A19,'Data shares'!$C:$FB,10)*100</f>
        <v>-4.67</v>
      </c>
      <c r="D19" s="49">
        <f>VLOOKUP($A19,'Data shares'!$C:$FB,66)</f>
        <v>9625000</v>
      </c>
      <c r="E19" s="49">
        <f>VLOOKUP($A19,'Data shares'!$C:$FB,67)</f>
        <v>1945300</v>
      </c>
      <c r="F19" s="50">
        <f>VLOOKUP($A19,'Data shares'!$C:$FB,69)*100</f>
        <v>394.78</v>
      </c>
      <c r="G19" s="49">
        <f>VLOOKUP($A19,'Data shares'!$C:$FB,42)</f>
        <v>3888500</v>
      </c>
      <c r="H19" s="49">
        <f>VLOOKUP($A19,'Data shares'!$C:$FB,43)</f>
        <v>528150</v>
      </c>
      <c r="I19" s="50">
        <f>VLOOKUP($A19,'Data shares'!$C:$FB,45)*100</f>
        <v>636.25</v>
      </c>
      <c r="J19" s="49">
        <f>VLOOKUP($A19,'Data shares'!$C:$FB,58)</f>
        <v>2588600</v>
      </c>
      <c r="K19" s="49">
        <f>VLOOKUP($A19,'Data shares'!$C:$FB,59)</f>
        <v>1094450</v>
      </c>
      <c r="L19" s="50">
        <f>VLOOKUP($A19,'Data shares'!$C:$FB,61)*100</f>
        <v>136.52000000000001</v>
      </c>
      <c r="M19" s="49">
        <f>VLOOKUP($A19,'Data shares'!$C:$FB,62)</f>
        <v>3147900</v>
      </c>
      <c r="N19" s="49">
        <f>VLOOKUP($A19,'Data shares'!$C:$FB,63)</f>
        <v>322700</v>
      </c>
      <c r="O19" s="140">
        <f>VLOOKUP($A19,'Data shares'!$C:$FB,65)*100</f>
        <v>875.4899999999999</v>
      </c>
    </row>
    <row r="20" spans="1:15" x14ac:dyDescent="0.25">
      <c r="A20" s="101" t="str">
        <f>'Data Vlaue (Cr)'!C15</f>
        <v>APOLLOHOSP</v>
      </c>
      <c r="B20" s="50">
        <f>VLOOKUP($A20,'Data shares'!$C:$FB,7)</f>
        <v>7781</v>
      </c>
      <c r="C20" s="50">
        <f>VLOOKUP($A20,'Data shares'!$C:$FB,10)*100</f>
        <v>1.55</v>
      </c>
      <c r="D20" s="49">
        <f>VLOOKUP($A20,'Data shares'!$C:$FB,66)</f>
        <v>5993125</v>
      </c>
      <c r="E20" s="49">
        <f>VLOOKUP($A20,'Data shares'!$C:$FB,67)</f>
        <v>7299250</v>
      </c>
      <c r="F20" s="50">
        <f>VLOOKUP($A20,'Data shares'!$C:$FB,69)*100</f>
        <v>-17.89</v>
      </c>
      <c r="G20" s="49">
        <f>VLOOKUP($A20,'Data shares'!$C:$FB,42)</f>
        <v>1233250</v>
      </c>
      <c r="H20" s="49">
        <f>VLOOKUP($A20,'Data shares'!$C:$FB,43)</f>
        <v>950625</v>
      </c>
      <c r="I20" s="50">
        <f>VLOOKUP($A20,'Data shares'!$C:$FB,45)*100</f>
        <v>29.73</v>
      </c>
      <c r="J20" s="49">
        <f>VLOOKUP($A20,'Data shares'!$C:$FB,58)</f>
        <v>3063375</v>
      </c>
      <c r="K20" s="49">
        <f>VLOOKUP($A20,'Data shares'!$C:$FB,59)</f>
        <v>3038125</v>
      </c>
      <c r="L20" s="50">
        <f>VLOOKUP($A20,'Data shares'!$C:$FB,61)*100</f>
        <v>0.83</v>
      </c>
      <c r="M20" s="49">
        <f>VLOOKUP($A20,'Data shares'!$C:$FB,62)</f>
        <v>1696500</v>
      </c>
      <c r="N20" s="49">
        <f>VLOOKUP($A20,'Data shares'!$C:$FB,63)</f>
        <v>3310500</v>
      </c>
      <c r="O20" s="140">
        <f>VLOOKUP($A20,'Data shares'!$C:$FB,65)*100</f>
        <v>-48.75</v>
      </c>
    </row>
    <row r="21" spans="1:15" x14ac:dyDescent="0.25">
      <c r="A21" s="101" t="str">
        <f>'Data Vlaue (Cr)'!C16</f>
        <v>ASHOKLEY</v>
      </c>
      <c r="B21" s="50">
        <f>VLOOKUP($A21,'Data shares'!$C:$FB,7)</f>
        <v>170.63</v>
      </c>
      <c r="C21" s="50">
        <f>VLOOKUP($A21,'Data shares'!$C:$FB,10)*100</f>
        <v>-4.66</v>
      </c>
      <c r="D21" s="49">
        <f>VLOOKUP($A21,'Data shares'!$C:$FB,66)</f>
        <v>381725000</v>
      </c>
      <c r="E21" s="49">
        <f>VLOOKUP($A21,'Data shares'!$C:$FB,67)</f>
        <v>333355000</v>
      </c>
      <c r="F21" s="50">
        <f>VLOOKUP($A21,'Data shares'!$C:$FB,69)*100</f>
        <v>14.510000000000002</v>
      </c>
      <c r="G21" s="49">
        <f>VLOOKUP($A21,'Data shares'!$C:$FB,42)</f>
        <v>114075000</v>
      </c>
      <c r="H21" s="49">
        <f>VLOOKUP($A21,'Data shares'!$C:$FB,43)</f>
        <v>53770000</v>
      </c>
      <c r="I21" s="50">
        <f>VLOOKUP($A21,'Data shares'!$C:$FB,45)*100</f>
        <v>112.14999999999999</v>
      </c>
      <c r="J21" s="49">
        <f>VLOOKUP($A21,'Data shares'!$C:$FB,58)</f>
        <v>167710000</v>
      </c>
      <c r="K21" s="49">
        <f>VLOOKUP($A21,'Data shares'!$C:$FB,59)</f>
        <v>194510000</v>
      </c>
      <c r="L21" s="50">
        <f>VLOOKUP($A21,'Data shares'!$C:$FB,61)*100</f>
        <v>-13.780000000000001</v>
      </c>
      <c r="M21" s="49">
        <f>VLOOKUP($A21,'Data shares'!$C:$FB,62)</f>
        <v>99940000</v>
      </c>
      <c r="N21" s="49">
        <f>VLOOKUP($A21,'Data shares'!$C:$FB,63)</f>
        <v>85075000</v>
      </c>
      <c r="O21" s="140">
        <f>VLOOKUP($A21,'Data shares'!$C:$FB,65)*100</f>
        <v>17.47</v>
      </c>
    </row>
    <row r="22" spans="1:15" x14ac:dyDescent="0.25">
      <c r="A22" s="101" t="str">
        <f>'Data Vlaue (Cr)'!C17</f>
        <v>ASIANPAINT</v>
      </c>
      <c r="B22" s="50">
        <f>VLOOKUP($A22,'Data shares'!$C:$FB,7)</f>
        <v>2521.4</v>
      </c>
      <c r="C22" s="50">
        <f>VLOOKUP($A22,'Data shares'!$C:$FB,10)*100</f>
        <v>-1.6199999999999999</v>
      </c>
      <c r="D22" s="49">
        <f>VLOOKUP($A22,'Data shares'!$C:$FB,66)</f>
        <v>20498750</v>
      </c>
      <c r="E22" s="49">
        <f>VLOOKUP($A22,'Data shares'!$C:$FB,67)</f>
        <v>15981000</v>
      </c>
      <c r="F22" s="50">
        <f>VLOOKUP($A22,'Data shares'!$C:$FB,69)*100</f>
        <v>28.27</v>
      </c>
      <c r="G22" s="49">
        <f>VLOOKUP($A22,'Data shares'!$C:$FB,42)</f>
        <v>8250000</v>
      </c>
      <c r="H22" s="49">
        <f>VLOOKUP($A22,'Data shares'!$C:$FB,43)</f>
        <v>1814000</v>
      </c>
      <c r="I22" s="50">
        <f>VLOOKUP($A22,'Data shares'!$C:$FB,45)*100</f>
        <v>354.8</v>
      </c>
      <c r="J22" s="49">
        <f>VLOOKUP($A22,'Data shares'!$C:$FB,58)</f>
        <v>5715750</v>
      </c>
      <c r="K22" s="49">
        <f>VLOOKUP($A22,'Data shares'!$C:$FB,59)</f>
        <v>7759500</v>
      </c>
      <c r="L22" s="50">
        <f>VLOOKUP($A22,'Data shares'!$C:$FB,61)*100</f>
        <v>-26.340000000000003</v>
      </c>
      <c r="M22" s="49">
        <f>VLOOKUP($A22,'Data shares'!$C:$FB,62)</f>
        <v>6533000</v>
      </c>
      <c r="N22" s="49">
        <f>VLOOKUP($A22,'Data shares'!$C:$FB,63)</f>
        <v>6407500</v>
      </c>
      <c r="O22" s="140">
        <f>VLOOKUP($A22,'Data shares'!$C:$FB,65)*100</f>
        <v>1.96</v>
      </c>
    </row>
    <row r="23" spans="1:15" x14ac:dyDescent="0.25">
      <c r="A23" s="101" t="str">
        <f>'Data Vlaue (Cr)'!C18</f>
        <v>ASTRAL</v>
      </c>
      <c r="B23" s="50">
        <f>VLOOKUP($A23,'Data shares'!$C:$FB,7)</f>
        <v>1574.9</v>
      </c>
      <c r="C23" s="50">
        <f>VLOOKUP($A23,'Data shares'!$C:$FB,10)*100</f>
        <v>-0.91999999999999993</v>
      </c>
      <c r="D23" s="49">
        <f>VLOOKUP($A23,'Data shares'!$C:$FB,66)</f>
        <v>15847825</v>
      </c>
      <c r="E23" s="49">
        <f>VLOOKUP($A23,'Data shares'!$C:$FB,67)</f>
        <v>6998050</v>
      </c>
      <c r="F23" s="50">
        <f>VLOOKUP($A23,'Data shares'!$C:$FB,69)*100</f>
        <v>126.46</v>
      </c>
      <c r="G23" s="49">
        <f>VLOOKUP($A23,'Data shares'!$C:$FB,42)</f>
        <v>10157500</v>
      </c>
      <c r="H23" s="49">
        <f>VLOOKUP($A23,'Data shares'!$C:$FB,43)</f>
        <v>2018325</v>
      </c>
      <c r="I23" s="50">
        <f>VLOOKUP($A23,'Data shares'!$C:$FB,45)*100</f>
        <v>403.26000000000005</v>
      </c>
      <c r="J23" s="49">
        <f>VLOOKUP($A23,'Data shares'!$C:$FB,58)</f>
        <v>3992875</v>
      </c>
      <c r="K23" s="49">
        <f>VLOOKUP($A23,'Data shares'!$C:$FB,59)</f>
        <v>3288225</v>
      </c>
      <c r="L23" s="50">
        <f>VLOOKUP($A23,'Data shares'!$C:$FB,61)*100</f>
        <v>21.43</v>
      </c>
      <c r="M23" s="49">
        <f>VLOOKUP($A23,'Data shares'!$C:$FB,62)</f>
        <v>1697450</v>
      </c>
      <c r="N23" s="49">
        <f>VLOOKUP($A23,'Data shares'!$C:$FB,63)</f>
        <v>1691500</v>
      </c>
      <c r="O23" s="140">
        <f>VLOOKUP($A23,'Data shares'!$C:$FB,65)*100</f>
        <v>0.35000000000000003</v>
      </c>
    </row>
    <row r="24" spans="1:15" x14ac:dyDescent="0.25">
      <c r="A24" s="101" t="str">
        <f>'Data Vlaue (Cr)'!C19</f>
        <v>AUBANK</v>
      </c>
      <c r="B24" s="50">
        <f>VLOOKUP($A24,'Data shares'!$C:$FB,7)</f>
        <v>1056.25</v>
      </c>
      <c r="C24" s="50">
        <f>VLOOKUP($A24,'Data shares'!$C:$FB,10)*100</f>
        <v>1.25</v>
      </c>
      <c r="D24" s="49">
        <f>VLOOKUP($A24,'Data shares'!$C:$FB,66)</f>
        <v>43214000</v>
      </c>
      <c r="E24" s="49">
        <f>VLOOKUP($A24,'Data shares'!$C:$FB,67)</f>
        <v>35495000</v>
      </c>
      <c r="F24" s="50">
        <f>VLOOKUP($A24,'Data shares'!$C:$FB,69)*100</f>
        <v>21.75</v>
      </c>
      <c r="G24" s="49">
        <f>VLOOKUP($A24,'Data shares'!$C:$FB,42)</f>
        <v>17870000</v>
      </c>
      <c r="H24" s="49">
        <f>VLOOKUP($A24,'Data shares'!$C:$FB,43)</f>
        <v>5572000</v>
      </c>
      <c r="I24" s="50">
        <f>VLOOKUP($A24,'Data shares'!$C:$FB,45)*100</f>
        <v>220.71</v>
      </c>
      <c r="J24" s="49">
        <f>VLOOKUP($A24,'Data shares'!$C:$FB,58)</f>
        <v>16461000</v>
      </c>
      <c r="K24" s="49">
        <f>VLOOKUP($A24,'Data shares'!$C:$FB,59)</f>
        <v>19265000</v>
      </c>
      <c r="L24" s="50">
        <f>VLOOKUP($A24,'Data shares'!$C:$FB,61)*100</f>
        <v>-14.549999999999999</v>
      </c>
      <c r="M24" s="49">
        <f>VLOOKUP($A24,'Data shares'!$C:$FB,62)</f>
        <v>8883000</v>
      </c>
      <c r="N24" s="49">
        <f>VLOOKUP($A24,'Data shares'!$C:$FB,63)</f>
        <v>10658000</v>
      </c>
      <c r="O24" s="140">
        <f>VLOOKUP($A24,'Data shares'!$C:$FB,65)*100</f>
        <v>-16.650000000000002</v>
      </c>
    </row>
    <row r="25" spans="1:15" x14ac:dyDescent="0.25">
      <c r="A25" s="101" t="str">
        <f>'Data Vlaue (Cr)'!C20</f>
        <v>AUROPHARMA</v>
      </c>
      <c r="B25" s="50">
        <f>VLOOKUP($A25,'Data shares'!$C:$FB,7)</f>
        <v>1435.4</v>
      </c>
      <c r="C25" s="50">
        <f>VLOOKUP($A25,'Data shares'!$C:$FB,10)*100</f>
        <v>1</v>
      </c>
      <c r="D25" s="49">
        <f>VLOOKUP($A25,'Data shares'!$C:$FB,66)</f>
        <v>23829300</v>
      </c>
      <c r="E25" s="49">
        <f>VLOOKUP($A25,'Data shares'!$C:$FB,67)</f>
        <v>13724700</v>
      </c>
      <c r="F25" s="50">
        <f>VLOOKUP($A25,'Data shares'!$C:$FB,69)*100</f>
        <v>73.61999999999999</v>
      </c>
      <c r="G25" s="49">
        <f>VLOOKUP($A25,'Data shares'!$C:$FB,42)</f>
        <v>8605850</v>
      </c>
      <c r="H25" s="49">
        <f>VLOOKUP($A25,'Data shares'!$C:$FB,43)</f>
        <v>4774000</v>
      </c>
      <c r="I25" s="50">
        <f>VLOOKUP($A25,'Data shares'!$C:$FB,45)*100</f>
        <v>80.259999999999991</v>
      </c>
      <c r="J25" s="49">
        <f>VLOOKUP($A25,'Data shares'!$C:$FB,58)</f>
        <v>10801450</v>
      </c>
      <c r="K25" s="49">
        <f>VLOOKUP($A25,'Data shares'!$C:$FB,59)</f>
        <v>5759050</v>
      </c>
      <c r="L25" s="50">
        <f>VLOOKUP($A25,'Data shares'!$C:$FB,61)*100</f>
        <v>87.56</v>
      </c>
      <c r="M25" s="49">
        <f>VLOOKUP($A25,'Data shares'!$C:$FB,62)</f>
        <v>4422000</v>
      </c>
      <c r="N25" s="49">
        <f>VLOOKUP($A25,'Data shares'!$C:$FB,63)</f>
        <v>3191650</v>
      </c>
      <c r="O25" s="140">
        <f>VLOOKUP($A25,'Data shares'!$C:$FB,65)*100</f>
        <v>38.550000000000004</v>
      </c>
    </row>
    <row r="26" spans="1:15" x14ac:dyDescent="0.25">
      <c r="A26" s="101" t="str">
        <f>'Data Vlaue (Cr)'!C21</f>
        <v>AXISBANK</v>
      </c>
      <c r="B26" s="50">
        <f>VLOOKUP($A26,'Data shares'!$C:$FB,7)</f>
        <v>1369.6</v>
      </c>
      <c r="C26" s="50">
        <f>VLOOKUP($A26,'Data shares'!$C:$FB,10)*100</f>
        <v>-0.72</v>
      </c>
      <c r="D26" s="49">
        <f>VLOOKUP($A26,'Data shares'!$C:$FB,66)</f>
        <v>70062500</v>
      </c>
      <c r="E26" s="49">
        <f>VLOOKUP($A26,'Data shares'!$C:$FB,67)</f>
        <v>47274375</v>
      </c>
      <c r="F26" s="50">
        <f>VLOOKUP($A26,'Data shares'!$C:$FB,69)*100</f>
        <v>48.199999999999996</v>
      </c>
      <c r="G26" s="49">
        <f>VLOOKUP($A26,'Data shares'!$C:$FB,42)</f>
        <v>33384375</v>
      </c>
      <c r="H26" s="49">
        <f>VLOOKUP($A26,'Data shares'!$C:$FB,43)</f>
        <v>13665000</v>
      </c>
      <c r="I26" s="50">
        <f>VLOOKUP($A26,'Data shares'!$C:$FB,45)*100</f>
        <v>144.31</v>
      </c>
      <c r="J26" s="49">
        <f>VLOOKUP($A26,'Data shares'!$C:$FB,58)</f>
        <v>20478125</v>
      </c>
      <c r="K26" s="49">
        <f>VLOOKUP($A26,'Data shares'!$C:$FB,59)</f>
        <v>20051875</v>
      </c>
      <c r="L26" s="50">
        <f>VLOOKUP($A26,'Data shares'!$C:$FB,61)*100</f>
        <v>2.13</v>
      </c>
      <c r="M26" s="49">
        <f>VLOOKUP($A26,'Data shares'!$C:$FB,62)</f>
        <v>16200000</v>
      </c>
      <c r="N26" s="49">
        <f>VLOOKUP($A26,'Data shares'!$C:$FB,63)</f>
        <v>13557500</v>
      </c>
      <c r="O26" s="140">
        <f>VLOOKUP($A26,'Data shares'!$C:$FB,65)*100</f>
        <v>19.489999999999998</v>
      </c>
    </row>
    <row r="27" spans="1:15" x14ac:dyDescent="0.25">
      <c r="A27" s="101" t="str">
        <f>'Data Vlaue (Cr)'!C22</f>
        <v>BAJAJ-AUTO</v>
      </c>
      <c r="B27" s="50">
        <f>VLOOKUP($A27,'Data shares'!$C:$FB,7)</f>
        <v>9550.5</v>
      </c>
      <c r="C27" s="50">
        <f>VLOOKUP($A27,'Data shares'!$C:$FB,10)*100</f>
        <v>-0.54</v>
      </c>
      <c r="D27" s="49">
        <f>VLOOKUP($A27,'Data shares'!$C:$FB,66)</f>
        <v>5561025</v>
      </c>
      <c r="E27" s="49">
        <f>VLOOKUP($A27,'Data shares'!$C:$FB,67)</f>
        <v>3412950</v>
      </c>
      <c r="F27" s="50">
        <f>VLOOKUP($A27,'Data shares'!$C:$FB,69)*100</f>
        <v>62.94</v>
      </c>
      <c r="G27" s="49">
        <f>VLOOKUP($A27,'Data shares'!$C:$FB,42)</f>
        <v>2171175</v>
      </c>
      <c r="H27" s="49">
        <f>VLOOKUP($A27,'Data shares'!$C:$FB,43)</f>
        <v>601500</v>
      </c>
      <c r="I27" s="50">
        <f>VLOOKUP($A27,'Data shares'!$C:$FB,45)*100</f>
        <v>260.95999999999998</v>
      </c>
      <c r="J27" s="49">
        <f>VLOOKUP($A27,'Data shares'!$C:$FB,58)</f>
        <v>1947450</v>
      </c>
      <c r="K27" s="49">
        <f>VLOOKUP($A27,'Data shares'!$C:$FB,59)</f>
        <v>1731375</v>
      </c>
      <c r="L27" s="50">
        <f>VLOOKUP($A27,'Data shares'!$C:$FB,61)*100</f>
        <v>12.479999999999999</v>
      </c>
      <c r="M27" s="49">
        <f>VLOOKUP($A27,'Data shares'!$C:$FB,62)</f>
        <v>1442400</v>
      </c>
      <c r="N27" s="49">
        <f>VLOOKUP($A27,'Data shares'!$C:$FB,63)</f>
        <v>1080075</v>
      </c>
      <c r="O27" s="140">
        <f>VLOOKUP($A27,'Data shares'!$C:$FB,65)*100</f>
        <v>33.550000000000004</v>
      </c>
    </row>
    <row r="28" spans="1:15" x14ac:dyDescent="0.25">
      <c r="A28" s="101" t="str">
        <f>'Data Vlaue (Cr)'!C23</f>
        <v>BAJAJFINSV</v>
      </c>
      <c r="B28" s="50">
        <f>VLOOKUP($A28,'Data shares'!$C:$FB,7)</f>
        <v>1792.6</v>
      </c>
      <c r="C28" s="50">
        <f>VLOOKUP($A28,'Data shares'!$C:$FB,10)*100</f>
        <v>-2.73</v>
      </c>
      <c r="D28" s="49">
        <f>VLOOKUP($A28,'Data shares'!$C:$FB,66)</f>
        <v>15312250</v>
      </c>
      <c r="E28" s="49">
        <f>VLOOKUP($A28,'Data shares'!$C:$FB,67)</f>
        <v>6788000</v>
      </c>
      <c r="F28" s="50">
        <f>VLOOKUP($A28,'Data shares'!$C:$FB,69)*100</f>
        <v>125.58</v>
      </c>
      <c r="G28" s="49">
        <f>VLOOKUP($A28,'Data shares'!$C:$FB,42)</f>
        <v>4875500</v>
      </c>
      <c r="H28" s="49">
        <f>VLOOKUP($A28,'Data shares'!$C:$FB,43)</f>
        <v>1539500</v>
      </c>
      <c r="I28" s="50">
        <f>VLOOKUP($A28,'Data shares'!$C:$FB,45)*100</f>
        <v>216.69</v>
      </c>
      <c r="J28" s="49">
        <f>VLOOKUP($A28,'Data shares'!$C:$FB,58)</f>
        <v>6221000</v>
      </c>
      <c r="K28" s="49">
        <f>VLOOKUP($A28,'Data shares'!$C:$FB,59)</f>
        <v>2795000</v>
      </c>
      <c r="L28" s="50">
        <f>VLOOKUP($A28,'Data shares'!$C:$FB,61)*100</f>
        <v>122.58</v>
      </c>
      <c r="M28" s="49">
        <f>VLOOKUP($A28,'Data shares'!$C:$FB,62)</f>
        <v>4215750</v>
      </c>
      <c r="N28" s="49">
        <f>VLOOKUP($A28,'Data shares'!$C:$FB,63)</f>
        <v>2453500</v>
      </c>
      <c r="O28" s="140">
        <f>VLOOKUP($A28,'Data shares'!$C:$FB,65)*100</f>
        <v>71.83</v>
      </c>
    </row>
    <row r="29" spans="1:15" x14ac:dyDescent="0.25">
      <c r="A29" s="101" t="str">
        <f>'Data Vlaue (Cr)'!C24</f>
        <v>BAJAJHLDNG</v>
      </c>
      <c r="B29" s="50">
        <f>VLOOKUP($A29,'Data shares'!$C:$FB,7)</f>
        <v>10376.5</v>
      </c>
      <c r="C29" s="50">
        <f>VLOOKUP($A29,'Data shares'!$C:$FB,10)*100</f>
        <v>0</v>
      </c>
      <c r="D29" s="49">
        <f>VLOOKUP($A29,'Data shares'!$C:$FB,66)</f>
        <v>449200</v>
      </c>
      <c r="E29" s="49">
        <f>VLOOKUP($A29,'Data shares'!$C:$FB,67)</f>
        <v>343100</v>
      </c>
      <c r="F29" s="50">
        <f>VLOOKUP($A29,'Data shares'!$C:$FB,69)*100</f>
        <v>30.919999999999998</v>
      </c>
      <c r="G29" s="49">
        <f>VLOOKUP($A29,'Data shares'!$C:$FB,42)</f>
        <v>185100</v>
      </c>
      <c r="H29" s="49">
        <f>VLOOKUP($A29,'Data shares'!$C:$FB,43)</f>
        <v>36150</v>
      </c>
      <c r="I29" s="50">
        <f>VLOOKUP($A29,'Data shares'!$C:$FB,45)*100</f>
        <v>412.03000000000003</v>
      </c>
      <c r="J29" s="49">
        <f>VLOOKUP($A29,'Data shares'!$C:$FB,58)</f>
        <v>123450</v>
      </c>
      <c r="K29" s="49">
        <f>VLOOKUP($A29,'Data shares'!$C:$FB,59)</f>
        <v>109800</v>
      </c>
      <c r="L29" s="50">
        <f>VLOOKUP($A29,'Data shares'!$C:$FB,61)*100</f>
        <v>12.43</v>
      </c>
      <c r="M29" s="49">
        <f>VLOOKUP($A29,'Data shares'!$C:$FB,62)</f>
        <v>140650</v>
      </c>
      <c r="N29" s="49">
        <f>VLOOKUP($A29,'Data shares'!$C:$FB,63)</f>
        <v>197150</v>
      </c>
      <c r="O29" s="140">
        <f>VLOOKUP($A29,'Data shares'!$C:$FB,65)*100</f>
        <v>-28.660000000000004</v>
      </c>
    </row>
    <row r="30" spans="1:15" x14ac:dyDescent="0.25">
      <c r="A30" s="101" t="str">
        <f>'Data Vlaue (Cr)'!C25</f>
        <v>BAJFINANCE</v>
      </c>
      <c r="B30" s="50">
        <f>VLOOKUP($A30,'Data shares'!$C:$FB,7)</f>
        <v>918.35</v>
      </c>
      <c r="C30" s="50">
        <f>VLOOKUP($A30,'Data shares'!$C:$FB,10)*100</f>
        <v>-1.7500000000000002</v>
      </c>
      <c r="D30" s="49">
        <f>VLOOKUP($A30,'Data shares'!$C:$FB,66)</f>
        <v>100338750</v>
      </c>
      <c r="E30" s="49">
        <f>VLOOKUP($A30,'Data shares'!$C:$FB,67)</f>
        <v>71716500</v>
      </c>
      <c r="F30" s="50">
        <f>VLOOKUP($A30,'Data shares'!$C:$FB,69)*100</f>
        <v>39.910000000000004</v>
      </c>
      <c r="G30" s="49">
        <f>VLOOKUP($A30,'Data shares'!$C:$FB,42)</f>
        <v>46810500</v>
      </c>
      <c r="H30" s="49">
        <f>VLOOKUP($A30,'Data shares'!$C:$FB,43)</f>
        <v>16174500</v>
      </c>
      <c r="I30" s="50">
        <f>VLOOKUP($A30,'Data shares'!$C:$FB,45)*100</f>
        <v>189.41</v>
      </c>
      <c r="J30" s="49">
        <f>VLOOKUP($A30,'Data shares'!$C:$FB,58)</f>
        <v>30693000</v>
      </c>
      <c r="K30" s="49">
        <f>VLOOKUP($A30,'Data shares'!$C:$FB,59)</f>
        <v>33696000</v>
      </c>
      <c r="L30" s="50">
        <f>VLOOKUP($A30,'Data shares'!$C:$FB,61)*100</f>
        <v>-8.91</v>
      </c>
      <c r="M30" s="49">
        <f>VLOOKUP($A30,'Data shares'!$C:$FB,62)</f>
        <v>22835250</v>
      </c>
      <c r="N30" s="49">
        <f>VLOOKUP($A30,'Data shares'!$C:$FB,63)</f>
        <v>21846000</v>
      </c>
      <c r="O30" s="140">
        <f>VLOOKUP($A30,'Data shares'!$C:$FB,65)*100</f>
        <v>4.53</v>
      </c>
    </row>
    <row r="31" spans="1:15" x14ac:dyDescent="0.25">
      <c r="A31" s="101" t="str">
        <f>'Data Vlaue (Cr)'!C26</f>
        <v>BANDHANBNK</v>
      </c>
      <c r="B31" s="50">
        <f>VLOOKUP($A31,'Data shares'!$C:$FB,7)</f>
        <v>173.9</v>
      </c>
      <c r="C31" s="50">
        <f>VLOOKUP($A31,'Data shares'!$C:$FB,10)*100</f>
        <v>-1.48</v>
      </c>
      <c r="D31" s="49">
        <f>VLOOKUP($A31,'Data shares'!$C:$FB,66)</f>
        <v>73861200</v>
      </c>
      <c r="E31" s="49">
        <f>VLOOKUP($A31,'Data shares'!$C:$FB,67)</f>
        <v>56296800</v>
      </c>
      <c r="F31" s="50">
        <f>VLOOKUP($A31,'Data shares'!$C:$FB,69)*100</f>
        <v>31.2</v>
      </c>
      <c r="G31" s="49">
        <f>VLOOKUP($A31,'Data shares'!$C:$FB,42)</f>
        <v>37598400</v>
      </c>
      <c r="H31" s="49">
        <f>VLOOKUP($A31,'Data shares'!$C:$FB,43)</f>
        <v>20354400</v>
      </c>
      <c r="I31" s="50">
        <f>VLOOKUP($A31,'Data shares'!$C:$FB,45)*100</f>
        <v>84.72</v>
      </c>
      <c r="J31" s="49">
        <f>VLOOKUP($A31,'Data shares'!$C:$FB,58)</f>
        <v>19818000</v>
      </c>
      <c r="K31" s="49">
        <f>VLOOKUP($A31,'Data shares'!$C:$FB,59)</f>
        <v>20736000</v>
      </c>
      <c r="L31" s="50">
        <f>VLOOKUP($A31,'Data shares'!$C:$FB,61)*100</f>
        <v>-4.43</v>
      </c>
      <c r="M31" s="49">
        <f>VLOOKUP($A31,'Data shares'!$C:$FB,62)</f>
        <v>16444800</v>
      </c>
      <c r="N31" s="49">
        <f>VLOOKUP($A31,'Data shares'!$C:$FB,63)</f>
        <v>15206400</v>
      </c>
      <c r="O31" s="140">
        <f>VLOOKUP($A31,'Data shares'!$C:$FB,65)*100</f>
        <v>8.14</v>
      </c>
    </row>
    <row r="32" spans="1:15" x14ac:dyDescent="0.25">
      <c r="A32" s="101" t="str">
        <f>'Data Vlaue (Cr)'!C27</f>
        <v>BANKBARODA</v>
      </c>
      <c r="B32" s="50">
        <f>VLOOKUP($A32,'Data shares'!$C:$FB,7)</f>
        <v>276.33999999999997</v>
      </c>
      <c r="C32" s="50">
        <f>VLOOKUP($A32,'Data shares'!$C:$FB,10)*100</f>
        <v>-2.27</v>
      </c>
      <c r="D32" s="49">
        <f>VLOOKUP($A32,'Data shares'!$C:$FB,66)</f>
        <v>174309525</v>
      </c>
      <c r="E32" s="49">
        <f>VLOOKUP($A32,'Data shares'!$C:$FB,67)</f>
        <v>78407550</v>
      </c>
      <c r="F32" s="50">
        <f>VLOOKUP($A32,'Data shares'!$C:$FB,69)*100</f>
        <v>122.31</v>
      </c>
      <c r="G32" s="49">
        <f>VLOOKUP($A32,'Data shares'!$C:$FB,42)</f>
        <v>53568450</v>
      </c>
      <c r="H32" s="49">
        <f>VLOOKUP($A32,'Data shares'!$C:$FB,43)</f>
        <v>22671675</v>
      </c>
      <c r="I32" s="50">
        <f>VLOOKUP($A32,'Data shares'!$C:$FB,45)*100</f>
        <v>136.28</v>
      </c>
      <c r="J32" s="49">
        <f>VLOOKUP($A32,'Data shares'!$C:$FB,58)</f>
        <v>73338525</v>
      </c>
      <c r="K32" s="49">
        <f>VLOOKUP($A32,'Data shares'!$C:$FB,59)</f>
        <v>32397300</v>
      </c>
      <c r="L32" s="50">
        <f>VLOOKUP($A32,'Data shares'!$C:$FB,61)*100</f>
        <v>126.37</v>
      </c>
      <c r="M32" s="49">
        <f>VLOOKUP($A32,'Data shares'!$C:$FB,62)</f>
        <v>47402550</v>
      </c>
      <c r="N32" s="49">
        <f>VLOOKUP($A32,'Data shares'!$C:$FB,63)</f>
        <v>23338575</v>
      </c>
      <c r="O32" s="140">
        <f>VLOOKUP($A32,'Data shares'!$C:$FB,65)*100</f>
        <v>103.10999999999999</v>
      </c>
    </row>
    <row r="33" spans="1:15" x14ac:dyDescent="0.25">
      <c r="A33" s="101" t="str">
        <f>'Data Vlaue (Cr)'!C28</f>
        <v>BANKINDIA</v>
      </c>
      <c r="B33" s="50">
        <f>VLOOKUP($A33,'Data shares'!$C:$FB,7)</f>
        <v>150.86000000000001</v>
      </c>
      <c r="C33" s="50">
        <f>VLOOKUP($A33,'Data shares'!$C:$FB,10)*100</f>
        <v>-1.35</v>
      </c>
      <c r="D33" s="49">
        <f>VLOOKUP($A33,'Data shares'!$C:$FB,66)</f>
        <v>114275200</v>
      </c>
      <c r="E33" s="49">
        <f>VLOOKUP($A33,'Data shares'!$C:$FB,67)</f>
        <v>100219600</v>
      </c>
      <c r="F33" s="50">
        <f>VLOOKUP($A33,'Data shares'!$C:$FB,69)*100</f>
        <v>14.02</v>
      </c>
      <c r="G33" s="49">
        <f>VLOOKUP($A33,'Data shares'!$C:$FB,42)</f>
        <v>51308400</v>
      </c>
      <c r="H33" s="49">
        <f>VLOOKUP($A33,'Data shares'!$C:$FB,43)</f>
        <v>26338000</v>
      </c>
      <c r="I33" s="50">
        <f>VLOOKUP($A33,'Data shares'!$C:$FB,45)*100</f>
        <v>94.81</v>
      </c>
      <c r="J33" s="49">
        <f>VLOOKUP($A33,'Data shares'!$C:$FB,58)</f>
        <v>40419600</v>
      </c>
      <c r="K33" s="49">
        <f>VLOOKUP($A33,'Data shares'!$C:$FB,59)</f>
        <v>52067600</v>
      </c>
      <c r="L33" s="50">
        <f>VLOOKUP($A33,'Data shares'!$C:$FB,61)*100</f>
        <v>-22.37</v>
      </c>
      <c r="M33" s="49">
        <f>VLOOKUP($A33,'Data shares'!$C:$FB,62)</f>
        <v>22547200</v>
      </c>
      <c r="N33" s="49">
        <f>VLOOKUP($A33,'Data shares'!$C:$FB,63)</f>
        <v>21814000</v>
      </c>
      <c r="O33" s="140">
        <f>VLOOKUP($A33,'Data shares'!$C:$FB,65)*100</f>
        <v>3.36</v>
      </c>
    </row>
    <row r="34" spans="1:15" x14ac:dyDescent="0.25">
      <c r="A34" s="101" t="str">
        <f>'Data Vlaue (Cr)'!C29</f>
        <v>BANKNIFTY</v>
      </c>
      <c r="B34" s="50">
        <f>VLOOKUP($A34,'Data shares'!$C:$FB,7)</f>
        <v>56305</v>
      </c>
      <c r="C34" s="50">
        <f>VLOOKUP($A34,'Data shares'!$C:$FB,10)*100</f>
        <v>-1.43</v>
      </c>
      <c r="D34" s="49">
        <f>VLOOKUP($A34,'Data shares'!$C:$FB,66)</f>
        <v>127968450</v>
      </c>
      <c r="E34" s="49">
        <f>VLOOKUP($A34,'Data shares'!$C:$FB,67)</f>
        <v>116476470</v>
      </c>
      <c r="F34" s="50">
        <f>VLOOKUP($A34,'Data shares'!$C:$FB,69)*100</f>
        <v>9.8699999999999992</v>
      </c>
      <c r="G34" s="49">
        <f>VLOOKUP($A34,'Data shares'!$C:$FB,42)</f>
        <v>1254420</v>
      </c>
      <c r="H34" s="49">
        <f>VLOOKUP($A34,'Data shares'!$C:$FB,43)</f>
        <v>897330</v>
      </c>
      <c r="I34" s="50">
        <f>VLOOKUP($A34,'Data shares'!$C:$FB,45)*100</f>
        <v>39.79</v>
      </c>
      <c r="J34" s="49">
        <f>VLOOKUP($A34,'Data shares'!$C:$FB,58)</f>
        <v>66945990</v>
      </c>
      <c r="K34" s="49">
        <f>VLOOKUP($A34,'Data shares'!$C:$FB,59)</f>
        <v>56721720</v>
      </c>
      <c r="L34" s="50">
        <f>VLOOKUP($A34,'Data shares'!$C:$FB,61)*100</f>
        <v>18.029999999999998</v>
      </c>
      <c r="M34" s="49">
        <f>VLOOKUP($A34,'Data shares'!$C:$FB,62)</f>
        <v>59768040</v>
      </c>
      <c r="N34" s="49">
        <f>VLOOKUP($A34,'Data shares'!$C:$FB,63)</f>
        <v>58857420</v>
      </c>
      <c r="O34" s="140">
        <f>VLOOKUP($A34,'Data shares'!$C:$FB,65)*100</f>
        <v>1.55</v>
      </c>
    </row>
    <row r="35" spans="1:15" x14ac:dyDescent="0.25">
      <c r="A35" s="101" t="str">
        <f>'Data Vlaue (Cr)'!C30</f>
        <v>BDL</v>
      </c>
      <c r="B35" s="50">
        <f>VLOOKUP($A35,'Data shares'!$C:$FB,7)</f>
        <v>1423.3</v>
      </c>
      <c r="C35" s="50">
        <f>VLOOKUP($A35,'Data shares'!$C:$FB,10)*100</f>
        <v>3.1199999999999997</v>
      </c>
      <c r="D35" s="49">
        <f>VLOOKUP($A35,'Data shares'!$C:$FB,66)</f>
        <v>17820600</v>
      </c>
      <c r="E35" s="49">
        <f>VLOOKUP($A35,'Data shares'!$C:$FB,67)</f>
        <v>6240150</v>
      </c>
      <c r="F35" s="50">
        <f>VLOOKUP($A35,'Data shares'!$C:$FB,69)*100</f>
        <v>185.57999999999998</v>
      </c>
      <c r="G35" s="49">
        <f>VLOOKUP($A35,'Data shares'!$C:$FB,42)</f>
        <v>4104100</v>
      </c>
      <c r="H35" s="49">
        <f>VLOOKUP($A35,'Data shares'!$C:$FB,43)</f>
        <v>1207150</v>
      </c>
      <c r="I35" s="50">
        <f>VLOOKUP($A35,'Data shares'!$C:$FB,45)*100</f>
        <v>239.98</v>
      </c>
      <c r="J35" s="49">
        <f>VLOOKUP($A35,'Data shares'!$C:$FB,58)</f>
        <v>10175200</v>
      </c>
      <c r="K35" s="49">
        <f>VLOOKUP($A35,'Data shares'!$C:$FB,59)</f>
        <v>2888550</v>
      </c>
      <c r="L35" s="50">
        <f>VLOOKUP($A35,'Data shares'!$C:$FB,61)*100</f>
        <v>252.26000000000002</v>
      </c>
      <c r="M35" s="49">
        <f>VLOOKUP($A35,'Data shares'!$C:$FB,62)</f>
        <v>3541300</v>
      </c>
      <c r="N35" s="49">
        <f>VLOOKUP($A35,'Data shares'!$C:$FB,63)</f>
        <v>2144450</v>
      </c>
      <c r="O35" s="140">
        <f>VLOOKUP($A35,'Data shares'!$C:$FB,65)*100</f>
        <v>65.14</v>
      </c>
    </row>
    <row r="36" spans="1:15" x14ac:dyDescent="0.25">
      <c r="A36" s="101" t="str">
        <f>'Data Vlaue (Cr)'!C31</f>
        <v>BEL</v>
      </c>
      <c r="B36" s="50">
        <f>VLOOKUP($A36,'Data shares'!$C:$FB,7)</f>
        <v>449.95</v>
      </c>
      <c r="C36" s="50">
        <f>VLOOKUP($A36,'Data shares'!$C:$FB,10)*100</f>
        <v>0.27999999999999997</v>
      </c>
      <c r="D36" s="49">
        <f>VLOOKUP($A36,'Data shares'!$C:$FB,66)</f>
        <v>162901725</v>
      </c>
      <c r="E36" s="49">
        <f>VLOOKUP($A36,'Data shares'!$C:$FB,67)</f>
        <v>120914100</v>
      </c>
      <c r="F36" s="50">
        <f>VLOOKUP($A36,'Data shares'!$C:$FB,69)*100</f>
        <v>34.729999999999997</v>
      </c>
      <c r="G36" s="49">
        <f>VLOOKUP($A36,'Data shares'!$C:$FB,42)</f>
        <v>45447525</v>
      </c>
      <c r="H36" s="49">
        <f>VLOOKUP($A36,'Data shares'!$C:$FB,43)</f>
        <v>21932175</v>
      </c>
      <c r="I36" s="50">
        <f>VLOOKUP($A36,'Data shares'!$C:$FB,45)*100</f>
        <v>107.22</v>
      </c>
      <c r="J36" s="49">
        <f>VLOOKUP($A36,'Data shares'!$C:$FB,58)</f>
        <v>80267400</v>
      </c>
      <c r="K36" s="49">
        <f>VLOOKUP($A36,'Data shares'!$C:$FB,59)</f>
        <v>68169150</v>
      </c>
      <c r="L36" s="50">
        <f>VLOOKUP($A36,'Data shares'!$C:$FB,61)*100</f>
        <v>17.75</v>
      </c>
      <c r="M36" s="49">
        <f>VLOOKUP($A36,'Data shares'!$C:$FB,62)</f>
        <v>37186800</v>
      </c>
      <c r="N36" s="49">
        <f>VLOOKUP($A36,'Data shares'!$C:$FB,63)</f>
        <v>30812775</v>
      </c>
      <c r="O36" s="140">
        <f>VLOOKUP($A36,'Data shares'!$C:$FB,65)*100</f>
        <v>20.69</v>
      </c>
    </row>
    <row r="37" spans="1:15" x14ac:dyDescent="0.25">
      <c r="A37" s="101" t="str">
        <f>'Data Vlaue (Cr)'!C32</f>
        <v>BHARATFORG</v>
      </c>
      <c r="B37" s="50">
        <f>VLOOKUP($A37,'Data shares'!$C:$FB,7)</f>
        <v>1874.1</v>
      </c>
      <c r="C37" s="50">
        <f>VLOOKUP($A37,'Data shares'!$C:$FB,10)*100</f>
        <v>-1.53</v>
      </c>
      <c r="D37" s="49">
        <f>VLOOKUP($A37,'Data shares'!$C:$FB,66)</f>
        <v>17452500</v>
      </c>
      <c r="E37" s="49">
        <f>VLOOKUP($A37,'Data shares'!$C:$FB,67)</f>
        <v>10284500</v>
      </c>
      <c r="F37" s="50">
        <f>VLOOKUP($A37,'Data shares'!$C:$FB,69)*100</f>
        <v>69.699999999999989</v>
      </c>
      <c r="G37" s="49">
        <f>VLOOKUP($A37,'Data shares'!$C:$FB,42)</f>
        <v>6993500</v>
      </c>
      <c r="H37" s="49">
        <f>VLOOKUP($A37,'Data shares'!$C:$FB,43)</f>
        <v>2185500</v>
      </c>
      <c r="I37" s="50">
        <f>VLOOKUP($A37,'Data shares'!$C:$FB,45)*100</f>
        <v>220.00000000000003</v>
      </c>
      <c r="J37" s="49">
        <f>VLOOKUP($A37,'Data shares'!$C:$FB,58)</f>
        <v>6192500</v>
      </c>
      <c r="K37" s="49">
        <f>VLOOKUP($A37,'Data shares'!$C:$FB,59)</f>
        <v>5692500</v>
      </c>
      <c r="L37" s="50">
        <f>VLOOKUP($A37,'Data shares'!$C:$FB,61)*100</f>
        <v>8.7800000000000011</v>
      </c>
      <c r="M37" s="49">
        <f>VLOOKUP($A37,'Data shares'!$C:$FB,62)</f>
        <v>4266500</v>
      </c>
      <c r="N37" s="49">
        <f>VLOOKUP($A37,'Data shares'!$C:$FB,63)</f>
        <v>2406500</v>
      </c>
      <c r="O37" s="140">
        <f>VLOOKUP($A37,'Data shares'!$C:$FB,65)*100</f>
        <v>77.290000000000006</v>
      </c>
    </row>
    <row r="38" spans="1:15" x14ac:dyDescent="0.25">
      <c r="A38" s="101" t="str">
        <f>'Data Vlaue (Cr)'!C33</f>
        <v>BHARTIARTL</v>
      </c>
      <c r="B38" s="50">
        <f>VLOOKUP($A38,'Data shares'!$C:$FB,7)</f>
        <v>1841.2</v>
      </c>
      <c r="C38" s="50">
        <f>VLOOKUP($A38,'Data shares'!$C:$FB,10)*100</f>
        <v>0.67</v>
      </c>
      <c r="D38" s="49">
        <f>VLOOKUP($A38,'Data shares'!$C:$FB,66)</f>
        <v>54242150</v>
      </c>
      <c r="E38" s="49">
        <f>VLOOKUP($A38,'Data shares'!$C:$FB,67)</f>
        <v>38645050</v>
      </c>
      <c r="F38" s="50">
        <f>VLOOKUP($A38,'Data shares'!$C:$FB,69)*100</f>
        <v>40.36</v>
      </c>
      <c r="G38" s="49">
        <f>VLOOKUP($A38,'Data shares'!$C:$FB,42)</f>
        <v>21433425</v>
      </c>
      <c r="H38" s="49">
        <f>VLOOKUP($A38,'Data shares'!$C:$FB,43)</f>
        <v>8313925</v>
      </c>
      <c r="I38" s="50">
        <f>VLOOKUP($A38,'Data shares'!$C:$FB,45)*100</f>
        <v>157.80000000000001</v>
      </c>
      <c r="J38" s="49">
        <f>VLOOKUP($A38,'Data shares'!$C:$FB,58)</f>
        <v>24240675</v>
      </c>
      <c r="K38" s="49">
        <f>VLOOKUP($A38,'Data shares'!$C:$FB,59)</f>
        <v>19466925</v>
      </c>
      <c r="L38" s="50">
        <f>VLOOKUP($A38,'Data shares'!$C:$FB,61)*100</f>
        <v>24.52</v>
      </c>
      <c r="M38" s="49">
        <f>VLOOKUP($A38,'Data shares'!$C:$FB,62)</f>
        <v>8568050</v>
      </c>
      <c r="N38" s="49">
        <f>VLOOKUP($A38,'Data shares'!$C:$FB,63)</f>
        <v>10864200</v>
      </c>
      <c r="O38" s="140">
        <f>VLOOKUP($A38,'Data shares'!$C:$FB,65)*100</f>
        <v>-21.14</v>
      </c>
    </row>
    <row r="39" spans="1:15" x14ac:dyDescent="0.25">
      <c r="A39" s="101" t="str">
        <f>'Data Vlaue (Cr)'!C34</f>
        <v>BHEL</v>
      </c>
      <c r="B39" s="50">
        <f>VLOOKUP($A39,'Data shares'!$C:$FB,7)</f>
        <v>337.6</v>
      </c>
      <c r="C39" s="50">
        <f>VLOOKUP($A39,'Data shares'!$C:$FB,10)*100</f>
        <v>1.1900000000000002</v>
      </c>
      <c r="D39" s="49">
        <f>VLOOKUP($A39,'Data shares'!$C:$FB,66)</f>
        <v>252950250</v>
      </c>
      <c r="E39" s="49">
        <f>VLOOKUP($A39,'Data shares'!$C:$FB,67)</f>
        <v>205723875</v>
      </c>
      <c r="F39" s="50">
        <f>VLOOKUP($A39,'Data shares'!$C:$FB,69)*100</f>
        <v>22.96</v>
      </c>
      <c r="G39" s="49">
        <f>VLOOKUP($A39,'Data shares'!$C:$FB,42)</f>
        <v>71709750</v>
      </c>
      <c r="H39" s="49">
        <f>VLOOKUP($A39,'Data shares'!$C:$FB,43)</f>
        <v>26110875</v>
      </c>
      <c r="I39" s="50">
        <f>VLOOKUP($A39,'Data shares'!$C:$FB,45)*100</f>
        <v>174.64</v>
      </c>
      <c r="J39" s="49">
        <f>VLOOKUP($A39,'Data shares'!$C:$FB,58)</f>
        <v>113098125</v>
      </c>
      <c r="K39" s="49">
        <f>VLOOKUP($A39,'Data shares'!$C:$FB,59)</f>
        <v>116027625</v>
      </c>
      <c r="L39" s="50">
        <f>VLOOKUP($A39,'Data shares'!$C:$FB,61)*100</f>
        <v>-2.52</v>
      </c>
      <c r="M39" s="49">
        <f>VLOOKUP($A39,'Data shares'!$C:$FB,62)</f>
        <v>68142375</v>
      </c>
      <c r="N39" s="49">
        <f>VLOOKUP($A39,'Data shares'!$C:$FB,63)</f>
        <v>63585375</v>
      </c>
      <c r="O39" s="140">
        <f>VLOOKUP($A39,'Data shares'!$C:$FB,65)*100</f>
        <v>7.17</v>
      </c>
    </row>
    <row r="40" spans="1:15" x14ac:dyDescent="0.25">
      <c r="A40" s="101" t="str">
        <f>'Data Vlaue (Cr)'!C35</f>
        <v>BIOCON</v>
      </c>
      <c r="B40" s="50">
        <f>VLOOKUP($A40,'Data shares'!$C:$FB,7)</f>
        <v>358</v>
      </c>
      <c r="C40" s="50">
        <f>VLOOKUP($A40,'Data shares'!$C:$FB,10)*100</f>
        <v>0.06</v>
      </c>
      <c r="D40" s="49">
        <f>VLOOKUP($A40,'Data shares'!$C:$FB,66)</f>
        <v>68695000</v>
      </c>
      <c r="E40" s="49">
        <f>VLOOKUP($A40,'Data shares'!$C:$FB,67)</f>
        <v>35492500</v>
      </c>
      <c r="F40" s="50">
        <f>VLOOKUP($A40,'Data shares'!$C:$FB,69)*100</f>
        <v>93.55</v>
      </c>
      <c r="G40" s="49">
        <f>VLOOKUP($A40,'Data shares'!$C:$FB,42)</f>
        <v>16147500</v>
      </c>
      <c r="H40" s="49">
        <f>VLOOKUP($A40,'Data shares'!$C:$FB,43)</f>
        <v>7680000</v>
      </c>
      <c r="I40" s="50">
        <f>VLOOKUP($A40,'Data shares'!$C:$FB,45)*100</f>
        <v>110.25</v>
      </c>
      <c r="J40" s="49">
        <f>VLOOKUP($A40,'Data shares'!$C:$FB,58)</f>
        <v>42010000</v>
      </c>
      <c r="K40" s="49">
        <f>VLOOKUP($A40,'Data shares'!$C:$FB,59)</f>
        <v>20470000</v>
      </c>
      <c r="L40" s="50">
        <f>VLOOKUP($A40,'Data shares'!$C:$FB,61)*100</f>
        <v>105.23</v>
      </c>
      <c r="M40" s="49">
        <f>VLOOKUP($A40,'Data shares'!$C:$FB,62)</f>
        <v>10537500</v>
      </c>
      <c r="N40" s="49">
        <f>VLOOKUP($A40,'Data shares'!$C:$FB,63)</f>
        <v>7342500</v>
      </c>
      <c r="O40" s="140">
        <f>VLOOKUP($A40,'Data shares'!$C:$FB,65)*100</f>
        <v>43.51</v>
      </c>
    </row>
    <row r="41" spans="1:15" x14ac:dyDescent="0.25">
      <c r="A41" s="101" t="str">
        <f>'Data Vlaue (Cr)'!C36</f>
        <v>BLUESTARCO</v>
      </c>
      <c r="B41" s="50">
        <f>VLOOKUP($A41,'Data shares'!$C:$FB,7)</f>
        <v>1829.8</v>
      </c>
      <c r="C41" s="50">
        <f>VLOOKUP($A41,'Data shares'!$C:$FB,10)*100</f>
        <v>-3.11</v>
      </c>
      <c r="D41" s="49">
        <f>VLOOKUP($A41,'Data shares'!$C:$FB,66)</f>
        <v>6028425</v>
      </c>
      <c r="E41" s="49">
        <f>VLOOKUP($A41,'Data shares'!$C:$FB,67)</f>
        <v>3202875</v>
      </c>
      <c r="F41" s="50">
        <f>VLOOKUP($A41,'Data shares'!$C:$FB,69)*100</f>
        <v>88.22</v>
      </c>
      <c r="G41" s="49">
        <f>VLOOKUP($A41,'Data shares'!$C:$FB,42)</f>
        <v>3283150</v>
      </c>
      <c r="H41" s="49">
        <f>VLOOKUP($A41,'Data shares'!$C:$FB,43)</f>
        <v>1012700</v>
      </c>
      <c r="I41" s="50">
        <f>VLOOKUP($A41,'Data shares'!$C:$FB,45)*100</f>
        <v>224.2</v>
      </c>
      <c r="J41" s="49">
        <f>VLOOKUP($A41,'Data shares'!$C:$FB,58)</f>
        <v>1679275</v>
      </c>
      <c r="K41" s="49">
        <f>VLOOKUP($A41,'Data shares'!$C:$FB,59)</f>
        <v>1644825</v>
      </c>
      <c r="L41" s="50">
        <f>VLOOKUP($A41,'Data shares'!$C:$FB,61)*100</f>
        <v>2.09</v>
      </c>
      <c r="M41" s="49">
        <f>VLOOKUP($A41,'Data shares'!$C:$FB,62)</f>
        <v>1066000</v>
      </c>
      <c r="N41" s="49">
        <f>VLOOKUP($A41,'Data shares'!$C:$FB,63)</f>
        <v>545350</v>
      </c>
      <c r="O41" s="140">
        <f>VLOOKUP($A41,'Data shares'!$C:$FB,65)*100</f>
        <v>95.47</v>
      </c>
    </row>
    <row r="42" spans="1:15" x14ac:dyDescent="0.25">
      <c r="A42" s="101" t="str">
        <f>'Data Vlaue (Cr)'!C37</f>
        <v>BOSCHLTD</v>
      </c>
      <c r="B42" s="50">
        <f>VLOOKUP($A42,'Data shares'!$C:$FB,7)</f>
        <v>37380</v>
      </c>
      <c r="C42" s="50">
        <f>VLOOKUP($A42,'Data shares'!$C:$FB,10)*100</f>
        <v>-1.3299999999999998</v>
      </c>
      <c r="D42" s="49">
        <f>VLOOKUP($A42,'Data shares'!$C:$FB,66)</f>
        <v>1819900</v>
      </c>
      <c r="E42" s="49">
        <f>VLOOKUP($A42,'Data shares'!$C:$FB,67)</f>
        <v>1396175</v>
      </c>
      <c r="F42" s="50">
        <f>VLOOKUP($A42,'Data shares'!$C:$FB,69)*100</f>
        <v>30.349999999999998</v>
      </c>
      <c r="G42" s="49">
        <f>VLOOKUP($A42,'Data shares'!$C:$FB,42)</f>
        <v>171625</v>
      </c>
      <c r="H42" s="49">
        <f>VLOOKUP($A42,'Data shares'!$C:$FB,43)</f>
        <v>41600</v>
      </c>
      <c r="I42" s="50">
        <f>VLOOKUP($A42,'Data shares'!$C:$FB,45)*100</f>
        <v>312.56</v>
      </c>
      <c r="J42" s="49">
        <f>VLOOKUP($A42,'Data shares'!$C:$FB,58)</f>
        <v>217400</v>
      </c>
      <c r="K42" s="49">
        <f>VLOOKUP($A42,'Data shares'!$C:$FB,59)</f>
        <v>201225</v>
      </c>
      <c r="L42" s="50">
        <f>VLOOKUP($A42,'Data shares'!$C:$FB,61)*100</f>
        <v>8.0399999999999991</v>
      </c>
      <c r="M42" s="49">
        <f>VLOOKUP($A42,'Data shares'!$C:$FB,62)</f>
        <v>1430875</v>
      </c>
      <c r="N42" s="49">
        <f>VLOOKUP($A42,'Data shares'!$C:$FB,63)</f>
        <v>1153350</v>
      </c>
      <c r="O42" s="140">
        <f>VLOOKUP($A42,'Data shares'!$C:$FB,65)*100</f>
        <v>24.060000000000002</v>
      </c>
    </row>
    <row r="43" spans="1:15" x14ac:dyDescent="0.25">
      <c r="A43" s="101" t="str">
        <f>'Data Vlaue (Cr)'!C38</f>
        <v>BPCL</v>
      </c>
      <c r="B43" s="50">
        <f>VLOOKUP($A43,'Data shares'!$C:$FB,7)</f>
        <v>309.8</v>
      </c>
      <c r="C43" s="50">
        <f>VLOOKUP($A43,'Data shares'!$C:$FB,10)*100</f>
        <v>-1.46</v>
      </c>
      <c r="D43" s="49">
        <f>VLOOKUP($A43,'Data shares'!$C:$FB,66)</f>
        <v>70468000</v>
      </c>
      <c r="E43" s="49">
        <f>VLOOKUP($A43,'Data shares'!$C:$FB,67)</f>
        <v>50868100</v>
      </c>
      <c r="F43" s="50">
        <f>VLOOKUP($A43,'Data shares'!$C:$FB,69)*100</f>
        <v>38.53</v>
      </c>
      <c r="G43" s="49">
        <f>VLOOKUP($A43,'Data shares'!$C:$FB,42)</f>
        <v>26433400</v>
      </c>
      <c r="H43" s="49">
        <f>VLOOKUP($A43,'Data shares'!$C:$FB,43)</f>
        <v>12809850</v>
      </c>
      <c r="I43" s="50">
        <f>VLOOKUP($A43,'Data shares'!$C:$FB,45)*100</f>
        <v>106.35</v>
      </c>
      <c r="J43" s="49">
        <f>VLOOKUP($A43,'Data shares'!$C:$FB,58)</f>
        <v>23782950</v>
      </c>
      <c r="K43" s="49">
        <f>VLOOKUP($A43,'Data shares'!$C:$FB,59)</f>
        <v>24886975</v>
      </c>
      <c r="L43" s="50">
        <f>VLOOKUP($A43,'Data shares'!$C:$FB,61)*100</f>
        <v>-4.4400000000000004</v>
      </c>
      <c r="M43" s="49">
        <f>VLOOKUP($A43,'Data shares'!$C:$FB,62)</f>
        <v>20251650</v>
      </c>
      <c r="N43" s="49">
        <f>VLOOKUP($A43,'Data shares'!$C:$FB,63)</f>
        <v>13171275</v>
      </c>
      <c r="O43" s="140">
        <f>VLOOKUP($A43,'Data shares'!$C:$FB,65)*100</f>
        <v>53.76</v>
      </c>
    </row>
    <row r="44" spans="1:15" x14ac:dyDescent="0.25">
      <c r="A44" s="101" t="str">
        <f>'Data Vlaue (Cr)'!C39</f>
        <v>BRITANNIA</v>
      </c>
      <c r="B44" s="50">
        <f>VLOOKUP($A44,'Data shares'!$C:$FB,7)</f>
        <v>5671.5</v>
      </c>
      <c r="C44" s="50">
        <f>VLOOKUP($A44,'Data shares'!$C:$FB,10)*100</f>
        <v>-1.01</v>
      </c>
      <c r="D44" s="49">
        <f>VLOOKUP($A44,'Data shares'!$C:$FB,66)</f>
        <v>4593875</v>
      </c>
      <c r="E44" s="49">
        <f>VLOOKUP($A44,'Data shares'!$C:$FB,67)</f>
        <v>7204250</v>
      </c>
      <c r="F44" s="50">
        <f>VLOOKUP($A44,'Data shares'!$C:$FB,69)*100</f>
        <v>-36.230000000000004</v>
      </c>
      <c r="G44" s="49">
        <f>VLOOKUP($A44,'Data shares'!$C:$FB,42)</f>
        <v>2135375</v>
      </c>
      <c r="H44" s="49">
        <f>VLOOKUP($A44,'Data shares'!$C:$FB,43)</f>
        <v>1377375</v>
      </c>
      <c r="I44" s="50">
        <f>VLOOKUP($A44,'Data shares'!$C:$FB,45)*100</f>
        <v>55.03</v>
      </c>
      <c r="J44" s="49">
        <f>VLOOKUP($A44,'Data shares'!$C:$FB,58)</f>
        <v>1728625</v>
      </c>
      <c r="K44" s="49">
        <f>VLOOKUP($A44,'Data shares'!$C:$FB,59)</f>
        <v>4368125</v>
      </c>
      <c r="L44" s="50">
        <f>VLOOKUP($A44,'Data shares'!$C:$FB,61)*100</f>
        <v>-60.429999999999993</v>
      </c>
      <c r="M44" s="49">
        <f>VLOOKUP($A44,'Data shares'!$C:$FB,62)</f>
        <v>729875</v>
      </c>
      <c r="N44" s="49">
        <f>VLOOKUP($A44,'Data shares'!$C:$FB,63)</f>
        <v>1458750</v>
      </c>
      <c r="O44" s="140">
        <f>VLOOKUP($A44,'Data shares'!$C:$FB,65)*100</f>
        <v>-49.97</v>
      </c>
    </row>
    <row r="45" spans="1:15" x14ac:dyDescent="0.25">
      <c r="A45" s="101" t="str">
        <f>'Data Vlaue (Cr)'!C40</f>
        <v>BSE</v>
      </c>
      <c r="B45" s="50">
        <f>VLOOKUP($A45,'Data shares'!$C:$FB,7)</f>
        <v>3463</v>
      </c>
      <c r="C45" s="50">
        <f>VLOOKUP($A45,'Data shares'!$C:$FB,10)*100</f>
        <v>-1.03</v>
      </c>
      <c r="D45" s="49">
        <f>VLOOKUP($A45,'Data shares'!$C:$FB,66)</f>
        <v>26989500</v>
      </c>
      <c r="E45" s="49">
        <f>VLOOKUP($A45,'Data shares'!$C:$FB,67)</f>
        <v>21563250</v>
      </c>
      <c r="F45" s="50">
        <f>VLOOKUP($A45,'Data shares'!$C:$FB,69)*100</f>
        <v>25.16</v>
      </c>
      <c r="G45" s="49">
        <f>VLOOKUP($A45,'Data shares'!$C:$FB,42)</f>
        <v>4613625</v>
      </c>
      <c r="H45" s="49">
        <f>VLOOKUP($A45,'Data shares'!$C:$FB,43)</f>
        <v>1849125</v>
      </c>
      <c r="I45" s="50">
        <f>VLOOKUP($A45,'Data shares'!$C:$FB,45)*100</f>
        <v>149.5</v>
      </c>
      <c r="J45" s="49">
        <f>VLOOKUP($A45,'Data shares'!$C:$FB,58)</f>
        <v>11383875</v>
      </c>
      <c r="K45" s="49">
        <f>VLOOKUP($A45,'Data shares'!$C:$FB,59)</f>
        <v>9470250</v>
      </c>
      <c r="L45" s="50">
        <f>VLOOKUP($A45,'Data shares'!$C:$FB,61)*100</f>
        <v>20.21</v>
      </c>
      <c r="M45" s="49">
        <f>VLOOKUP($A45,'Data shares'!$C:$FB,62)</f>
        <v>10992000</v>
      </c>
      <c r="N45" s="49">
        <f>VLOOKUP($A45,'Data shares'!$C:$FB,63)</f>
        <v>10243875</v>
      </c>
      <c r="O45" s="140">
        <f>VLOOKUP($A45,'Data shares'!$C:$FB,65)*100</f>
        <v>7.3</v>
      </c>
    </row>
    <row r="46" spans="1:15" x14ac:dyDescent="0.25">
      <c r="A46" s="101" t="str">
        <f>'Data Vlaue (Cr)'!C41</f>
        <v>CAMS</v>
      </c>
      <c r="B46" s="50">
        <f>VLOOKUP($A46,'Data shares'!$C:$FB,7)</f>
        <v>770.4</v>
      </c>
      <c r="C46" s="50">
        <f>VLOOKUP($A46,'Data shares'!$C:$FB,10)*100</f>
        <v>1.96</v>
      </c>
      <c r="D46" s="49">
        <f>VLOOKUP($A46,'Data shares'!$C:$FB,66)</f>
        <v>19564500</v>
      </c>
      <c r="E46" s="49">
        <f>VLOOKUP($A46,'Data shares'!$C:$FB,67)</f>
        <v>4685250</v>
      </c>
      <c r="F46" s="50">
        <f>VLOOKUP($A46,'Data shares'!$C:$FB,69)*100</f>
        <v>317.58000000000004</v>
      </c>
      <c r="G46" s="49">
        <f>VLOOKUP($A46,'Data shares'!$C:$FB,42)</f>
        <v>7722750</v>
      </c>
      <c r="H46" s="49">
        <f>VLOOKUP($A46,'Data shares'!$C:$FB,43)</f>
        <v>1238250</v>
      </c>
      <c r="I46" s="50">
        <f>VLOOKUP($A46,'Data shares'!$C:$FB,45)*100</f>
        <v>523.67999999999995</v>
      </c>
      <c r="J46" s="49">
        <f>VLOOKUP($A46,'Data shares'!$C:$FB,58)</f>
        <v>8851500</v>
      </c>
      <c r="K46" s="49">
        <f>VLOOKUP($A46,'Data shares'!$C:$FB,59)</f>
        <v>2319750</v>
      </c>
      <c r="L46" s="50">
        <f>VLOOKUP($A46,'Data shares'!$C:$FB,61)*100</f>
        <v>281.57</v>
      </c>
      <c r="M46" s="49">
        <f>VLOOKUP($A46,'Data shares'!$C:$FB,62)</f>
        <v>2990250</v>
      </c>
      <c r="N46" s="49">
        <f>VLOOKUP($A46,'Data shares'!$C:$FB,63)</f>
        <v>1127250</v>
      </c>
      <c r="O46" s="140">
        <f>VLOOKUP($A46,'Data shares'!$C:$FB,65)*100</f>
        <v>165.27</v>
      </c>
    </row>
    <row r="47" spans="1:15" x14ac:dyDescent="0.25">
      <c r="A47" s="101" t="str">
        <f>'Data Vlaue (Cr)'!C42</f>
        <v>CANBK</v>
      </c>
      <c r="B47" s="50">
        <f>VLOOKUP($A47,'Data shares'!$C:$FB,7)</f>
        <v>140.87</v>
      </c>
      <c r="C47" s="50">
        <f>VLOOKUP($A47,'Data shares'!$C:$FB,10)*100</f>
        <v>-3</v>
      </c>
      <c r="D47" s="49">
        <f>VLOOKUP($A47,'Data shares'!$C:$FB,66)</f>
        <v>394065000</v>
      </c>
      <c r="E47" s="49">
        <f>VLOOKUP($A47,'Data shares'!$C:$FB,67)</f>
        <v>261353250</v>
      </c>
      <c r="F47" s="50">
        <f>VLOOKUP($A47,'Data shares'!$C:$FB,69)*100</f>
        <v>50.78</v>
      </c>
      <c r="G47" s="49">
        <f>VLOOKUP($A47,'Data shares'!$C:$FB,42)</f>
        <v>139711500</v>
      </c>
      <c r="H47" s="49">
        <f>VLOOKUP($A47,'Data shares'!$C:$FB,43)</f>
        <v>47020500</v>
      </c>
      <c r="I47" s="50">
        <f>VLOOKUP($A47,'Data shares'!$C:$FB,45)*100</f>
        <v>197.13</v>
      </c>
      <c r="J47" s="49">
        <f>VLOOKUP($A47,'Data shares'!$C:$FB,58)</f>
        <v>135317250</v>
      </c>
      <c r="K47" s="49">
        <f>VLOOKUP($A47,'Data shares'!$C:$FB,59)</f>
        <v>114210000</v>
      </c>
      <c r="L47" s="50">
        <f>VLOOKUP($A47,'Data shares'!$C:$FB,61)*100</f>
        <v>18.48</v>
      </c>
      <c r="M47" s="49">
        <f>VLOOKUP($A47,'Data shares'!$C:$FB,62)</f>
        <v>119036250</v>
      </c>
      <c r="N47" s="49">
        <f>VLOOKUP($A47,'Data shares'!$C:$FB,63)</f>
        <v>100122750</v>
      </c>
      <c r="O47" s="140">
        <f>VLOOKUP($A47,'Data shares'!$C:$FB,65)*100</f>
        <v>18.89</v>
      </c>
    </row>
    <row r="48" spans="1:15" x14ac:dyDescent="0.25">
      <c r="A48" s="101" t="str">
        <f>'Data Vlaue (Cr)'!C43</f>
        <v>CDSL</v>
      </c>
      <c r="B48" s="50">
        <f>VLOOKUP($A48,'Data shares'!$C:$FB,7)</f>
        <v>1323.6</v>
      </c>
      <c r="C48" s="50">
        <f>VLOOKUP($A48,'Data shares'!$C:$FB,10)*100</f>
        <v>0.18</v>
      </c>
      <c r="D48" s="49">
        <f>VLOOKUP($A48,'Data shares'!$C:$FB,66)</f>
        <v>21428200</v>
      </c>
      <c r="E48" s="49">
        <f>VLOOKUP($A48,'Data shares'!$C:$FB,67)</f>
        <v>28914675</v>
      </c>
      <c r="F48" s="50">
        <f>VLOOKUP($A48,'Data shares'!$C:$FB,69)*100</f>
        <v>-25.89</v>
      </c>
      <c r="G48" s="49">
        <f>VLOOKUP($A48,'Data shares'!$C:$FB,42)</f>
        <v>8460700</v>
      </c>
      <c r="H48" s="49">
        <f>VLOOKUP($A48,'Data shares'!$C:$FB,43)</f>
        <v>5188425</v>
      </c>
      <c r="I48" s="50">
        <f>VLOOKUP($A48,'Data shares'!$C:$FB,45)*100</f>
        <v>63.070000000000007</v>
      </c>
      <c r="J48" s="49">
        <f>VLOOKUP($A48,'Data shares'!$C:$FB,58)</f>
        <v>8671125</v>
      </c>
      <c r="K48" s="49">
        <f>VLOOKUP($A48,'Data shares'!$C:$FB,59)</f>
        <v>14173525</v>
      </c>
      <c r="L48" s="50">
        <f>VLOOKUP($A48,'Data shares'!$C:$FB,61)*100</f>
        <v>-38.82</v>
      </c>
      <c r="M48" s="49">
        <f>VLOOKUP($A48,'Data shares'!$C:$FB,62)</f>
        <v>4296375</v>
      </c>
      <c r="N48" s="49">
        <f>VLOOKUP($A48,'Data shares'!$C:$FB,63)</f>
        <v>9552725</v>
      </c>
      <c r="O48" s="140">
        <f>VLOOKUP($A48,'Data shares'!$C:$FB,65)*100</f>
        <v>-55.02</v>
      </c>
    </row>
    <row r="49" spans="1:15" x14ac:dyDescent="0.25">
      <c r="A49" s="101" t="str">
        <f>'Data Vlaue (Cr)'!C44</f>
        <v>CGPOWER</v>
      </c>
      <c r="B49" s="50">
        <f>VLOOKUP($A49,'Data shares'!$C:$FB,7)</f>
        <v>837.8</v>
      </c>
      <c r="C49" s="50">
        <f>VLOOKUP($A49,'Data shares'!$C:$FB,10)*100</f>
        <v>1.63</v>
      </c>
      <c r="D49" s="49">
        <f>VLOOKUP($A49,'Data shares'!$C:$FB,66)</f>
        <v>45567650</v>
      </c>
      <c r="E49" s="49">
        <f>VLOOKUP($A49,'Data shares'!$C:$FB,67)</f>
        <v>38799950</v>
      </c>
      <c r="F49" s="50">
        <f>VLOOKUP($A49,'Data shares'!$C:$FB,69)*100</f>
        <v>17.440000000000001</v>
      </c>
      <c r="G49" s="49">
        <f>VLOOKUP($A49,'Data shares'!$C:$FB,42)</f>
        <v>13874550</v>
      </c>
      <c r="H49" s="49">
        <f>VLOOKUP($A49,'Data shares'!$C:$FB,43)</f>
        <v>6553500</v>
      </c>
      <c r="I49" s="50">
        <f>VLOOKUP($A49,'Data shares'!$C:$FB,45)*100</f>
        <v>111.71</v>
      </c>
      <c r="J49" s="49">
        <f>VLOOKUP($A49,'Data shares'!$C:$FB,58)</f>
        <v>22868400</v>
      </c>
      <c r="K49" s="49">
        <f>VLOOKUP($A49,'Data shares'!$C:$FB,59)</f>
        <v>23023100</v>
      </c>
      <c r="L49" s="50">
        <f>VLOOKUP($A49,'Data shares'!$C:$FB,61)*100</f>
        <v>-0.67</v>
      </c>
      <c r="M49" s="49">
        <f>VLOOKUP($A49,'Data shares'!$C:$FB,62)</f>
        <v>8824700</v>
      </c>
      <c r="N49" s="49">
        <f>VLOOKUP($A49,'Data shares'!$C:$FB,63)</f>
        <v>9223350</v>
      </c>
      <c r="O49" s="140">
        <f>VLOOKUP($A49,'Data shares'!$C:$FB,65)*100</f>
        <v>-4.32</v>
      </c>
    </row>
    <row r="50" spans="1:15" x14ac:dyDescent="0.25">
      <c r="A50" s="101" t="str">
        <f>'Data Vlaue (Cr)'!C45</f>
        <v>CHOLAFIN</v>
      </c>
      <c r="B50" s="50">
        <f>VLOOKUP($A50,'Data shares'!$C:$FB,7)</f>
        <v>1543.4</v>
      </c>
      <c r="C50" s="50">
        <f>VLOOKUP($A50,'Data shares'!$C:$FB,10)*100</f>
        <v>-1.4200000000000002</v>
      </c>
      <c r="D50" s="49">
        <f>VLOOKUP($A50,'Data shares'!$C:$FB,66)</f>
        <v>23923125</v>
      </c>
      <c r="E50" s="49">
        <f>VLOOKUP($A50,'Data shares'!$C:$FB,67)</f>
        <v>13853125</v>
      </c>
      <c r="F50" s="50">
        <f>VLOOKUP($A50,'Data shares'!$C:$FB,69)*100</f>
        <v>72.69</v>
      </c>
      <c r="G50" s="49">
        <f>VLOOKUP($A50,'Data shares'!$C:$FB,42)</f>
        <v>11696875</v>
      </c>
      <c r="H50" s="49">
        <f>VLOOKUP($A50,'Data shares'!$C:$FB,43)</f>
        <v>3105000</v>
      </c>
      <c r="I50" s="50">
        <f>VLOOKUP($A50,'Data shares'!$C:$FB,45)*100</f>
        <v>276.71000000000004</v>
      </c>
      <c r="J50" s="49">
        <f>VLOOKUP($A50,'Data shares'!$C:$FB,58)</f>
        <v>7789375</v>
      </c>
      <c r="K50" s="49">
        <f>VLOOKUP($A50,'Data shares'!$C:$FB,59)</f>
        <v>7201875</v>
      </c>
      <c r="L50" s="50">
        <f>VLOOKUP($A50,'Data shares'!$C:$FB,61)*100</f>
        <v>8.16</v>
      </c>
      <c r="M50" s="49">
        <f>VLOOKUP($A50,'Data shares'!$C:$FB,62)</f>
        <v>4436875</v>
      </c>
      <c r="N50" s="49">
        <f>VLOOKUP($A50,'Data shares'!$C:$FB,63)</f>
        <v>3546250</v>
      </c>
      <c r="O50" s="140">
        <f>VLOOKUP($A50,'Data shares'!$C:$FB,65)*100</f>
        <v>25.11</v>
      </c>
    </row>
    <row r="51" spans="1:15" x14ac:dyDescent="0.25">
      <c r="A51" s="101" t="str">
        <f>'Data Vlaue (Cr)'!C46</f>
        <v>CIPLA</v>
      </c>
      <c r="B51" s="50">
        <f>VLOOKUP($A51,'Data shares'!$C:$FB,7)</f>
        <v>1305.9000000000001</v>
      </c>
      <c r="C51" s="50">
        <f>VLOOKUP($A51,'Data shares'!$C:$FB,10)*100</f>
        <v>5.63</v>
      </c>
      <c r="D51" s="49">
        <f>VLOOKUP($A51,'Data shares'!$C:$FB,66)</f>
        <v>82903125</v>
      </c>
      <c r="E51" s="49">
        <f>VLOOKUP($A51,'Data shares'!$C:$FB,67)</f>
        <v>7527375</v>
      </c>
      <c r="F51" s="50">
        <f>VLOOKUP($A51,'Data shares'!$C:$FB,69)*100</f>
        <v>1001.36</v>
      </c>
      <c r="G51" s="49">
        <f>VLOOKUP($A51,'Data shares'!$C:$FB,42)</f>
        <v>12514500</v>
      </c>
      <c r="H51" s="49">
        <f>VLOOKUP($A51,'Data shares'!$C:$FB,43)</f>
        <v>1430250</v>
      </c>
      <c r="I51" s="50">
        <f>VLOOKUP($A51,'Data shares'!$C:$FB,45)*100</f>
        <v>774.99</v>
      </c>
      <c r="J51" s="49">
        <f>VLOOKUP($A51,'Data shares'!$C:$FB,58)</f>
        <v>55989375</v>
      </c>
      <c r="K51" s="49">
        <f>VLOOKUP($A51,'Data shares'!$C:$FB,59)</f>
        <v>4319250</v>
      </c>
      <c r="L51" s="50">
        <f>VLOOKUP($A51,'Data shares'!$C:$FB,61)*100</f>
        <v>1196.28</v>
      </c>
      <c r="M51" s="49">
        <f>VLOOKUP($A51,'Data shares'!$C:$FB,62)</f>
        <v>14399250</v>
      </c>
      <c r="N51" s="49">
        <f>VLOOKUP($A51,'Data shares'!$C:$FB,63)</f>
        <v>1777875</v>
      </c>
      <c r="O51" s="140">
        <f>VLOOKUP($A51,'Data shares'!$C:$FB,65)*100</f>
        <v>709.91</v>
      </c>
    </row>
    <row r="52" spans="1:15" x14ac:dyDescent="0.25">
      <c r="A52" s="101" t="str">
        <f>'Data Vlaue (Cr)'!C47</f>
        <v>COALINDIA</v>
      </c>
      <c r="B52" s="50">
        <f>VLOOKUP($A52,'Data shares'!$C:$FB,7)</f>
        <v>450.65</v>
      </c>
      <c r="C52" s="50">
        <f>VLOOKUP($A52,'Data shares'!$C:$FB,10)*100</f>
        <v>1.46</v>
      </c>
      <c r="D52" s="49">
        <f>VLOOKUP($A52,'Data shares'!$C:$FB,66)</f>
        <v>158515650</v>
      </c>
      <c r="E52" s="49">
        <f>VLOOKUP($A52,'Data shares'!$C:$FB,67)</f>
        <v>101960100</v>
      </c>
      <c r="F52" s="50">
        <f>VLOOKUP($A52,'Data shares'!$C:$FB,69)*100</f>
        <v>55.47</v>
      </c>
      <c r="G52" s="49">
        <f>VLOOKUP($A52,'Data shares'!$C:$FB,42)</f>
        <v>51857550</v>
      </c>
      <c r="H52" s="49">
        <f>VLOOKUP($A52,'Data shares'!$C:$FB,43)</f>
        <v>11281950</v>
      </c>
      <c r="I52" s="50">
        <f>VLOOKUP($A52,'Data shares'!$C:$FB,45)*100</f>
        <v>359.65</v>
      </c>
      <c r="J52" s="49">
        <f>VLOOKUP($A52,'Data shares'!$C:$FB,58)</f>
        <v>67590450</v>
      </c>
      <c r="K52" s="49">
        <f>VLOOKUP($A52,'Data shares'!$C:$FB,59)</f>
        <v>58530600</v>
      </c>
      <c r="L52" s="50">
        <f>VLOOKUP($A52,'Data shares'!$C:$FB,61)*100</f>
        <v>15.479999999999999</v>
      </c>
      <c r="M52" s="49">
        <f>VLOOKUP($A52,'Data shares'!$C:$FB,62)</f>
        <v>39067650</v>
      </c>
      <c r="N52" s="49">
        <f>VLOOKUP($A52,'Data shares'!$C:$FB,63)</f>
        <v>32147550</v>
      </c>
      <c r="O52" s="140">
        <f>VLOOKUP($A52,'Data shares'!$C:$FB,65)*100</f>
        <v>21.529999999999998</v>
      </c>
    </row>
    <row r="53" spans="1:15" x14ac:dyDescent="0.25">
      <c r="A53" s="101" t="str">
        <f>'Data Vlaue (Cr)'!C48</f>
        <v>COCHINSHIP</v>
      </c>
      <c r="B53" s="50">
        <f>VLOOKUP($A53,'Data shares'!$C:$FB,7)</f>
        <v>1592.8</v>
      </c>
      <c r="C53" s="50">
        <f>VLOOKUP($A53,'Data shares'!$C:$FB,10)*100</f>
        <v>0.61</v>
      </c>
      <c r="D53" s="49">
        <f>VLOOKUP($A53,'Data shares'!$C:$FB,66)</f>
        <v>6248400</v>
      </c>
      <c r="E53" s="49">
        <f>VLOOKUP($A53,'Data shares'!$C:$FB,67)</f>
        <v>3752800</v>
      </c>
      <c r="F53" s="50">
        <f>VLOOKUP($A53,'Data shares'!$C:$FB,69)*100</f>
        <v>66.5</v>
      </c>
      <c r="G53" s="49">
        <f>VLOOKUP($A53,'Data shares'!$C:$FB,42)</f>
        <v>1590000</v>
      </c>
      <c r="H53" s="49">
        <f>VLOOKUP($A53,'Data shares'!$C:$FB,43)</f>
        <v>804400</v>
      </c>
      <c r="I53" s="50">
        <f>VLOOKUP($A53,'Data shares'!$C:$FB,45)*100</f>
        <v>97.66</v>
      </c>
      <c r="J53" s="49">
        <f>VLOOKUP($A53,'Data shares'!$C:$FB,58)</f>
        <v>3620800</v>
      </c>
      <c r="K53" s="49">
        <f>VLOOKUP($A53,'Data shares'!$C:$FB,59)</f>
        <v>2308000</v>
      </c>
      <c r="L53" s="50">
        <f>VLOOKUP($A53,'Data shares'!$C:$FB,61)*100</f>
        <v>56.879999999999995</v>
      </c>
      <c r="M53" s="49">
        <f>VLOOKUP($A53,'Data shares'!$C:$FB,62)</f>
        <v>1037600</v>
      </c>
      <c r="N53" s="49">
        <f>VLOOKUP($A53,'Data shares'!$C:$FB,63)</f>
        <v>640400</v>
      </c>
      <c r="O53" s="140">
        <f>VLOOKUP($A53,'Data shares'!$C:$FB,65)*100</f>
        <v>62.019999999999996</v>
      </c>
    </row>
    <row r="54" spans="1:15" x14ac:dyDescent="0.25">
      <c r="A54" s="101" t="str">
        <f>'Data Vlaue (Cr)'!C49</f>
        <v>COFORGE</v>
      </c>
      <c r="B54" s="50">
        <f>VLOOKUP($A54,'Data shares'!$C:$FB,7)</f>
        <v>1220.5999999999999</v>
      </c>
      <c r="C54" s="50">
        <f>VLOOKUP($A54,'Data shares'!$C:$FB,10)*100</f>
        <v>-1.23</v>
      </c>
      <c r="D54" s="49">
        <f>VLOOKUP($A54,'Data shares'!$C:$FB,66)</f>
        <v>27624375</v>
      </c>
      <c r="E54" s="49">
        <f>VLOOKUP($A54,'Data shares'!$C:$FB,67)</f>
        <v>44265000</v>
      </c>
      <c r="F54" s="50">
        <f>VLOOKUP($A54,'Data shares'!$C:$FB,69)*100</f>
        <v>-37.590000000000003</v>
      </c>
      <c r="G54" s="49">
        <f>VLOOKUP($A54,'Data shares'!$C:$FB,42)</f>
        <v>12265500</v>
      </c>
      <c r="H54" s="49">
        <f>VLOOKUP($A54,'Data shares'!$C:$FB,43)</f>
        <v>7164750</v>
      </c>
      <c r="I54" s="50">
        <f>VLOOKUP($A54,'Data shares'!$C:$FB,45)*100</f>
        <v>71.19</v>
      </c>
      <c r="J54" s="49">
        <f>VLOOKUP($A54,'Data shares'!$C:$FB,58)</f>
        <v>9830250</v>
      </c>
      <c r="K54" s="49">
        <f>VLOOKUP($A54,'Data shares'!$C:$FB,59)</f>
        <v>22878375</v>
      </c>
      <c r="L54" s="50">
        <f>VLOOKUP($A54,'Data shares'!$C:$FB,61)*100</f>
        <v>-57.03</v>
      </c>
      <c r="M54" s="49">
        <f>VLOOKUP($A54,'Data shares'!$C:$FB,62)</f>
        <v>5528625</v>
      </c>
      <c r="N54" s="49">
        <f>VLOOKUP($A54,'Data shares'!$C:$FB,63)</f>
        <v>14221875</v>
      </c>
      <c r="O54" s="140">
        <f>VLOOKUP($A54,'Data shares'!$C:$FB,65)*100</f>
        <v>-61.129999999999995</v>
      </c>
    </row>
    <row r="55" spans="1:15" x14ac:dyDescent="0.25">
      <c r="A55" s="101" t="str">
        <f>'Data Vlaue (Cr)'!C50</f>
        <v>COLPAL</v>
      </c>
      <c r="B55" s="50">
        <f>VLOOKUP($A55,'Data shares'!$C:$FB,7)</f>
        <v>2150.1999999999998</v>
      </c>
      <c r="C55" s="50">
        <f>VLOOKUP($A55,'Data shares'!$C:$FB,10)*100</f>
        <v>1.51</v>
      </c>
      <c r="D55" s="49">
        <f>VLOOKUP($A55,'Data shares'!$C:$FB,66)</f>
        <v>11639025</v>
      </c>
      <c r="E55" s="49">
        <f>VLOOKUP($A55,'Data shares'!$C:$FB,67)</f>
        <v>6969375</v>
      </c>
      <c r="F55" s="50">
        <f>VLOOKUP($A55,'Data shares'!$C:$FB,69)*100</f>
        <v>67</v>
      </c>
      <c r="G55" s="49">
        <f>VLOOKUP($A55,'Data shares'!$C:$FB,42)</f>
        <v>4619250</v>
      </c>
      <c r="H55" s="49">
        <f>VLOOKUP($A55,'Data shares'!$C:$FB,43)</f>
        <v>1564200</v>
      </c>
      <c r="I55" s="50">
        <f>VLOOKUP($A55,'Data shares'!$C:$FB,45)*100</f>
        <v>195.31</v>
      </c>
      <c r="J55" s="49">
        <f>VLOOKUP($A55,'Data shares'!$C:$FB,58)</f>
        <v>4649175</v>
      </c>
      <c r="K55" s="49">
        <f>VLOOKUP($A55,'Data shares'!$C:$FB,59)</f>
        <v>3787425</v>
      </c>
      <c r="L55" s="50">
        <f>VLOOKUP($A55,'Data shares'!$C:$FB,61)*100</f>
        <v>22.75</v>
      </c>
      <c r="M55" s="49">
        <f>VLOOKUP($A55,'Data shares'!$C:$FB,62)</f>
        <v>2370600</v>
      </c>
      <c r="N55" s="49">
        <f>VLOOKUP($A55,'Data shares'!$C:$FB,63)</f>
        <v>1617750</v>
      </c>
      <c r="O55" s="140">
        <f>VLOOKUP($A55,'Data shares'!$C:$FB,65)*100</f>
        <v>46.54</v>
      </c>
    </row>
    <row r="56" spans="1:15" x14ac:dyDescent="0.25">
      <c r="A56" s="101" t="str">
        <f>'Data Vlaue (Cr)'!C51</f>
        <v>CONCOR</v>
      </c>
      <c r="B56" s="50">
        <f>VLOOKUP($A56,'Data shares'!$C:$FB,7)</f>
        <v>505.05</v>
      </c>
      <c r="C56" s="50">
        <f>VLOOKUP($A56,'Data shares'!$C:$FB,10)*100</f>
        <v>-2.0699999999999998</v>
      </c>
      <c r="D56" s="49">
        <f>VLOOKUP($A56,'Data shares'!$C:$FB,66)</f>
        <v>23711250</v>
      </c>
      <c r="E56" s="49">
        <f>VLOOKUP($A56,'Data shares'!$C:$FB,67)</f>
        <v>23355000</v>
      </c>
      <c r="F56" s="50">
        <f>VLOOKUP($A56,'Data shares'!$C:$FB,69)*100</f>
        <v>1.53</v>
      </c>
      <c r="G56" s="49">
        <f>VLOOKUP($A56,'Data shares'!$C:$FB,42)</f>
        <v>11988750</v>
      </c>
      <c r="H56" s="49">
        <f>VLOOKUP($A56,'Data shares'!$C:$FB,43)</f>
        <v>4207500</v>
      </c>
      <c r="I56" s="50">
        <f>VLOOKUP($A56,'Data shares'!$C:$FB,45)*100</f>
        <v>184.94</v>
      </c>
      <c r="J56" s="49">
        <f>VLOOKUP($A56,'Data shares'!$C:$FB,58)</f>
        <v>8693750</v>
      </c>
      <c r="K56" s="49">
        <f>VLOOKUP($A56,'Data shares'!$C:$FB,59)</f>
        <v>16185000</v>
      </c>
      <c r="L56" s="50">
        <f>VLOOKUP($A56,'Data shares'!$C:$FB,61)*100</f>
        <v>-46.29</v>
      </c>
      <c r="M56" s="49">
        <f>VLOOKUP($A56,'Data shares'!$C:$FB,62)</f>
        <v>3028750</v>
      </c>
      <c r="N56" s="49">
        <f>VLOOKUP($A56,'Data shares'!$C:$FB,63)</f>
        <v>2962500</v>
      </c>
      <c r="O56" s="140">
        <f>VLOOKUP($A56,'Data shares'!$C:$FB,65)*100</f>
        <v>2.2399999999999998</v>
      </c>
    </row>
    <row r="57" spans="1:15" x14ac:dyDescent="0.25">
      <c r="A57" s="101" t="str">
        <f>'Data Vlaue (Cr)'!C52</f>
        <v>CROMPTON</v>
      </c>
      <c r="B57" s="50">
        <f>VLOOKUP($A57,'Data shares'!$C:$FB,7)</f>
        <v>253.39</v>
      </c>
      <c r="C57" s="50">
        <f>VLOOKUP($A57,'Data shares'!$C:$FB,10)*100</f>
        <v>-3.05</v>
      </c>
      <c r="D57" s="49">
        <f>VLOOKUP($A57,'Data shares'!$C:$FB,66)</f>
        <v>70016400</v>
      </c>
      <c r="E57" s="49">
        <f>VLOOKUP($A57,'Data shares'!$C:$FB,67)</f>
        <v>20619000</v>
      </c>
      <c r="F57" s="50">
        <f>VLOOKUP($A57,'Data shares'!$C:$FB,69)*100</f>
        <v>239.57000000000002</v>
      </c>
      <c r="G57" s="49">
        <f>VLOOKUP($A57,'Data shares'!$C:$FB,42)</f>
        <v>36063000</v>
      </c>
      <c r="H57" s="49">
        <f>VLOOKUP($A57,'Data shares'!$C:$FB,43)</f>
        <v>5695200</v>
      </c>
      <c r="I57" s="50">
        <f>VLOOKUP($A57,'Data shares'!$C:$FB,45)*100</f>
        <v>533.22</v>
      </c>
      <c r="J57" s="49">
        <f>VLOOKUP($A57,'Data shares'!$C:$FB,58)</f>
        <v>21915000</v>
      </c>
      <c r="K57" s="49">
        <f>VLOOKUP($A57,'Data shares'!$C:$FB,59)</f>
        <v>11260800</v>
      </c>
      <c r="L57" s="50">
        <f>VLOOKUP($A57,'Data shares'!$C:$FB,61)*100</f>
        <v>94.61</v>
      </c>
      <c r="M57" s="49">
        <f>VLOOKUP($A57,'Data shares'!$C:$FB,62)</f>
        <v>12038400</v>
      </c>
      <c r="N57" s="49">
        <f>VLOOKUP($A57,'Data shares'!$C:$FB,63)</f>
        <v>3663000</v>
      </c>
      <c r="O57" s="140">
        <f>VLOOKUP($A57,'Data shares'!$C:$FB,65)*100</f>
        <v>228.65000000000003</v>
      </c>
    </row>
    <row r="58" spans="1:15" x14ac:dyDescent="0.25">
      <c r="A58" s="101" t="str">
        <f>'Data Vlaue (Cr)'!C53</f>
        <v>CUMMINSIND</v>
      </c>
      <c r="B58" s="50">
        <f>VLOOKUP($A58,'Data shares'!$C:$FB,7)</f>
        <v>5176.8999999999996</v>
      </c>
      <c r="C58" s="50">
        <f>VLOOKUP($A58,'Data shares'!$C:$FB,10)*100</f>
        <v>-0.67</v>
      </c>
      <c r="D58" s="49">
        <f>VLOOKUP($A58,'Data shares'!$C:$FB,66)</f>
        <v>8505000</v>
      </c>
      <c r="E58" s="49">
        <f>VLOOKUP($A58,'Data shares'!$C:$FB,67)</f>
        <v>9541200</v>
      </c>
      <c r="F58" s="50">
        <f>VLOOKUP($A58,'Data shares'!$C:$FB,69)*100</f>
        <v>-10.86</v>
      </c>
      <c r="G58" s="49">
        <f>VLOOKUP($A58,'Data shares'!$C:$FB,42)</f>
        <v>2693200</v>
      </c>
      <c r="H58" s="49">
        <f>VLOOKUP($A58,'Data shares'!$C:$FB,43)</f>
        <v>1295400</v>
      </c>
      <c r="I58" s="50">
        <f>VLOOKUP($A58,'Data shares'!$C:$FB,45)*100</f>
        <v>107.89999999999999</v>
      </c>
      <c r="J58" s="49">
        <f>VLOOKUP($A58,'Data shares'!$C:$FB,58)</f>
        <v>2607400</v>
      </c>
      <c r="K58" s="49">
        <f>VLOOKUP($A58,'Data shares'!$C:$FB,59)</f>
        <v>5417800</v>
      </c>
      <c r="L58" s="50">
        <f>VLOOKUP($A58,'Data shares'!$C:$FB,61)*100</f>
        <v>-51.870000000000005</v>
      </c>
      <c r="M58" s="49">
        <f>VLOOKUP($A58,'Data shares'!$C:$FB,62)</f>
        <v>3204400</v>
      </c>
      <c r="N58" s="49">
        <f>VLOOKUP($A58,'Data shares'!$C:$FB,63)</f>
        <v>2828000</v>
      </c>
      <c r="O58" s="140">
        <f>VLOOKUP($A58,'Data shares'!$C:$FB,65)*100</f>
        <v>13.309999999999999</v>
      </c>
    </row>
    <row r="59" spans="1:15" x14ac:dyDescent="0.25">
      <c r="A59" s="101" t="str">
        <f>'Data Vlaue (Cr)'!C54</f>
        <v>DABUR</v>
      </c>
      <c r="B59" s="50">
        <f>VLOOKUP($A59,'Data shares'!$C:$FB,7)</f>
        <v>460</v>
      </c>
      <c r="C59" s="50">
        <f>VLOOKUP($A59,'Data shares'!$C:$FB,10)*100</f>
        <v>0</v>
      </c>
      <c r="D59" s="49">
        <f>VLOOKUP($A59,'Data shares'!$C:$FB,66)</f>
        <v>34312500</v>
      </c>
      <c r="E59" s="49">
        <f>VLOOKUP($A59,'Data shares'!$C:$FB,67)</f>
        <v>42951250</v>
      </c>
      <c r="F59" s="50">
        <f>VLOOKUP($A59,'Data shares'!$C:$FB,69)*100</f>
        <v>-20.11</v>
      </c>
      <c r="G59" s="49">
        <f>VLOOKUP($A59,'Data shares'!$C:$FB,42)</f>
        <v>19298750</v>
      </c>
      <c r="H59" s="49">
        <f>VLOOKUP($A59,'Data shares'!$C:$FB,43)</f>
        <v>5185000</v>
      </c>
      <c r="I59" s="50">
        <f>VLOOKUP($A59,'Data shares'!$C:$FB,45)*100</f>
        <v>272.2</v>
      </c>
      <c r="J59" s="49">
        <f>VLOOKUP($A59,'Data shares'!$C:$FB,58)</f>
        <v>10513750</v>
      </c>
      <c r="K59" s="49">
        <f>VLOOKUP($A59,'Data shares'!$C:$FB,59)</f>
        <v>27761250</v>
      </c>
      <c r="L59" s="50">
        <f>VLOOKUP($A59,'Data shares'!$C:$FB,61)*100</f>
        <v>-62.129999999999995</v>
      </c>
      <c r="M59" s="49">
        <f>VLOOKUP($A59,'Data shares'!$C:$FB,62)</f>
        <v>4500000</v>
      </c>
      <c r="N59" s="49">
        <f>VLOOKUP($A59,'Data shares'!$C:$FB,63)</f>
        <v>10005000</v>
      </c>
      <c r="O59" s="140">
        <f>VLOOKUP($A59,'Data shares'!$C:$FB,65)*100</f>
        <v>-55.02</v>
      </c>
    </row>
    <row r="60" spans="1:15" x14ac:dyDescent="0.25">
      <c r="A60" s="101" t="str">
        <f>'Data Vlaue (Cr)'!C55</f>
        <v>DALBHARAT</v>
      </c>
      <c r="B60" s="50">
        <f>VLOOKUP($A60,'Data shares'!$C:$FB,7)</f>
        <v>1958.8</v>
      </c>
      <c r="C60" s="50">
        <f>VLOOKUP($A60,'Data shares'!$C:$FB,10)*100</f>
        <v>-1.71</v>
      </c>
      <c r="D60" s="49">
        <f>VLOOKUP($A60,'Data shares'!$C:$FB,66)</f>
        <v>4768725</v>
      </c>
      <c r="E60" s="49">
        <f>VLOOKUP($A60,'Data shares'!$C:$FB,67)</f>
        <v>1985750</v>
      </c>
      <c r="F60" s="50">
        <f>VLOOKUP($A60,'Data shares'!$C:$FB,69)*100</f>
        <v>140.15</v>
      </c>
      <c r="G60" s="49">
        <f>VLOOKUP($A60,'Data shares'!$C:$FB,42)</f>
        <v>2589275</v>
      </c>
      <c r="H60" s="49">
        <f>VLOOKUP($A60,'Data shares'!$C:$FB,43)</f>
        <v>476125</v>
      </c>
      <c r="I60" s="50">
        <f>VLOOKUP($A60,'Data shares'!$C:$FB,45)*100</f>
        <v>443.82</v>
      </c>
      <c r="J60" s="49">
        <f>VLOOKUP($A60,'Data shares'!$C:$FB,58)</f>
        <v>1268475</v>
      </c>
      <c r="K60" s="49">
        <f>VLOOKUP($A60,'Data shares'!$C:$FB,59)</f>
        <v>1025050</v>
      </c>
      <c r="L60" s="50">
        <f>VLOOKUP($A60,'Data shares'!$C:$FB,61)*100</f>
        <v>23.75</v>
      </c>
      <c r="M60" s="49">
        <f>VLOOKUP($A60,'Data shares'!$C:$FB,62)</f>
        <v>910975</v>
      </c>
      <c r="N60" s="49">
        <f>VLOOKUP($A60,'Data shares'!$C:$FB,63)</f>
        <v>484575</v>
      </c>
      <c r="O60" s="140">
        <f>VLOOKUP($A60,'Data shares'!$C:$FB,65)*100</f>
        <v>87.99</v>
      </c>
    </row>
    <row r="61" spans="1:15" x14ac:dyDescent="0.25">
      <c r="A61" s="101" t="str">
        <f>'Data Vlaue (Cr)'!C56</f>
        <v>DELHIVERY</v>
      </c>
      <c r="B61" s="50">
        <f>VLOOKUP($A61,'Data shares'!$C:$FB,7)</f>
        <v>449.4</v>
      </c>
      <c r="C61" s="50">
        <f>VLOOKUP($A61,'Data shares'!$C:$FB,10)*100</f>
        <v>-2.87</v>
      </c>
      <c r="D61" s="49">
        <f>VLOOKUP($A61,'Data shares'!$C:$FB,66)</f>
        <v>46235150</v>
      </c>
      <c r="E61" s="49">
        <f>VLOOKUP($A61,'Data shares'!$C:$FB,67)</f>
        <v>69533250</v>
      </c>
      <c r="F61" s="50">
        <f>VLOOKUP($A61,'Data shares'!$C:$FB,69)*100</f>
        <v>-33.51</v>
      </c>
      <c r="G61" s="49">
        <f>VLOOKUP($A61,'Data shares'!$C:$FB,42)</f>
        <v>21158775</v>
      </c>
      <c r="H61" s="49">
        <f>VLOOKUP($A61,'Data shares'!$C:$FB,43)</f>
        <v>18021375</v>
      </c>
      <c r="I61" s="50">
        <f>VLOOKUP($A61,'Data shares'!$C:$FB,45)*100</f>
        <v>17.41</v>
      </c>
      <c r="J61" s="49">
        <f>VLOOKUP($A61,'Data shares'!$C:$FB,58)</f>
        <v>18560875</v>
      </c>
      <c r="K61" s="49">
        <f>VLOOKUP($A61,'Data shares'!$C:$FB,59)</f>
        <v>32758025</v>
      </c>
      <c r="L61" s="50">
        <f>VLOOKUP($A61,'Data shares'!$C:$FB,61)*100</f>
        <v>-43.34</v>
      </c>
      <c r="M61" s="49">
        <f>VLOOKUP($A61,'Data shares'!$C:$FB,62)</f>
        <v>6515500</v>
      </c>
      <c r="N61" s="49">
        <f>VLOOKUP($A61,'Data shares'!$C:$FB,63)</f>
        <v>18753850</v>
      </c>
      <c r="O61" s="140">
        <f>VLOOKUP($A61,'Data shares'!$C:$FB,65)*100</f>
        <v>-65.259999999999991</v>
      </c>
    </row>
    <row r="62" spans="1:15" x14ac:dyDescent="0.25">
      <c r="A62" s="101" t="str">
        <f>'Data Vlaue (Cr)'!C57</f>
        <v>DIVISLAB</v>
      </c>
      <c r="B62" s="50">
        <f>VLOOKUP($A62,'Data shares'!$C:$FB,7)</f>
        <v>6378.5</v>
      </c>
      <c r="C62" s="50">
        <f>VLOOKUP($A62,'Data shares'!$C:$FB,10)*100</f>
        <v>1.48</v>
      </c>
      <c r="D62" s="49">
        <f>VLOOKUP($A62,'Data shares'!$C:$FB,66)</f>
        <v>7655700</v>
      </c>
      <c r="E62" s="49">
        <f>VLOOKUP($A62,'Data shares'!$C:$FB,67)</f>
        <v>2385300</v>
      </c>
      <c r="F62" s="50">
        <f>VLOOKUP($A62,'Data shares'!$C:$FB,69)*100</f>
        <v>220.95</v>
      </c>
      <c r="G62" s="49">
        <f>VLOOKUP($A62,'Data shares'!$C:$FB,42)</f>
        <v>1744600</v>
      </c>
      <c r="H62" s="49">
        <f>VLOOKUP($A62,'Data shares'!$C:$FB,43)</f>
        <v>778400</v>
      </c>
      <c r="I62" s="50">
        <f>VLOOKUP($A62,'Data shares'!$C:$FB,45)*100</f>
        <v>124.13000000000001</v>
      </c>
      <c r="J62" s="49">
        <f>VLOOKUP($A62,'Data shares'!$C:$FB,58)</f>
        <v>4723100</v>
      </c>
      <c r="K62" s="49">
        <f>VLOOKUP($A62,'Data shares'!$C:$FB,59)</f>
        <v>1060200</v>
      </c>
      <c r="L62" s="50">
        <f>VLOOKUP($A62,'Data shares'!$C:$FB,61)*100</f>
        <v>345.49</v>
      </c>
      <c r="M62" s="49">
        <f>VLOOKUP($A62,'Data shares'!$C:$FB,62)</f>
        <v>1188000</v>
      </c>
      <c r="N62" s="49">
        <f>VLOOKUP($A62,'Data shares'!$C:$FB,63)</f>
        <v>546700</v>
      </c>
      <c r="O62" s="140">
        <f>VLOOKUP($A62,'Data shares'!$C:$FB,65)*100</f>
        <v>117.30000000000001</v>
      </c>
    </row>
    <row r="63" spans="1:15" x14ac:dyDescent="0.25">
      <c r="A63" s="101" t="str">
        <f>'Data Vlaue (Cr)'!C58</f>
        <v>DIXON</v>
      </c>
      <c r="B63" s="50">
        <f>VLOOKUP($A63,'Data shares'!$C:$FB,7)</f>
        <v>10866.5</v>
      </c>
      <c r="C63" s="50">
        <f>VLOOKUP($A63,'Data shares'!$C:$FB,10)*100</f>
        <v>-3.55</v>
      </c>
      <c r="D63" s="49">
        <f>VLOOKUP($A63,'Data shares'!$C:$FB,66)</f>
        <v>9278300</v>
      </c>
      <c r="E63" s="49">
        <f>VLOOKUP($A63,'Data shares'!$C:$FB,67)</f>
        <v>4445700</v>
      </c>
      <c r="F63" s="50">
        <f>VLOOKUP($A63,'Data shares'!$C:$FB,69)*100</f>
        <v>108.7</v>
      </c>
      <c r="G63" s="49">
        <f>VLOOKUP($A63,'Data shares'!$C:$FB,42)</f>
        <v>2790700</v>
      </c>
      <c r="H63" s="49">
        <f>VLOOKUP($A63,'Data shares'!$C:$FB,43)</f>
        <v>856500</v>
      </c>
      <c r="I63" s="50">
        <f>VLOOKUP($A63,'Data shares'!$C:$FB,45)*100</f>
        <v>225.83</v>
      </c>
      <c r="J63" s="49">
        <f>VLOOKUP($A63,'Data shares'!$C:$FB,58)</f>
        <v>3942900</v>
      </c>
      <c r="K63" s="49">
        <f>VLOOKUP($A63,'Data shares'!$C:$FB,59)</f>
        <v>2240900</v>
      </c>
      <c r="L63" s="50">
        <f>VLOOKUP($A63,'Data shares'!$C:$FB,61)*100</f>
        <v>75.949999999999989</v>
      </c>
      <c r="M63" s="49">
        <f>VLOOKUP($A63,'Data shares'!$C:$FB,62)</f>
        <v>2544700</v>
      </c>
      <c r="N63" s="49">
        <f>VLOOKUP($A63,'Data shares'!$C:$FB,63)</f>
        <v>1348300</v>
      </c>
      <c r="O63" s="140">
        <f>VLOOKUP($A63,'Data shares'!$C:$FB,65)*100</f>
        <v>88.73</v>
      </c>
    </row>
    <row r="64" spans="1:15" x14ac:dyDescent="0.25">
      <c r="A64" s="101" t="str">
        <f>'Data Vlaue (Cr)'!C59</f>
        <v>DLF</v>
      </c>
      <c r="B64" s="50">
        <f>VLOOKUP($A64,'Data shares'!$C:$FB,7)</f>
        <v>592.79999999999995</v>
      </c>
      <c r="C64" s="50">
        <f>VLOOKUP($A64,'Data shares'!$C:$FB,10)*100</f>
        <v>-2.92</v>
      </c>
      <c r="D64" s="49">
        <f>VLOOKUP($A64,'Data shares'!$C:$FB,66)</f>
        <v>45003750</v>
      </c>
      <c r="E64" s="49">
        <f>VLOOKUP($A64,'Data shares'!$C:$FB,67)</f>
        <v>34370325</v>
      </c>
      <c r="F64" s="50">
        <f>VLOOKUP($A64,'Data shares'!$C:$FB,69)*100</f>
        <v>30.94</v>
      </c>
      <c r="G64" s="49">
        <f>VLOOKUP($A64,'Data shares'!$C:$FB,42)</f>
        <v>19587975</v>
      </c>
      <c r="H64" s="49">
        <f>VLOOKUP($A64,'Data shares'!$C:$FB,43)</f>
        <v>12108525</v>
      </c>
      <c r="I64" s="50">
        <f>VLOOKUP($A64,'Data shares'!$C:$FB,45)*100</f>
        <v>61.77</v>
      </c>
      <c r="J64" s="49">
        <f>VLOOKUP($A64,'Data shares'!$C:$FB,58)</f>
        <v>14858250</v>
      </c>
      <c r="K64" s="49">
        <f>VLOOKUP($A64,'Data shares'!$C:$FB,59)</f>
        <v>14364075</v>
      </c>
      <c r="L64" s="50">
        <f>VLOOKUP($A64,'Data shares'!$C:$FB,61)*100</f>
        <v>3.44</v>
      </c>
      <c r="M64" s="49">
        <f>VLOOKUP($A64,'Data shares'!$C:$FB,62)</f>
        <v>10557525</v>
      </c>
      <c r="N64" s="49">
        <f>VLOOKUP($A64,'Data shares'!$C:$FB,63)</f>
        <v>7897725</v>
      </c>
      <c r="O64" s="140">
        <f>VLOOKUP($A64,'Data shares'!$C:$FB,65)*100</f>
        <v>33.68</v>
      </c>
    </row>
    <row r="65" spans="1:15" x14ac:dyDescent="0.25">
      <c r="A65" s="101" t="str">
        <f>'Data Vlaue (Cr)'!C60</f>
        <v>DMART</v>
      </c>
      <c r="B65" s="50">
        <f>VLOOKUP($A65,'Data shares'!$C:$FB,7)</f>
        <v>4521.2</v>
      </c>
      <c r="C65" s="50">
        <f>VLOOKUP($A65,'Data shares'!$C:$FB,10)*100</f>
        <v>-1.6</v>
      </c>
      <c r="D65" s="49">
        <f>VLOOKUP($A65,'Data shares'!$C:$FB,66)</f>
        <v>7741050</v>
      </c>
      <c r="E65" s="49">
        <f>VLOOKUP($A65,'Data shares'!$C:$FB,67)</f>
        <v>5905650</v>
      </c>
      <c r="F65" s="50">
        <f>VLOOKUP($A65,'Data shares'!$C:$FB,69)*100</f>
        <v>31.080000000000002</v>
      </c>
      <c r="G65" s="49">
        <f>VLOOKUP($A65,'Data shares'!$C:$FB,42)</f>
        <v>3758100</v>
      </c>
      <c r="H65" s="49">
        <f>VLOOKUP($A65,'Data shares'!$C:$FB,43)</f>
        <v>694350</v>
      </c>
      <c r="I65" s="50">
        <f>VLOOKUP($A65,'Data shares'!$C:$FB,45)*100</f>
        <v>441.24</v>
      </c>
      <c r="J65" s="49">
        <f>VLOOKUP($A65,'Data shares'!$C:$FB,58)</f>
        <v>2251800</v>
      </c>
      <c r="K65" s="49">
        <f>VLOOKUP($A65,'Data shares'!$C:$FB,59)</f>
        <v>2934450</v>
      </c>
      <c r="L65" s="50">
        <f>VLOOKUP($A65,'Data shares'!$C:$FB,61)*100</f>
        <v>-23.26</v>
      </c>
      <c r="M65" s="49">
        <f>VLOOKUP($A65,'Data shares'!$C:$FB,62)</f>
        <v>1731150</v>
      </c>
      <c r="N65" s="49">
        <f>VLOOKUP($A65,'Data shares'!$C:$FB,63)</f>
        <v>2276850</v>
      </c>
      <c r="O65" s="140">
        <f>VLOOKUP($A65,'Data shares'!$C:$FB,65)*100</f>
        <v>-23.97</v>
      </c>
    </row>
    <row r="66" spans="1:15" x14ac:dyDescent="0.25">
      <c r="A66" s="101" t="str">
        <f>'Data Vlaue (Cr)'!C61</f>
        <v>DRREDDY</v>
      </c>
      <c r="B66" s="50">
        <f>VLOOKUP($A66,'Data shares'!$C:$FB,7)</f>
        <v>1331</v>
      </c>
      <c r="C66" s="50">
        <f>VLOOKUP($A66,'Data shares'!$C:$FB,10)*100</f>
        <v>9.370000000000001</v>
      </c>
      <c r="D66" s="49">
        <f>VLOOKUP($A66,'Data shares'!$C:$FB,66)</f>
        <v>300425000</v>
      </c>
      <c r="E66" s="49">
        <f>VLOOKUP($A66,'Data shares'!$C:$FB,67)</f>
        <v>18795625</v>
      </c>
      <c r="F66" s="50">
        <f>VLOOKUP($A66,'Data shares'!$C:$FB,69)*100</f>
        <v>1498.38</v>
      </c>
      <c r="G66" s="49">
        <f>VLOOKUP($A66,'Data shares'!$C:$FB,42)</f>
        <v>32346875</v>
      </c>
      <c r="H66" s="49">
        <f>VLOOKUP($A66,'Data shares'!$C:$FB,43)</f>
        <v>3753125</v>
      </c>
      <c r="I66" s="50">
        <f>VLOOKUP($A66,'Data shares'!$C:$FB,45)*100</f>
        <v>761.87</v>
      </c>
      <c r="J66" s="49">
        <f>VLOOKUP($A66,'Data shares'!$C:$FB,58)</f>
        <v>191182500</v>
      </c>
      <c r="K66" s="49">
        <f>VLOOKUP($A66,'Data shares'!$C:$FB,59)</f>
        <v>10410000</v>
      </c>
      <c r="L66" s="50">
        <f>VLOOKUP($A66,'Data shares'!$C:$FB,61)*100</f>
        <v>1736.5300000000002</v>
      </c>
      <c r="M66" s="49">
        <f>VLOOKUP($A66,'Data shares'!$C:$FB,62)</f>
        <v>76895625</v>
      </c>
      <c r="N66" s="49">
        <f>VLOOKUP($A66,'Data shares'!$C:$FB,63)</f>
        <v>4632500</v>
      </c>
      <c r="O66" s="140">
        <f>VLOOKUP($A66,'Data shares'!$C:$FB,65)*100</f>
        <v>1559.92</v>
      </c>
    </row>
    <row r="67" spans="1:15" x14ac:dyDescent="0.25">
      <c r="A67" s="101" t="str">
        <f>'Data Vlaue (Cr)'!C62</f>
        <v>EICHERMOT</v>
      </c>
      <c r="B67" s="50">
        <f>VLOOKUP($A67,'Data shares'!$C:$FB,7)</f>
        <v>7092.5</v>
      </c>
      <c r="C67" s="50">
        <f>VLOOKUP($A67,'Data shares'!$C:$FB,10)*100</f>
        <v>-1.9</v>
      </c>
      <c r="D67" s="49">
        <f>VLOOKUP($A67,'Data shares'!$C:$FB,66)</f>
        <v>6604800</v>
      </c>
      <c r="E67" s="49">
        <f>VLOOKUP($A67,'Data shares'!$C:$FB,67)</f>
        <v>4186600</v>
      </c>
      <c r="F67" s="50">
        <f>VLOOKUP($A67,'Data shares'!$C:$FB,69)*100</f>
        <v>57.76</v>
      </c>
      <c r="G67" s="49">
        <f>VLOOKUP($A67,'Data shares'!$C:$FB,42)</f>
        <v>2301400</v>
      </c>
      <c r="H67" s="49">
        <f>VLOOKUP($A67,'Data shares'!$C:$FB,43)</f>
        <v>585300</v>
      </c>
      <c r="I67" s="50">
        <f>VLOOKUP($A67,'Data shares'!$C:$FB,45)*100</f>
        <v>293.2</v>
      </c>
      <c r="J67" s="49">
        <f>VLOOKUP($A67,'Data shares'!$C:$FB,58)</f>
        <v>2584700</v>
      </c>
      <c r="K67" s="49">
        <f>VLOOKUP($A67,'Data shares'!$C:$FB,59)</f>
        <v>2331500</v>
      </c>
      <c r="L67" s="50">
        <f>VLOOKUP($A67,'Data shares'!$C:$FB,61)*100</f>
        <v>10.86</v>
      </c>
      <c r="M67" s="49">
        <f>VLOOKUP($A67,'Data shares'!$C:$FB,62)</f>
        <v>1718700</v>
      </c>
      <c r="N67" s="49">
        <f>VLOOKUP($A67,'Data shares'!$C:$FB,63)</f>
        <v>1269800</v>
      </c>
      <c r="O67" s="140">
        <f>VLOOKUP($A67,'Data shares'!$C:$FB,65)*100</f>
        <v>35.35</v>
      </c>
    </row>
    <row r="68" spans="1:15" x14ac:dyDescent="0.25">
      <c r="A68" s="101" t="str">
        <f>'Data Vlaue (Cr)'!C63</f>
        <v>ETERNAL</v>
      </c>
      <c r="B68" s="50">
        <f>VLOOKUP($A68,'Data shares'!$C:$FB,7)</f>
        <v>259.92</v>
      </c>
      <c r="C68" s="50">
        <f>VLOOKUP($A68,'Data shares'!$C:$FB,10)*100</f>
        <v>-1.17</v>
      </c>
      <c r="D68" s="49">
        <f>VLOOKUP($A68,'Data shares'!$C:$FB,66)</f>
        <v>239767025</v>
      </c>
      <c r="E68" s="49">
        <f>VLOOKUP($A68,'Data shares'!$C:$FB,67)</f>
        <v>213092025</v>
      </c>
      <c r="F68" s="50">
        <f>VLOOKUP($A68,'Data shares'!$C:$FB,69)*100</f>
        <v>12.520000000000001</v>
      </c>
      <c r="G68" s="49">
        <f>VLOOKUP($A68,'Data shares'!$C:$FB,42)</f>
        <v>108237450</v>
      </c>
      <c r="H68" s="49">
        <f>VLOOKUP($A68,'Data shares'!$C:$FB,43)</f>
        <v>55799250</v>
      </c>
      <c r="I68" s="50">
        <f>VLOOKUP($A68,'Data shares'!$C:$FB,45)*100</f>
        <v>93.97999999999999</v>
      </c>
      <c r="J68" s="49">
        <f>VLOOKUP($A68,'Data shares'!$C:$FB,58)</f>
        <v>76971925</v>
      </c>
      <c r="K68" s="49">
        <f>VLOOKUP($A68,'Data shares'!$C:$FB,59)</f>
        <v>95908750</v>
      </c>
      <c r="L68" s="50">
        <f>VLOOKUP($A68,'Data shares'!$C:$FB,61)*100</f>
        <v>-19.739999999999998</v>
      </c>
      <c r="M68" s="49">
        <f>VLOOKUP($A68,'Data shares'!$C:$FB,62)</f>
        <v>54557650</v>
      </c>
      <c r="N68" s="49">
        <f>VLOOKUP($A68,'Data shares'!$C:$FB,63)</f>
        <v>61384025</v>
      </c>
      <c r="O68" s="140">
        <f>VLOOKUP($A68,'Data shares'!$C:$FB,65)*100</f>
        <v>-11.12</v>
      </c>
    </row>
    <row r="69" spans="1:15" x14ac:dyDescent="0.25">
      <c r="A69" s="101" t="str">
        <f>'Data Vlaue (Cr)'!C64</f>
        <v>EXIDEIND</v>
      </c>
      <c r="B69" s="50">
        <f>VLOOKUP($A69,'Data shares'!$C:$FB,7)</f>
        <v>347.25</v>
      </c>
      <c r="C69" s="50">
        <f>VLOOKUP($A69,'Data shares'!$C:$FB,10)*100</f>
        <v>-2.06</v>
      </c>
      <c r="D69" s="49">
        <f>VLOOKUP($A69,'Data shares'!$C:$FB,66)</f>
        <v>74313000</v>
      </c>
      <c r="E69" s="49">
        <f>VLOOKUP($A69,'Data shares'!$C:$FB,67)</f>
        <v>176770800</v>
      </c>
      <c r="F69" s="50">
        <f>VLOOKUP($A69,'Data shares'!$C:$FB,69)*100</f>
        <v>-57.96</v>
      </c>
      <c r="G69" s="49">
        <f>VLOOKUP($A69,'Data shares'!$C:$FB,42)</f>
        <v>17017200</v>
      </c>
      <c r="H69" s="49">
        <f>VLOOKUP($A69,'Data shares'!$C:$FB,43)</f>
        <v>19679400</v>
      </c>
      <c r="I69" s="50">
        <f>VLOOKUP($A69,'Data shares'!$C:$FB,45)*100</f>
        <v>-13.530000000000001</v>
      </c>
      <c r="J69" s="49">
        <f>VLOOKUP($A69,'Data shares'!$C:$FB,58)</f>
        <v>41486400</v>
      </c>
      <c r="K69" s="49">
        <f>VLOOKUP($A69,'Data shares'!$C:$FB,59)</f>
        <v>119259000</v>
      </c>
      <c r="L69" s="50">
        <f>VLOOKUP($A69,'Data shares'!$C:$FB,61)*100</f>
        <v>-65.210000000000008</v>
      </c>
      <c r="M69" s="49">
        <f>VLOOKUP($A69,'Data shares'!$C:$FB,62)</f>
        <v>15809400</v>
      </c>
      <c r="N69" s="49">
        <f>VLOOKUP($A69,'Data shares'!$C:$FB,63)</f>
        <v>37832400</v>
      </c>
      <c r="O69" s="140">
        <f>VLOOKUP($A69,'Data shares'!$C:$FB,65)*100</f>
        <v>-58.209999999999994</v>
      </c>
    </row>
    <row r="70" spans="1:15" x14ac:dyDescent="0.25">
      <c r="A70" s="101" t="str">
        <f>'Data Vlaue (Cr)'!C65</f>
        <v>FEDERALBNK</v>
      </c>
      <c r="B70" s="50">
        <f>VLOOKUP($A70,'Data shares'!$C:$FB,7)</f>
        <v>295.39999999999998</v>
      </c>
      <c r="C70" s="50">
        <f>VLOOKUP($A70,'Data shares'!$C:$FB,10)*100</f>
        <v>-0.35000000000000003</v>
      </c>
      <c r="D70" s="49">
        <f>VLOOKUP($A70,'Data shares'!$C:$FB,66)</f>
        <v>96630000</v>
      </c>
      <c r="E70" s="49">
        <f>VLOOKUP($A70,'Data shares'!$C:$FB,67)</f>
        <v>81155000</v>
      </c>
      <c r="F70" s="50">
        <f>VLOOKUP($A70,'Data shares'!$C:$FB,69)*100</f>
        <v>19.07</v>
      </c>
      <c r="G70" s="49">
        <f>VLOOKUP($A70,'Data shares'!$C:$FB,42)</f>
        <v>35555000</v>
      </c>
      <c r="H70" s="49">
        <f>VLOOKUP($A70,'Data shares'!$C:$FB,43)</f>
        <v>17700000</v>
      </c>
      <c r="I70" s="50">
        <f>VLOOKUP($A70,'Data shares'!$C:$FB,45)*100</f>
        <v>100.88</v>
      </c>
      <c r="J70" s="49">
        <f>VLOOKUP($A70,'Data shares'!$C:$FB,58)</f>
        <v>38055000</v>
      </c>
      <c r="K70" s="49">
        <f>VLOOKUP($A70,'Data shares'!$C:$FB,59)</f>
        <v>37840000</v>
      </c>
      <c r="L70" s="50">
        <f>VLOOKUP($A70,'Data shares'!$C:$FB,61)*100</f>
        <v>0.57000000000000006</v>
      </c>
      <c r="M70" s="49">
        <f>VLOOKUP($A70,'Data shares'!$C:$FB,62)</f>
        <v>23020000</v>
      </c>
      <c r="N70" s="49">
        <f>VLOOKUP($A70,'Data shares'!$C:$FB,63)</f>
        <v>25615000</v>
      </c>
      <c r="O70" s="140">
        <f>VLOOKUP($A70,'Data shares'!$C:$FB,65)*100</f>
        <v>-10.130000000000001</v>
      </c>
    </row>
    <row r="71" spans="1:15" x14ac:dyDescent="0.25">
      <c r="A71" s="101" t="str">
        <f>'Data Vlaue (Cr)'!C66</f>
        <v>FINNIFTY</v>
      </c>
      <c r="B71" s="50">
        <f>VLOOKUP($A71,'Data shares'!$C:$FB,7)</f>
        <v>26247.200000000001</v>
      </c>
      <c r="C71" s="50">
        <f>VLOOKUP($A71,'Data shares'!$C:$FB,10)*100</f>
        <v>-1.4200000000000002</v>
      </c>
      <c r="D71" s="49">
        <f>VLOOKUP($A71,'Data shares'!$C:$FB,66)</f>
        <v>3310680</v>
      </c>
      <c r="E71" s="49">
        <f>VLOOKUP($A71,'Data shares'!$C:$FB,67)</f>
        <v>2499120</v>
      </c>
      <c r="F71" s="50">
        <f>VLOOKUP($A71,'Data shares'!$C:$FB,69)*100</f>
        <v>32.47</v>
      </c>
      <c r="G71" s="49">
        <f>VLOOKUP($A71,'Data shares'!$C:$FB,42)</f>
        <v>16380</v>
      </c>
      <c r="H71" s="49">
        <f>VLOOKUP($A71,'Data shares'!$C:$FB,43)</f>
        <v>14280</v>
      </c>
      <c r="I71" s="50">
        <f>VLOOKUP($A71,'Data shares'!$C:$FB,45)*100</f>
        <v>14.71</v>
      </c>
      <c r="J71" s="49">
        <f>VLOOKUP($A71,'Data shares'!$C:$FB,58)</f>
        <v>1855680</v>
      </c>
      <c r="K71" s="49">
        <f>VLOOKUP($A71,'Data shares'!$C:$FB,59)</f>
        <v>1364040</v>
      </c>
      <c r="L71" s="50">
        <f>VLOOKUP($A71,'Data shares'!$C:$FB,61)*100</f>
        <v>36.04</v>
      </c>
      <c r="M71" s="49">
        <f>VLOOKUP($A71,'Data shares'!$C:$FB,62)</f>
        <v>1438620</v>
      </c>
      <c r="N71" s="49">
        <f>VLOOKUP($A71,'Data shares'!$C:$FB,63)</f>
        <v>1120800</v>
      </c>
      <c r="O71" s="140">
        <f>VLOOKUP($A71,'Data shares'!$C:$FB,65)*100</f>
        <v>28.360000000000003</v>
      </c>
    </row>
    <row r="72" spans="1:15" x14ac:dyDescent="0.25">
      <c r="A72" s="101" t="str">
        <f>'Data Vlaue (Cr)'!C67</f>
        <v>FORCEMOT</v>
      </c>
      <c r="B72" s="50">
        <f>VLOOKUP($A72,'Data shares'!$C:$FB,7)</f>
        <v>20750</v>
      </c>
      <c r="C72" s="50">
        <f>VLOOKUP($A72,'Data shares'!$C:$FB,10)*100</f>
        <v>-4.6899999999999995</v>
      </c>
      <c r="D72" s="49">
        <f>VLOOKUP($A72,'Data shares'!$C:$FB,66)</f>
        <v>442675</v>
      </c>
      <c r="E72" s="49">
        <f>VLOOKUP($A72,'Data shares'!$C:$FB,67)</f>
        <v>174550</v>
      </c>
      <c r="F72" s="50">
        <f>VLOOKUP($A72,'Data shares'!$C:$FB,69)*100</f>
        <v>153.61000000000001</v>
      </c>
      <c r="G72" s="49">
        <f>VLOOKUP($A72,'Data shares'!$C:$FB,42)</f>
        <v>161625</v>
      </c>
      <c r="H72" s="49">
        <f>VLOOKUP($A72,'Data shares'!$C:$FB,43)</f>
        <v>52350</v>
      </c>
      <c r="I72" s="50">
        <f>VLOOKUP($A72,'Data shares'!$C:$FB,45)*100</f>
        <v>208.74</v>
      </c>
      <c r="J72" s="49">
        <f>VLOOKUP($A72,'Data shares'!$C:$FB,58)</f>
        <v>188350</v>
      </c>
      <c r="K72" s="49">
        <f>VLOOKUP($A72,'Data shares'!$C:$FB,59)</f>
        <v>68425</v>
      </c>
      <c r="L72" s="50">
        <f>VLOOKUP($A72,'Data shares'!$C:$FB,61)*100</f>
        <v>175.26</v>
      </c>
      <c r="M72" s="49">
        <f>VLOOKUP($A72,'Data shares'!$C:$FB,62)</f>
        <v>92700</v>
      </c>
      <c r="N72" s="49">
        <f>VLOOKUP($A72,'Data shares'!$C:$FB,63)</f>
        <v>53775</v>
      </c>
      <c r="O72" s="140">
        <f>VLOOKUP($A72,'Data shares'!$C:$FB,65)*100</f>
        <v>72.38</v>
      </c>
    </row>
    <row r="73" spans="1:15" x14ac:dyDescent="0.25">
      <c r="A73" s="101" t="str">
        <f>'Data Vlaue (Cr)'!C68</f>
        <v>FORTIS</v>
      </c>
      <c r="B73" s="50">
        <f>VLOOKUP($A73,'Data shares'!$C:$FB,7)</f>
        <v>926.75</v>
      </c>
      <c r="C73" s="50">
        <f>VLOOKUP($A73,'Data shares'!$C:$FB,10)*100</f>
        <v>0.4</v>
      </c>
      <c r="D73" s="49">
        <f>VLOOKUP($A73,'Data shares'!$C:$FB,66)</f>
        <v>12168275</v>
      </c>
      <c r="E73" s="49">
        <f>VLOOKUP($A73,'Data shares'!$C:$FB,67)</f>
        <v>19088250</v>
      </c>
      <c r="F73" s="50">
        <f>VLOOKUP($A73,'Data shares'!$C:$FB,69)*100</f>
        <v>-36.25</v>
      </c>
      <c r="G73" s="49">
        <f>VLOOKUP($A73,'Data shares'!$C:$FB,42)</f>
        <v>7272600</v>
      </c>
      <c r="H73" s="49">
        <f>VLOOKUP($A73,'Data shares'!$C:$FB,43)</f>
        <v>3763400</v>
      </c>
      <c r="I73" s="50">
        <f>VLOOKUP($A73,'Data shares'!$C:$FB,45)*100</f>
        <v>93.25</v>
      </c>
      <c r="J73" s="49">
        <f>VLOOKUP($A73,'Data shares'!$C:$FB,58)</f>
        <v>3527800</v>
      </c>
      <c r="K73" s="49">
        <f>VLOOKUP($A73,'Data shares'!$C:$FB,59)</f>
        <v>8323500</v>
      </c>
      <c r="L73" s="50">
        <f>VLOOKUP($A73,'Data shares'!$C:$FB,61)*100</f>
        <v>-57.620000000000005</v>
      </c>
      <c r="M73" s="49">
        <f>VLOOKUP($A73,'Data shares'!$C:$FB,62)</f>
        <v>1367875</v>
      </c>
      <c r="N73" s="49">
        <f>VLOOKUP($A73,'Data shares'!$C:$FB,63)</f>
        <v>7001350</v>
      </c>
      <c r="O73" s="140">
        <f>VLOOKUP($A73,'Data shares'!$C:$FB,65)*100</f>
        <v>-80.459999999999994</v>
      </c>
    </row>
    <row r="74" spans="1:15" x14ac:dyDescent="0.25">
      <c r="A74" s="101" t="str">
        <f>'Data Vlaue (Cr)'!C69</f>
        <v>GAIL</v>
      </c>
      <c r="B74" s="50">
        <f>VLOOKUP($A74,'Data shares'!$C:$FB,7)</f>
        <v>164.96</v>
      </c>
      <c r="C74" s="50">
        <f>VLOOKUP($A74,'Data shares'!$C:$FB,10)*100</f>
        <v>-0.70000000000000007</v>
      </c>
      <c r="D74" s="49">
        <f>VLOOKUP($A74,'Data shares'!$C:$FB,66)</f>
        <v>99155700</v>
      </c>
      <c r="E74" s="49">
        <f>VLOOKUP($A74,'Data shares'!$C:$FB,67)</f>
        <v>99543150</v>
      </c>
      <c r="F74" s="50">
        <f>VLOOKUP($A74,'Data shares'!$C:$FB,69)*100</f>
        <v>-0.38999999999999996</v>
      </c>
      <c r="G74" s="49">
        <f>VLOOKUP($A74,'Data shares'!$C:$FB,42)</f>
        <v>54422550</v>
      </c>
      <c r="H74" s="49">
        <f>VLOOKUP($A74,'Data shares'!$C:$FB,43)</f>
        <v>17873100</v>
      </c>
      <c r="I74" s="50">
        <f>VLOOKUP($A74,'Data shares'!$C:$FB,45)*100</f>
        <v>204.49</v>
      </c>
      <c r="J74" s="49">
        <f>VLOOKUP($A74,'Data shares'!$C:$FB,58)</f>
        <v>24661350</v>
      </c>
      <c r="K74" s="49">
        <f>VLOOKUP($A74,'Data shares'!$C:$FB,59)</f>
        <v>45419850</v>
      </c>
      <c r="L74" s="50">
        <f>VLOOKUP($A74,'Data shares'!$C:$FB,61)*100</f>
        <v>-45.7</v>
      </c>
      <c r="M74" s="49">
        <f>VLOOKUP($A74,'Data shares'!$C:$FB,62)</f>
        <v>20071800</v>
      </c>
      <c r="N74" s="49">
        <f>VLOOKUP($A74,'Data shares'!$C:$FB,63)</f>
        <v>36250200</v>
      </c>
      <c r="O74" s="140">
        <f>VLOOKUP($A74,'Data shares'!$C:$FB,65)*100</f>
        <v>-44.629999999999995</v>
      </c>
    </row>
    <row r="75" spans="1:15" x14ac:dyDescent="0.25">
      <c r="A75" s="101" t="str">
        <f>'Data Vlaue (Cr)'!C70</f>
        <v>GLENMARK</v>
      </c>
      <c r="B75" s="50">
        <f>VLOOKUP($A75,'Data shares'!$C:$FB,7)</f>
        <v>2335</v>
      </c>
      <c r="C75" s="50">
        <f>VLOOKUP($A75,'Data shares'!$C:$FB,10)*100</f>
        <v>4.24</v>
      </c>
      <c r="D75" s="49">
        <f>VLOOKUP($A75,'Data shares'!$C:$FB,66)</f>
        <v>42397125</v>
      </c>
      <c r="E75" s="49">
        <f>VLOOKUP($A75,'Data shares'!$C:$FB,67)</f>
        <v>5069625</v>
      </c>
      <c r="F75" s="50">
        <f>VLOOKUP($A75,'Data shares'!$C:$FB,69)*100</f>
        <v>736.30000000000007</v>
      </c>
      <c r="G75" s="49">
        <f>VLOOKUP($A75,'Data shares'!$C:$FB,42)</f>
        <v>12363375</v>
      </c>
      <c r="H75" s="49">
        <f>VLOOKUP($A75,'Data shares'!$C:$FB,43)</f>
        <v>845625</v>
      </c>
      <c r="I75" s="50">
        <f>VLOOKUP($A75,'Data shares'!$C:$FB,45)*100</f>
        <v>1362.04</v>
      </c>
      <c r="J75" s="49">
        <f>VLOOKUP($A75,'Data shares'!$C:$FB,58)</f>
        <v>23238375</v>
      </c>
      <c r="K75" s="49">
        <f>VLOOKUP($A75,'Data shares'!$C:$FB,59)</f>
        <v>2442375</v>
      </c>
      <c r="L75" s="50">
        <f>VLOOKUP($A75,'Data shares'!$C:$FB,61)*100</f>
        <v>851.46999999999991</v>
      </c>
      <c r="M75" s="49">
        <f>VLOOKUP($A75,'Data shares'!$C:$FB,62)</f>
        <v>6795375</v>
      </c>
      <c r="N75" s="49">
        <f>VLOOKUP($A75,'Data shares'!$C:$FB,63)</f>
        <v>1781625</v>
      </c>
      <c r="O75" s="140">
        <f>VLOOKUP($A75,'Data shares'!$C:$FB,65)*100</f>
        <v>281.40999999999997</v>
      </c>
    </row>
    <row r="76" spans="1:15" x14ac:dyDescent="0.25">
      <c r="A76" s="101" t="str">
        <f>'Data Vlaue (Cr)'!C71</f>
        <v>GMRAIRPORT</v>
      </c>
      <c r="B76" s="50">
        <f>VLOOKUP($A76,'Data shares'!$C:$FB,7)</f>
        <v>96.44</v>
      </c>
      <c r="C76" s="50">
        <f>VLOOKUP($A76,'Data shares'!$C:$FB,10)*100</f>
        <v>-0.98</v>
      </c>
      <c r="D76" s="49">
        <f>VLOOKUP($A76,'Data shares'!$C:$FB,66)</f>
        <v>131346225</v>
      </c>
      <c r="E76" s="49">
        <f>VLOOKUP($A76,'Data shares'!$C:$FB,67)</f>
        <v>69324525</v>
      </c>
      <c r="F76" s="50">
        <f>VLOOKUP($A76,'Data shares'!$C:$FB,69)*100</f>
        <v>89.47</v>
      </c>
      <c r="G76" s="49">
        <f>VLOOKUP($A76,'Data shares'!$C:$FB,42)</f>
        <v>74506950</v>
      </c>
      <c r="H76" s="49">
        <f>VLOOKUP($A76,'Data shares'!$C:$FB,43)</f>
        <v>20122875</v>
      </c>
      <c r="I76" s="50">
        <f>VLOOKUP($A76,'Data shares'!$C:$FB,45)*100</f>
        <v>270.26</v>
      </c>
      <c r="J76" s="49">
        <f>VLOOKUP($A76,'Data shares'!$C:$FB,58)</f>
        <v>38313675</v>
      </c>
      <c r="K76" s="49">
        <f>VLOOKUP($A76,'Data shares'!$C:$FB,59)</f>
        <v>37957950</v>
      </c>
      <c r="L76" s="50">
        <f>VLOOKUP($A76,'Data shares'!$C:$FB,61)*100</f>
        <v>0.94000000000000006</v>
      </c>
      <c r="M76" s="49">
        <f>VLOOKUP($A76,'Data shares'!$C:$FB,62)</f>
        <v>18525600</v>
      </c>
      <c r="N76" s="49">
        <f>VLOOKUP($A76,'Data shares'!$C:$FB,63)</f>
        <v>11243700</v>
      </c>
      <c r="O76" s="140">
        <f>VLOOKUP($A76,'Data shares'!$C:$FB,65)*100</f>
        <v>64.759999999999991</v>
      </c>
    </row>
    <row r="77" spans="1:15" x14ac:dyDescent="0.25">
      <c r="A77" s="101" t="str">
        <f>'Data Vlaue (Cr)'!C72</f>
        <v>GODFRYPHLP</v>
      </c>
      <c r="B77" s="50">
        <f>VLOOKUP($A77,'Data shares'!$C:$FB,7)</f>
        <v>2153.3000000000002</v>
      </c>
      <c r="C77" s="50">
        <f>VLOOKUP($A77,'Data shares'!$C:$FB,10)*100</f>
        <v>-0.52</v>
      </c>
      <c r="D77" s="49">
        <f>VLOOKUP($A77,'Data shares'!$C:$FB,66)</f>
        <v>3250775</v>
      </c>
      <c r="E77" s="49">
        <f>VLOOKUP($A77,'Data shares'!$C:$FB,67)</f>
        <v>3927275</v>
      </c>
      <c r="F77" s="50">
        <f>VLOOKUP($A77,'Data shares'!$C:$FB,69)*100</f>
        <v>-17.23</v>
      </c>
      <c r="G77" s="49">
        <f>VLOOKUP($A77,'Data shares'!$C:$FB,42)</f>
        <v>1053525</v>
      </c>
      <c r="H77" s="49">
        <f>VLOOKUP($A77,'Data shares'!$C:$FB,43)</f>
        <v>850575</v>
      </c>
      <c r="I77" s="50">
        <f>VLOOKUP($A77,'Data shares'!$C:$FB,45)*100</f>
        <v>23.86</v>
      </c>
      <c r="J77" s="49">
        <f>VLOOKUP($A77,'Data shares'!$C:$FB,58)</f>
        <v>1428625</v>
      </c>
      <c r="K77" s="49">
        <f>VLOOKUP($A77,'Data shares'!$C:$FB,59)</f>
        <v>2451350</v>
      </c>
      <c r="L77" s="50">
        <f>VLOOKUP($A77,'Data shares'!$C:$FB,61)*100</f>
        <v>-41.72</v>
      </c>
      <c r="M77" s="49">
        <f>VLOOKUP($A77,'Data shares'!$C:$FB,62)</f>
        <v>768625</v>
      </c>
      <c r="N77" s="49">
        <f>VLOOKUP($A77,'Data shares'!$C:$FB,63)</f>
        <v>625350</v>
      </c>
      <c r="O77" s="140">
        <f>VLOOKUP($A77,'Data shares'!$C:$FB,65)*100</f>
        <v>22.91</v>
      </c>
    </row>
    <row r="78" spans="1:15" x14ac:dyDescent="0.25">
      <c r="A78" s="101" t="str">
        <f>'Data Vlaue (Cr)'!C73</f>
        <v>GODREJCP</v>
      </c>
      <c r="B78" s="50">
        <f>VLOOKUP($A78,'Data shares'!$C:$FB,7)</f>
        <v>1142.95</v>
      </c>
      <c r="C78" s="50">
        <f>VLOOKUP($A78,'Data shares'!$C:$FB,10)*100</f>
        <v>0.3</v>
      </c>
      <c r="D78" s="49">
        <f>VLOOKUP($A78,'Data shares'!$C:$FB,66)</f>
        <v>9398500</v>
      </c>
      <c r="E78" s="49">
        <f>VLOOKUP($A78,'Data shares'!$C:$FB,67)</f>
        <v>7614500</v>
      </c>
      <c r="F78" s="50">
        <f>VLOOKUP($A78,'Data shares'!$C:$FB,69)*100</f>
        <v>23.43</v>
      </c>
      <c r="G78" s="49">
        <f>VLOOKUP($A78,'Data shares'!$C:$FB,42)</f>
        <v>6537500</v>
      </c>
      <c r="H78" s="49">
        <f>VLOOKUP($A78,'Data shares'!$C:$FB,43)</f>
        <v>1824500</v>
      </c>
      <c r="I78" s="50">
        <f>VLOOKUP($A78,'Data shares'!$C:$FB,45)*100</f>
        <v>258.32</v>
      </c>
      <c r="J78" s="49">
        <f>VLOOKUP($A78,'Data shares'!$C:$FB,58)</f>
        <v>1837500</v>
      </c>
      <c r="K78" s="49">
        <f>VLOOKUP($A78,'Data shares'!$C:$FB,59)</f>
        <v>4240000</v>
      </c>
      <c r="L78" s="50">
        <f>VLOOKUP($A78,'Data shares'!$C:$FB,61)*100</f>
        <v>-56.66</v>
      </c>
      <c r="M78" s="49">
        <f>VLOOKUP($A78,'Data shares'!$C:$FB,62)</f>
        <v>1023500</v>
      </c>
      <c r="N78" s="49">
        <f>VLOOKUP($A78,'Data shares'!$C:$FB,63)</f>
        <v>1550000</v>
      </c>
      <c r="O78" s="140">
        <f>VLOOKUP($A78,'Data shares'!$C:$FB,65)*100</f>
        <v>-33.97</v>
      </c>
    </row>
    <row r="79" spans="1:15" x14ac:dyDescent="0.25">
      <c r="A79" s="101" t="str">
        <f>'Data Vlaue (Cr)'!C74</f>
        <v>GODREJPROP</v>
      </c>
      <c r="B79" s="50">
        <f>VLOOKUP($A79,'Data shares'!$C:$FB,7)</f>
        <v>1791</v>
      </c>
      <c r="C79" s="50">
        <f>VLOOKUP($A79,'Data shares'!$C:$FB,10)*100</f>
        <v>-2.25</v>
      </c>
      <c r="D79" s="49">
        <f>VLOOKUP($A79,'Data shares'!$C:$FB,66)</f>
        <v>13449975</v>
      </c>
      <c r="E79" s="49">
        <f>VLOOKUP($A79,'Data shares'!$C:$FB,67)</f>
        <v>11779625</v>
      </c>
      <c r="F79" s="50">
        <f>VLOOKUP($A79,'Data shares'!$C:$FB,69)*100</f>
        <v>14.180000000000001</v>
      </c>
      <c r="G79" s="49">
        <f>VLOOKUP($A79,'Data shares'!$C:$FB,42)</f>
        <v>5670500</v>
      </c>
      <c r="H79" s="49">
        <f>VLOOKUP($A79,'Data shares'!$C:$FB,43)</f>
        <v>2839925</v>
      </c>
      <c r="I79" s="50">
        <f>VLOOKUP($A79,'Data shares'!$C:$FB,45)*100</f>
        <v>99.67</v>
      </c>
      <c r="J79" s="49">
        <f>VLOOKUP($A79,'Data shares'!$C:$FB,58)</f>
        <v>4637050</v>
      </c>
      <c r="K79" s="49">
        <f>VLOOKUP($A79,'Data shares'!$C:$FB,59)</f>
        <v>4920025</v>
      </c>
      <c r="L79" s="50">
        <f>VLOOKUP($A79,'Data shares'!$C:$FB,61)*100</f>
        <v>-5.75</v>
      </c>
      <c r="M79" s="49">
        <f>VLOOKUP($A79,'Data shares'!$C:$FB,62)</f>
        <v>3142425</v>
      </c>
      <c r="N79" s="49">
        <f>VLOOKUP($A79,'Data shares'!$C:$FB,63)</f>
        <v>4019675</v>
      </c>
      <c r="O79" s="140">
        <f>VLOOKUP($A79,'Data shares'!$C:$FB,65)*100</f>
        <v>-21.82</v>
      </c>
    </row>
    <row r="80" spans="1:15" x14ac:dyDescent="0.25">
      <c r="A80" s="101" t="str">
        <f>'Data Vlaue (Cr)'!C75</f>
        <v>GRASIM</v>
      </c>
      <c r="B80" s="50">
        <f>VLOOKUP($A80,'Data shares'!$C:$FB,7)</f>
        <v>2735</v>
      </c>
      <c r="C80" s="50">
        <f>VLOOKUP($A80,'Data shares'!$C:$FB,10)*100</f>
        <v>-1.5</v>
      </c>
      <c r="D80" s="49">
        <f>VLOOKUP($A80,'Data shares'!$C:$FB,66)</f>
        <v>9124250</v>
      </c>
      <c r="E80" s="49">
        <f>VLOOKUP($A80,'Data shares'!$C:$FB,67)</f>
        <v>8038000</v>
      </c>
      <c r="F80" s="50">
        <f>VLOOKUP($A80,'Data shares'!$C:$FB,69)*100</f>
        <v>13.51</v>
      </c>
      <c r="G80" s="49">
        <f>VLOOKUP($A80,'Data shares'!$C:$FB,42)</f>
        <v>7147000</v>
      </c>
      <c r="H80" s="49">
        <f>VLOOKUP($A80,'Data shares'!$C:$FB,43)</f>
        <v>4210750</v>
      </c>
      <c r="I80" s="50">
        <f>VLOOKUP($A80,'Data shares'!$C:$FB,45)*100</f>
        <v>69.73</v>
      </c>
      <c r="J80" s="49">
        <f>VLOOKUP($A80,'Data shares'!$C:$FB,58)</f>
        <v>1139250</v>
      </c>
      <c r="K80" s="49">
        <f>VLOOKUP($A80,'Data shares'!$C:$FB,59)</f>
        <v>2627750</v>
      </c>
      <c r="L80" s="50">
        <f>VLOOKUP($A80,'Data shares'!$C:$FB,61)*100</f>
        <v>-56.65</v>
      </c>
      <c r="M80" s="49">
        <f>VLOOKUP($A80,'Data shares'!$C:$FB,62)</f>
        <v>838000</v>
      </c>
      <c r="N80" s="49">
        <f>VLOOKUP($A80,'Data shares'!$C:$FB,63)</f>
        <v>1199500</v>
      </c>
      <c r="O80" s="140">
        <f>VLOOKUP($A80,'Data shares'!$C:$FB,65)*100</f>
        <v>-30.14</v>
      </c>
    </row>
    <row r="81" spans="1:15" x14ac:dyDescent="0.25">
      <c r="A81" s="101" t="str">
        <f>'Data Vlaue (Cr)'!C76</f>
        <v>HAL</v>
      </c>
      <c r="B81" s="50">
        <f>VLOOKUP($A81,'Data shares'!$C:$FB,7)</f>
        <v>4352.5</v>
      </c>
      <c r="C81" s="50">
        <f>VLOOKUP($A81,'Data shares'!$C:$FB,10)*100</f>
        <v>-1.0900000000000001</v>
      </c>
      <c r="D81" s="49">
        <f>VLOOKUP($A81,'Data shares'!$C:$FB,66)</f>
        <v>9721500</v>
      </c>
      <c r="E81" s="49">
        <f>VLOOKUP($A81,'Data shares'!$C:$FB,67)</f>
        <v>9547200</v>
      </c>
      <c r="F81" s="50">
        <f>VLOOKUP($A81,'Data shares'!$C:$FB,69)*100</f>
        <v>1.83</v>
      </c>
      <c r="G81" s="49">
        <f>VLOOKUP($A81,'Data shares'!$C:$FB,42)</f>
        <v>2703150</v>
      </c>
      <c r="H81" s="49">
        <f>VLOOKUP($A81,'Data shares'!$C:$FB,43)</f>
        <v>2058150</v>
      </c>
      <c r="I81" s="50">
        <f>VLOOKUP($A81,'Data shares'!$C:$FB,45)*100</f>
        <v>31.34</v>
      </c>
      <c r="J81" s="49">
        <f>VLOOKUP($A81,'Data shares'!$C:$FB,58)</f>
        <v>4587450</v>
      </c>
      <c r="K81" s="49">
        <f>VLOOKUP($A81,'Data shares'!$C:$FB,59)</f>
        <v>5005350</v>
      </c>
      <c r="L81" s="50">
        <f>VLOOKUP($A81,'Data shares'!$C:$FB,61)*100</f>
        <v>-8.35</v>
      </c>
      <c r="M81" s="49">
        <f>VLOOKUP($A81,'Data shares'!$C:$FB,62)</f>
        <v>2430900</v>
      </c>
      <c r="N81" s="49">
        <f>VLOOKUP($A81,'Data shares'!$C:$FB,63)</f>
        <v>2483700</v>
      </c>
      <c r="O81" s="140">
        <f>VLOOKUP($A81,'Data shares'!$C:$FB,65)*100</f>
        <v>-2.13</v>
      </c>
    </row>
    <row r="82" spans="1:15" x14ac:dyDescent="0.25">
      <c r="A82" s="101" t="str">
        <f>'Data Vlaue (Cr)'!C77</f>
        <v>HAVELLS</v>
      </c>
      <c r="B82" s="50">
        <f>VLOOKUP($A82,'Data shares'!$C:$FB,7)</f>
        <v>1260.3</v>
      </c>
      <c r="C82" s="50">
        <f>VLOOKUP($A82,'Data shares'!$C:$FB,10)*100</f>
        <v>-6.5500000000000007</v>
      </c>
      <c r="D82" s="49">
        <f>VLOOKUP($A82,'Data shares'!$C:$FB,66)</f>
        <v>95474000</v>
      </c>
      <c r="E82" s="49">
        <f>VLOOKUP($A82,'Data shares'!$C:$FB,67)</f>
        <v>131097500</v>
      </c>
      <c r="F82" s="50">
        <f>VLOOKUP($A82,'Data shares'!$C:$FB,69)*100</f>
        <v>-27.169999999999998</v>
      </c>
      <c r="G82" s="49">
        <f>VLOOKUP($A82,'Data shares'!$C:$FB,42)</f>
        <v>15457500</v>
      </c>
      <c r="H82" s="49">
        <f>VLOOKUP($A82,'Data shares'!$C:$FB,43)</f>
        <v>13969000</v>
      </c>
      <c r="I82" s="50">
        <f>VLOOKUP($A82,'Data shares'!$C:$FB,45)*100</f>
        <v>10.66</v>
      </c>
      <c r="J82" s="49">
        <f>VLOOKUP($A82,'Data shares'!$C:$FB,58)</f>
        <v>49589000</v>
      </c>
      <c r="K82" s="49">
        <f>VLOOKUP($A82,'Data shares'!$C:$FB,59)</f>
        <v>82821500</v>
      </c>
      <c r="L82" s="50">
        <f>VLOOKUP($A82,'Data shares'!$C:$FB,61)*100</f>
        <v>-40.129999999999995</v>
      </c>
      <c r="M82" s="49">
        <f>VLOOKUP($A82,'Data shares'!$C:$FB,62)</f>
        <v>30427500</v>
      </c>
      <c r="N82" s="49">
        <f>VLOOKUP($A82,'Data shares'!$C:$FB,63)</f>
        <v>34307000</v>
      </c>
      <c r="O82" s="140">
        <f>VLOOKUP($A82,'Data shares'!$C:$FB,65)*100</f>
        <v>-11.31</v>
      </c>
    </row>
    <row r="83" spans="1:15" x14ac:dyDescent="0.25">
      <c r="A83" s="101" t="str">
        <f>'Data Vlaue (Cr)'!C78</f>
        <v>HCLTECH</v>
      </c>
      <c r="B83" s="50">
        <f>VLOOKUP($A83,'Data shares'!$C:$FB,7)</f>
        <v>1277.5999999999999</v>
      </c>
      <c r="C83" s="50">
        <f>VLOOKUP($A83,'Data shares'!$C:$FB,10)*100</f>
        <v>-0.6</v>
      </c>
      <c r="D83" s="49">
        <f>VLOOKUP($A83,'Data shares'!$C:$FB,66)</f>
        <v>137689300</v>
      </c>
      <c r="E83" s="49">
        <f>VLOOKUP($A83,'Data shares'!$C:$FB,67)</f>
        <v>296228100</v>
      </c>
      <c r="F83" s="50">
        <f>VLOOKUP($A83,'Data shares'!$C:$FB,69)*100</f>
        <v>-53.52</v>
      </c>
      <c r="G83" s="49">
        <f>VLOOKUP($A83,'Data shares'!$C:$FB,42)</f>
        <v>36887900</v>
      </c>
      <c r="H83" s="49">
        <f>VLOOKUP($A83,'Data shares'!$C:$FB,43)</f>
        <v>42683550</v>
      </c>
      <c r="I83" s="50">
        <f>VLOOKUP($A83,'Data shares'!$C:$FB,45)*100</f>
        <v>-13.58</v>
      </c>
      <c r="J83" s="49">
        <f>VLOOKUP($A83,'Data shares'!$C:$FB,58)</f>
        <v>73749200</v>
      </c>
      <c r="K83" s="49">
        <f>VLOOKUP($A83,'Data shares'!$C:$FB,59)</f>
        <v>154794500</v>
      </c>
      <c r="L83" s="50">
        <f>VLOOKUP($A83,'Data shares'!$C:$FB,61)*100</f>
        <v>-52.359999999999992</v>
      </c>
      <c r="M83" s="49">
        <f>VLOOKUP($A83,'Data shares'!$C:$FB,62)</f>
        <v>27052200</v>
      </c>
      <c r="N83" s="49">
        <f>VLOOKUP($A83,'Data shares'!$C:$FB,63)</f>
        <v>98750050</v>
      </c>
      <c r="O83" s="140">
        <f>VLOOKUP($A83,'Data shares'!$C:$FB,65)*100</f>
        <v>-72.61</v>
      </c>
    </row>
    <row r="84" spans="1:15" x14ac:dyDescent="0.25">
      <c r="A84" s="101" t="str">
        <f>'Data Vlaue (Cr)'!C79</f>
        <v>HDFCAMC</v>
      </c>
      <c r="B84" s="50">
        <f>VLOOKUP($A84,'Data shares'!$C:$FB,7)</f>
        <v>2708.2</v>
      </c>
      <c r="C84" s="50">
        <f>VLOOKUP($A84,'Data shares'!$C:$FB,10)*100</f>
        <v>-2.1</v>
      </c>
      <c r="D84" s="49">
        <f>VLOOKUP($A84,'Data shares'!$C:$FB,66)</f>
        <v>8637300</v>
      </c>
      <c r="E84" s="49">
        <f>VLOOKUP($A84,'Data shares'!$C:$FB,67)</f>
        <v>5437200</v>
      </c>
      <c r="F84" s="50">
        <f>VLOOKUP($A84,'Data shares'!$C:$FB,69)*100</f>
        <v>58.86</v>
      </c>
      <c r="G84" s="49">
        <f>VLOOKUP($A84,'Data shares'!$C:$FB,42)</f>
        <v>3535200</v>
      </c>
      <c r="H84" s="49">
        <f>VLOOKUP($A84,'Data shares'!$C:$FB,43)</f>
        <v>905700</v>
      </c>
      <c r="I84" s="50">
        <f>VLOOKUP($A84,'Data shares'!$C:$FB,45)*100</f>
        <v>290.33000000000004</v>
      </c>
      <c r="J84" s="49">
        <f>VLOOKUP($A84,'Data shares'!$C:$FB,58)</f>
        <v>2673300</v>
      </c>
      <c r="K84" s="49">
        <f>VLOOKUP($A84,'Data shares'!$C:$FB,59)</f>
        <v>2424600</v>
      </c>
      <c r="L84" s="50">
        <f>VLOOKUP($A84,'Data shares'!$C:$FB,61)*100</f>
        <v>10.26</v>
      </c>
      <c r="M84" s="49">
        <f>VLOOKUP($A84,'Data shares'!$C:$FB,62)</f>
        <v>2428800</v>
      </c>
      <c r="N84" s="49">
        <f>VLOOKUP($A84,'Data shares'!$C:$FB,63)</f>
        <v>2106900</v>
      </c>
      <c r="O84" s="140">
        <f>VLOOKUP($A84,'Data shares'!$C:$FB,65)*100</f>
        <v>15.28</v>
      </c>
    </row>
    <row r="85" spans="1:15" x14ac:dyDescent="0.25">
      <c r="A85" s="101" t="str">
        <f>'Data Vlaue (Cr)'!C80</f>
        <v>HDFCBANK</v>
      </c>
      <c r="B85" s="50">
        <f>VLOOKUP($A85,'Data shares'!$C:$FB,7)</f>
        <v>784.35</v>
      </c>
      <c r="C85" s="50">
        <f>VLOOKUP($A85,'Data shares'!$C:$FB,10)*100</f>
        <v>-1.94</v>
      </c>
      <c r="D85" s="49">
        <f>VLOOKUP($A85,'Data shares'!$C:$FB,66)</f>
        <v>358367350</v>
      </c>
      <c r="E85" s="49">
        <f>VLOOKUP($A85,'Data shares'!$C:$FB,67)</f>
        <v>239695500</v>
      </c>
      <c r="F85" s="50">
        <f>VLOOKUP($A85,'Data shares'!$C:$FB,69)*100</f>
        <v>49.51</v>
      </c>
      <c r="G85" s="49">
        <f>VLOOKUP($A85,'Data shares'!$C:$FB,42)</f>
        <v>133863400</v>
      </c>
      <c r="H85" s="49">
        <f>VLOOKUP($A85,'Data shares'!$C:$FB,43)</f>
        <v>58096500</v>
      </c>
      <c r="I85" s="50">
        <f>VLOOKUP($A85,'Data shares'!$C:$FB,45)*100</f>
        <v>130.42000000000002</v>
      </c>
      <c r="J85" s="49">
        <f>VLOOKUP($A85,'Data shares'!$C:$FB,58)</f>
        <v>141496850</v>
      </c>
      <c r="K85" s="49">
        <f>VLOOKUP($A85,'Data shares'!$C:$FB,59)</f>
        <v>109769000</v>
      </c>
      <c r="L85" s="50">
        <f>VLOOKUP($A85,'Data shares'!$C:$FB,61)*100</f>
        <v>28.9</v>
      </c>
      <c r="M85" s="49">
        <f>VLOOKUP($A85,'Data shares'!$C:$FB,62)</f>
        <v>83007100</v>
      </c>
      <c r="N85" s="49">
        <f>VLOOKUP($A85,'Data shares'!$C:$FB,63)</f>
        <v>71830000</v>
      </c>
      <c r="O85" s="140">
        <f>VLOOKUP($A85,'Data shares'!$C:$FB,65)*100</f>
        <v>15.559999999999999</v>
      </c>
    </row>
    <row r="86" spans="1:15" x14ac:dyDescent="0.25">
      <c r="A86" s="101" t="str">
        <f>'Data Vlaue (Cr)'!C81</f>
        <v>HDFCLIFE</v>
      </c>
      <c r="B86" s="50">
        <f>VLOOKUP($A86,'Data shares'!$C:$FB,7)</f>
        <v>598.65</v>
      </c>
      <c r="C86" s="50">
        <f>VLOOKUP($A86,'Data shares'!$C:$FB,10)*100</f>
        <v>-0.89</v>
      </c>
      <c r="D86" s="49">
        <f>VLOOKUP($A86,'Data shares'!$C:$FB,66)</f>
        <v>61603300</v>
      </c>
      <c r="E86" s="49">
        <f>VLOOKUP($A86,'Data shares'!$C:$FB,67)</f>
        <v>49115000</v>
      </c>
      <c r="F86" s="50">
        <f>VLOOKUP($A86,'Data shares'!$C:$FB,69)*100</f>
        <v>25.430000000000003</v>
      </c>
      <c r="G86" s="49">
        <f>VLOOKUP($A86,'Data shares'!$C:$FB,42)</f>
        <v>17617600</v>
      </c>
      <c r="H86" s="49">
        <f>VLOOKUP($A86,'Data shares'!$C:$FB,43)</f>
        <v>11983400</v>
      </c>
      <c r="I86" s="50">
        <f>VLOOKUP($A86,'Data shares'!$C:$FB,45)*100</f>
        <v>47.02</v>
      </c>
      <c r="J86" s="49">
        <f>VLOOKUP($A86,'Data shares'!$C:$FB,58)</f>
        <v>30453500</v>
      </c>
      <c r="K86" s="49">
        <f>VLOOKUP($A86,'Data shares'!$C:$FB,59)</f>
        <v>26107400</v>
      </c>
      <c r="L86" s="50">
        <f>VLOOKUP($A86,'Data shares'!$C:$FB,61)*100</f>
        <v>16.650000000000002</v>
      </c>
      <c r="M86" s="49">
        <f>VLOOKUP($A86,'Data shares'!$C:$FB,62)</f>
        <v>13532200</v>
      </c>
      <c r="N86" s="49">
        <f>VLOOKUP($A86,'Data shares'!$C:$FB,63)</f>
        <v>11024200</v>
      </c>
      <c r="O86" s="140">
        <f>VLOOKUP($A86,'Data shares'!$C:$FB,65)*100</f>
        <v>22.75</v>
      </c>
    </row>
    <row r="87" spans="1:15" x14ac:dyDescent="0.25">
      <c r="A87" s="101" t="str">
        <f>'Data Vlaue (Cr)'!C82</f>
        <v>HEROMOTOCO</v>
      </c>
      <c r="B87" s="50">
        <f>VLOOKUP($A87,'Data shares'!$C:$FB,7)</f>
        <v>5032</v>
      </c>
      <c r="C87" s="50">
        <f>VLOOKUP($A87,'Data shares'!$C:$FB,10)*100</f>
        <v>-3.0300000000000002</v>
      </c>
      <c r="D87" s="49">
        <f>VLOOKUP($A87,'Data shares'!$C:$FB,66)</f>
        <v>10688400</v>
      </c>
      <c r="E87" s="49">
        <f>VLOOKUP($A87,'Data shares'!$C:$FB,67)</f>
        <v>4634250</v>
      </c>
      <c r="F87" s="50">
        <f>VLOOKUP($A87,'Data shares'!$C:$FB,69)*100</f>
        <v>130.63999999999999</v>
      </c>
      <c r="G87" s="49">
        <f>VLOOKUP($A87,'Data shares'!$C:$FB,42)</f>
        <v>2986050</v>
      </c>
      <c r="H87" s="49">
        <f>VLOOKUP($A87,'Data shares'!$C:$FB,43)</f>
        <v>701100</v>
      </c>
      <c r="I87" s="50">
        <f>VLOOKUP($A87,'Data shares'!$C:$FB,45)*100</f>
        <v>325.91000000000003</v>
      </c>
      <c r="J87" s="49">
        <f>VLOOKUP($A87,'Data shares'!$C:$FB,58)</f>
        <v>5404200</v>
      </c>
      <c r="K87" s="49">
        <f>VLOOKUP($A87,'Data shares'!$C:$FB,59)</f>
        <v>2864700</v>
      </c>
      <c r="L87" s="50">
        <f>VLOOKUP($A87,'Data shares'!$C:$FB,61)*100</f>
        <v>88.649999999999991</v>
      </c>
      <c r="M87" s="49">
        <f>VLOOKUP($A87,'Data shares'!$C:$FB,62)</f>
        <v>2298150</v>
      </c>
      <c r="N87" s="49">
        <f>VLOOKUP($A87,'Data shares'!$C:$FB,63)</f>
        <v>1068450</v>
      </c>
      <c r="O87" s="140">
        <f>VLOOKUP($A87,'Data shares'!$C:$FB,65)*100</f>
        <v>115.09</v>
      </c>
    </row>
    <row r="88" spans="1:15" x14ac:dyDescent="0.25">
      <c r="A88" s="101" t="str">
        <f>'Data Vlaue (Cr)'!C83</f>
        <v>HINDALCO</v>
      </c>
      <c r="B88" s="50">
        <f>VLOOKUP($A88,'Data shares'!$C:$FB,7)</f>
        <v>1041.3499999999999</v>
      </c>
      <c r="C88" s="50">
        <f>VLOOKUP($A88,'Data shares'!$C:$FB,10)*100</f>
        <v>0.13999999999999999</v>
      </c>
      <c r="D88" s="49">
        <f>VLOOKUP($A88,'Data shares'!$C:$FB,66)</f>
        <v>61098800</v>
      </c>
      <c r="E88" s="49">
        <f>VLOOKUP($A88,'Data shares'!$C:$FB,67)</f>
        <v>54118400</v>
      </c>
      <c r="F88" s="50">
        <f>VLOOKUP($A88,'Data shares'!$C:$FB,69)*100</f>
        <v>12.9</v>
      </c>
      <c r="G88" s="49">
        <f>VLOOKUP($A88,'Data shares'!$C:$FB,42)</f>
        <v>19679800</v>
      </c>
      <c r="H88" s="49">
        <f>VLOOKUP($A88,'Data shares'!$C:$FB,43)</f>
        <v>8750000</v>
      </c>
      <c r="I88" s="50">
        <f>VLOOKUP($A88,'Data shares'!$C:$FB,45)*100</f>
        <v>124.91000000000001</v>
      </c>
      <c r="J88" s="49">
        <f>VLOOKUP($A88,'Data shares'!$C:$FB,58)</f>
        <v>26729500</v>
      </c>
      <c r="K88" s="49">
        <f>VLOOKUP($A88,'Data shares'!$C:$FB,59)</f>
        <v>31104500</v>
      </c>
      <c r="L88" s="50">
        <f>VLOOKUP($A88,'Data shares'!$C:$FB,61)*100</f>
        <v>-14.069999999999999</v>
      </c>
      <c r="M88" s="49">
        <f>VLOOKUP($A88,'Data shares'!$C:$FB,62)</f>
        <v>14689500</v>
      </c>
      <c r="N88" s="49">
        <f>VLOOKUP($A88,'Data shares'!$C:$FB,63)</f>
        <v>14263900</v>
      </c>
      <c r="O88" s="140">
        <f>VLOOKUP($A88,'Data shares'!$C:$FB,65)*100</f>
        <v>2.98</v>
      </c>
    </row>
    <row r="89" spans="1:15" x14ac:dyDescent="0.25">
      <c r="A89" s="101" t="str">
        <f>'Data Vlaue (Cr)'!C84</f>
        <v>HINDPETRO</v>
      </c>
      <c r="B89" s="50">
        <f>VLOOKUP($A89,'Data shares'!$C:$FB,7)</f>
        <v>376.9</v>
      </c>
      <c r="C89" s="50">
        <f>VLOOKUP($A89,'Data shares'!$C:$FB,10)*100</f>
        <v>-1.48</v>
      </c>
      <c r="D89" s="49">
        <f>VLOOKUP($A89,'Data shares'!$C:$FB,66)</f>
        <v>72209475</v>
      </c>
      <c r="E89" s="49">
        <f>VLOOKUP($A89,'Data shares'!$C:$FB,67)</f>
        <v>47376900</v>
      </c>
      <c r="F89" s="50">
        <f>VLOOKUP($A89,'Data shares'!$C:$FB,69)*100</f>
        <v>52.410000000000004</v>
      </c>
      <c r="G89" s="49">
        <f>VLOOKUP($A89,'Data shares'!$C:$FB,42)</f>
        <v>27535950</v>
      </c>
      <c r="H89" s="49">
        <f>VLOOKUP($A89,'Data shares'!$C:$FB,43)</f>
        <v>10746675</v>
      </c>
      <c r="I89" s="50">
        <f>VLOOKUP($A89,'Data shares'!$C:$FB,45)*100</f>
        <v>156.22999999999999</v>
      </c>
      <c r="J89" s="49">
        <f>VLOOKUP($A89,'Data shares'!$C:$FB,58)</f>
        <v>21448800</v>
      </c>
      <c r="K89" s="49">
        <f>VLOOKUP($A89,'Data shares'!$C:$FB,59)</f>
        <v>20349225</v>
      </c>
      <c r="L89" s="50">
        <f>VLOOKUP($A89,'Data shares'!$C:$FB,61)*100</f>
        <v>5.4</v>
      </c>
      <c r="M89" s="49">
        <f>VLOOKUP($A89,'Data shares'!$C:$FB,62)</f>
        <v>23224725</v>
      </c>
      <c r="N89" s="49">
        <f>VLOOKUP($A89,'Data shares'!$C:$FB,63)</f>
        <v>16281000</v>
      </c>
      <c r="O89" s="140">
        <f>VLOOKUP($A89,'Data shares'!$C:$FB,65)*100</f>
        <v>42.65</v>
      </c>
    </row>
    <row r="90" spans="1:15" x14ac:dyDescent="0.25">
      <c r="A90" s="101" t="str">
        <f>'Data Vlaue (Cr)'!C85</f>
        <v>HINDUNILVR</v>
      </c>
      <c r="B90" s="50">
        <f>VLOOKUP($A90,'Data shares'!$C:$FB,7)</f>
        <v>2366.4</v>
      </c>
      <c r="C90" s="50">
        <f>VLOOKUP($A90,'Data shares'!$C:$FB,10)*100</f>
        <v>-0.1</v>
      </c>
      <c r="D90" s="49">
        <f>VLOOKUP($A90,'Data shares'!$C:$FB,66)</f>
        <v>41791800</v>
      </c>
      <c r="E90" s="49">
        <f>VLOOKUP($A90,'Data shares'!$C:$FB,67)</f>
        <v>80347500</v>
      </c>
      <c r="F90" s="50">
        <f>VLOOKUP($A90,'Data shares'!$C:$FB,69)*100</f>
        <v>-47.99</v>
      </c>
      <c r="G90" s="49">
        <f>VLOOKUP($A90,'Data shares'!$C:$FB,42)</f>
        <v>13703100</v>
      </c>
      <c r="H90" s="49">
        <f>VLOOKUP($A90,'Data shares'!$C:$FB,43)</f>
        <v>5790000</v>
      </c>
      <c r="I90" s="50">
        <f>VLOOKUP($A90,'Data shares'!$C:$FB,45)*100</f>
        <v>136.67000000000002</v>
      </c>
      <c r="J90" s="49">
        <f>VLOOKUP($A90,'Data shares'!$C:$FB,58)</f>
        <v>17484600</v>
      </c>
      <c r="K90" s="49">
        <f>VLOOKUP($A90,'Data shares'!$C:$FB,59)</f>
        <v>51233400</v>
      </c>
      <c r="L90" s="50">
        <f>VLOOKUP($A90,'Data shares'!$C:$FB,61)*100</f>
        <v>-65.86999999999999</v>
      </c>
      <c r="M90" s="49">
        <f>VLOOKUP($A90,'Data shares'!$C:$FB,62)</f>
        <v>10604100</v>
      </c>
      <c r="N90" s="49">
        <f>VLOOKUP($A90,'Data shares'!$C:$FB,63)</f>
        <v>23324100</v>
      </c>
      <c r="O90" s="140">
        <f>VLOOKUP($A90,'Data shares'!$C:$FB,65)*100</f>
        <v>-54.54</v>
      </c>
    </row>
    <row r="91" spans="1:15" x14ac:dyDescent="0.25">
      <c r="A91" s="101" t="str">
        <f>'Data Vlaue (Cr)'!C86</f>
        <v>HINDZINC</v>
      </c>
      <c r="B91" s="50">
        <f>VLOOKUP($A91,'Data shares'!$C:$FB,7)</f>
        <v>592.1</v>
      </c>
      <c r="C91" s="50">
        <f>VLOOKUP($A91,'Data shares'!$C:$FB,10)*100</f>
        <v>-2.09</v>
      </c>
      <c r="D91" s="49">
        <f>VLOOKUP($A91,'Data shares'!$C:$FB,66)</f>
        <v>66274950</v>
      </c>
      <c r="E91" s="49">
        <f>VLOOKUP($A91,'Data shares'!$C:$FB,67)</f>
        <v>85266125</v>
      </c>
      <c r="F91" s="50">
        <f>VLOOKUP($A91,'Data shares'!$C:$FB,69)*100</f>
        <v>-22.27</v>
      </c>
      <c r="G91" s="49">
        <f>VLOOKUP($A91,'Data shares'!$C:$FB,42)</f>
        <v>22089200</v>
      </c>
      <c r="H91" s="49">
        <f>VLOOKUP($A91,'Data shares'!$C:$FB,43)</f>
        <v>15665300</v>
      </c>
      <c r="I91" s="50">
        <f>VLOOKUP($A91,'Data shares'!$C:$FB,45)*100</f>
        <v>41.010000000000005</v>
      </c>
      <c r="J91" s="49">
        <f>VLOOKUP($A91,'Data shares'!$C:$FB,58)</f>
        <v>30078650</v>
      </c>
      <c r="K91" s="49">
        <f>VLOOKUP($A91,'Data shares'!$C:$FB,59)</f>
        <v>50163750</v>
      </c>
      <c r="L91" s="50">
        <f>VLOOKUP($A91,'Data shares'!$C:$FB,61)*100</f>
        <v>-40.04</v>
      </c>
      <c r="M91" s="49">
        <f>VLOOKUP($A91,'Data shares'!$C:$FB,62)</f>
        <v>14107100</v>
      </c>
      <c r="N91" s="49">
        <f>VLOOKUP($A91,'Data shares'!$C:$FB,63)</f>
        <v>19437075</v>
      </c>
      <c r="O91" s="140">
        <f>VLOOKUP($A91,'Data shares'!$C:$FB,65)*100</f>
        <v>-27.42</v>
      </c>
    </row>
    <row r="92" spans="1:15" x14ac:dyDescent="0.25">
      <c r="A92" s="101" t="str">
        <f>'Data Vlaue (Cr)'!C87</f>
        <v>HUDCO</v>
      </c>
      <c r="B92" s="50">
        <f>VLOOKUP($A92,'Data shares'!$C:$FB,7)</f>
        <v>204.46</v>
      </c>
      <c r="C92" s="50">
        <f>VLOOKUP($A92,'Data shares'!$C:$FB,10)*100</f>
        <v>2.29</v>
      </c>
      <c r="D92" s="49">
        <f>VLOOKUP($A92,'Data shares'!$C:$FB,66)</f>
        <v>52292100</v>
      </c>
      <c r="E92" s="49">
        <f>VLOOKUP($A92,'Data shares'!$C:$FB,67)</f>
        <v>22027950</v>
      </c>
      <c r="F92" s="50">
        <f>VLOOKUP($A92,'Data shares'!$C:$FB,69)*100</f>
        <v>137.38999999999999</v>
      </c>
      <c r="G92" s="49">
        <f>VLOOKUP($A92,'Data shares'!$C:$FB,42)</f>
        <v>6740475</v>
      </c>
      <c r="H92" s="49">
        <f>VLOOKUP($A92,'Data shares'!$C:$FB,43)</f>
        <v>4395600</v>
      </c>
      <c r="I92" s="50">
        <f>VLOOKUP($A92,'Data shares'!$C:$FB,45)*100</f>
        <v>53.349999999999994</v>
      </c>
      <c r="J92" s="49">
        <f>VLOOKUP($A92,'Data shares'!$C:$FB,58)</f>
        <v>31437975</v>
      </c>
      <c r="K92" s="49">
        <f>VLOOKUP($A92,'Data shares'!$C:$FB,59)</f>
        <v>13142400</v>
      </c>
      <c r="L92" s="50">
        <f>VLOOKUP($A92,'Data shares'!$C:$FB,61)*100</f>
        <v>139.20999999999998</v>
      </c>
      <c r="M92" s="49">
        <f>VLOOKUP($A92,'Data shares'!$C:$FB,62)</f>
        <v>14113650</v>
      </c>
      <c r="N92" s="49">
        <f>VLOOKUP($A92,'Data shares'!$C:$FB,63)</f>
        <v>4489950</v>
      </c>
      <c r="O92" s="140">
        <f>VLOOKUP($A92,'Data shares'!$C:$FB,65)*100</f>
        <v>214.34000000000003</v>
      </c>
    </row>
    <row r="93" spans="1:15" x14ac:dyDescent="0.25">
      <c r="A93" s="101" t="str">
        <f>'Data Vlaue (Cr)'!C88</f>
        <v>HYUNDAI</v>
      </c>
      <c r="B93" s="50">
        <f>VLOOKUP($A93,'Data shares'!$C:$FB,7)</f>
        <v>1844.2</v>
      </c>
      <c r="C93" s="50">
        <f>VLOOKUP($A93,'Data shares'!$C:$FB,10)*100</f>
        <v>-0.28999999999999998</v>
      </c>
      <c r="D93" s="49">
        <f>VLOOKUP($A93,'Data shares'!$C:$FB,66)</f>
        <v>10185175</v>
      </c>
      <c r="E93" s="49">
        <f>VLOOKUP($A93,'Data shares'!$C:$FB,67)</f>
        <v>2973300</v>
      </c>
      <c r="F93" s="50">
        <f>VLOOKUP($A93,'Data shares'!$C:$FB,69)*100</f>
        <v>242.55</v>
      </c>
      <c r="G93" s="49">
        <f>VLOOKUP($A93,'Data shares'!$C:$FB,42)</f>
        <v>7578725</v>
      </c>
      <c r="H93" s="49">
        <f>VLOOKUP($A93,'Data shares'!$C:$FB,43)</f>
        <v>1798775</v>
      </c>
      <c r="I93" s="50">
        <f>VLOOKUP($A93,'Data shares'!$C:$FB,45)*100</f>
        <v>321.33</v>
      </c>
      <c r="J93" s="49">
        <f>VLOOKUP($A93,'Data shares'!$C:$FB,58)</f>
        <v>1940125</v>
      </c>
      <c r="K93" s="49">
        <f>VLOOKUP($A93,'Data shares'!$C:$FB,59)</f>
        <v>923450</v>
      </c>
      <c r="L93" s="50">
        <f>VLOOKUP($A93,'Data shares'!$C:$FB,61)*100</f>
        <v>110.1</v>
      </c>
      <c r="M93" s="49">
        <f>VLOOKUP($A93,'Data shares'!$C:$FB,62)</f>
        <v>666325</v>
      </c>
      <c r="N93" s="49">
        <f>VLOOKUP($A93,'Data shares'!$C:$FB,63)</f>
        <v>251075</v>
      </c>
      <c r="O93" s="140">
        <f>VLOOKUP($A93,'Data shares'!$C:$FB,65)*100</f>
        <v>165.39</v>
      </c>
    </row>
    <row r="94" spans="1:15" x14ac:dyDescent="0.25">
      <c r="A94" s="101" t="str">
        <f>'Data Vlaue (Cr)'!C89</f>
        <v>ICICIBANK</v>
      </c>
      <c r="B94" s="50">
        <f>VLOOKUP($A94,'Data shares'!$C:$FB,7)</f>
        <v>1348</v>
      </c>
      <c r="C94" s="50">
        <f>VLOOKUP($A94,'Data shares'!$C:$FB,10)*100</f>
        <v>-1.43</v>
      </c>
      <c r="D94" s="49">
        <f>VLOOKUP($A94,'Data shares'!$C:$FB,66)</f>
        <v>155610000</v>
      </c>
      <c r="E94" s="49">
        <f>VLOOKUP($A94,'Data shares'!$C:$FB,67)</f>
        <v>116934300</v>
      </c>
      <c r="F94" s="50">
        <f>VLOOKUP($A94,'Data shares'!$C:$FB,69)*100</f>
        <v>33.07</v>
      </c>
      <c r="G94" s="49">
        <f>VLOOKUP($A94,'Data shares'!$C:$FB,42)</f>
        <v>54941600</v>
      </c>
      <c r="H94" s="49">
        <f>VLOOKUP($A94,'Data shares'!$C:$FB,43)</f>
        <v>23956100</v>
      </c>
      <c r="I94" s="50">
        <f>VLOOKUP($A94,'Data shares'!$C:$FB,45)*100</f>
        <v>129.34</v>
      </c>
      <c r="J94" s="49">
        <f>VLOOKUP($A94,'Data shares'!$C:$FB,58)</f>
        <v>60312000</v>
      </c>
      <c r="K94" s="49">
        <f>VLOOKUP($A94,'Data shares'!$C:$FB,59)</f>
        <v>54351500</v>
      </c>
      <c r="L94" s="50">
        <f>VLOOKUP($A94,'Data shares'!$C:$FB,61)*100</f>
        <v>10.97</v>
      </c>
      <c r="M94" s="49">
        <f>VLOOKUP($A94,'Data shares'!$C:$FB,62)</f>
        <v>40356400</v>
      </c>
      <c r="N94" s="49">
        <f>VLOOKUP($A94,'Data shares'!$C:$FB,63)</f>
        <v>38626700</v>
      </c>
      <c r="O94" s="140">
        <f>VLOOKUP($A94,'Data shares'!$C:$FB,65)*100</f>
        <v>4.4799999999999995</v>
      </c>
    </row>
    <row r="95" spans="1:15" x14ac:dyDescent="0.25">
      <c r="A95" s="101" t="str">
        <f>'Data Vlaue (Cr)'!C90</f>
        <v>ICICIGI</v>
      </c>
      <c r="B95" s="50">
        <f>VLOOKUP($A95,'Data shares'!$C:$FB,7)</f>
        <v>1809.9</v>
      </c>
      <c r="C95" s="50">
        <f>VLOOKUP($A95,'Data shares'!$C:$FB,10)*100</f>
        <v>-1.04</v>
      </c>
      <c r="D95" s="49">
        <f>VLOOKUP($A95,'Data shares'!$C:$FB,66)</f>
        <v>5012150</v>
      </c>
      <c r="E95" s="49">
        <f>VLOOKUP($A95,'Data shares'!$C:$FB,67)</f>
        <v>3105700</v>
      </c>
      <c r="F95" s="50">
        <f>VLOOKUP($A95,'Data shares'!$C:$FB,69)*100</f>
        <v>61.39</v>
      </c>
      <c r="G95" s="49">
        <f>VLOOKUP($A95,'Data shares'!$C:$FB,42)</f>
        <v>2688725</v>
      </c>
      <c r="H95" s="49">
        <f>VLOOKUP($A95,'Data shares'!$C:$FB,43)</f>
        <v>958750</v>
      </c>
      <c r="I95" s="50">
        <f>VLOOKUP($A95,'Data shares'!$C:$FB,45)*100</f>
        <v>180.44</v>
      </c>
      <c r="J95" s="49">
        <f>VLOOKUP($A95,'Data shares'!$C:$FB,58)</f>
        <v>1512875</v>
      </c>
      <c r="K95" s="49">
        <f>VLOOKUP($A95,'Data shares'!$C:$FB,59)</f>
        <v>1319500</v>
      </c>
      <c r="L95" s="50">
        <f>VLOOKUP($A95,'Data shares'!$C:$FB,61)*100</f>
        <v>14.66</v>
      </c>
      <c r="M95" s="49">
        <f>VLOOKUP($A95,'Data shares'!$C:$FB,62)</f>
        <v>810550</v>
      </c>
      <c r="N95" s="49">
        <f>VLOOKUP($A95,'Data shares'!$C:$FB,63)</f>
        <v>827450</v>
      </c>
      <c r="O95" s="140">
        <f>VLOOKUP($A95,'Data shares'!$C:$FB,65)*100</f>
        <v>-2.04</v>
      </c>
    </row>
    <row r="96" spans="1:15" x14ac:dyDescent="0.25">
      <c r="A96" s="101" t="str">
        <f>'Data Vlaue (Cr)'!C91</f>
        <v>ICICIPRULI</v>
      </c>
      <c r="B96" s="50">
        <f>VLOOKUP($A96,'Data shares'!$C:$FB,7)</f>
        <v>535.29999999999995</v>
      </c>
      <c r="C96" s="50">
        <f>VLOOKUP($A96,'Data shares'!$C:$FB,10)*100</f>
        <v>-0.88</v>
      </c>
      <c r="D96" s="49">
        <f>VLOOKUP($A96,'Data shares'!$C:$FB,66)</f>
        <v>25433800</v>
      </c>
      <c r="E96" s="49">
        <f>VLOOKUP($A96,'Data shares'!$C:$FB,67)</f>
        <v>17302125</v>
      </c>
      <c r="F96" s="50">
        <f>VLOOKUP($A96,'Data shares'!$C:$FB,69)*100</f>
        <v>47</v>
      </c>
      <c r="G96" s="49">
        <f>VLOOKUP($A96,'Data shares'!$C:$FB,42)</f>
        <v>12756675</v>
      </c>
      <c r="H96" s="49">
        <f>VLOOKUP($A96,'Data shares'!$C:$FB,43)</f>
        <v>3221775</v>
      </c>
      <c r="I96" s="50">
        <f>VLOOKUP($A96,'Data shares'!$C:$FB,45)*100</f>
        <v>295.95</v>
      </c>
      <c r="J96" s="49">
        <f>VLOOKUP($A96,'Data shares'!$C:$FB,58)</f>
        <v>8400850</v>
      </c>
      <c r="K96" s="49">
        <f>VLOOKUP($A96,'Data shares'!$C:$FB,59)</f>
        <v>8781950</v>
      </c>
      <c r="L96" s="50">
        <f>VLOOKUP($A96,'Data shares'!$C:$FB,61)*100</f>
        <v>-4.34</v>
      </c>
      <c r="M96" s="49">
        <f>VLOOKUP($A96,'Data shares'!$C:$FB,62)</f>
        <v>4276275</v>
      </c>
      <c r="N96" s="49">
        <f>VLOOKUP($A96,'Data shares'!$C:$FB,63)</f>
        <v>5298400</v>
      </c>
      <c r="O96" s="140">
        <f>VLOOKUP($A96,'Data shares'!$C:$FB,65)*100</f>
        <v>-19.29</v>
      </c>
    </row>
    <row r="97" spans="1:15" x14ac:dyDescent="0.25">
      <c r="A97" s="101" t="str">
        <f>'Data Vlaue (Cr)'!C92</f>
        <v>IDEA</v>
      </c>
      <c r="B97" s="50">
        <f>VLOOKUP($A97,'Data shares'!$C:$FB,7)</f>
        <v>9.58</v>
      </c>
      <c r="C97" s="50">
        <f>VLOOKUP($A97,'Data shares'!$C:$FB,10)*100</f>
        <v>0.42</v>
      </c>
      <c r="D97" s="49">
        <f>VLOOKUP($A97,'Data shares'!$C:$FB,66)</f>
        <v>3001092300</v>
      </c>
      <c r="E97" s="49">
        <f>VLOOKUP($A97,'Data shares'!$C:$FB,67)</f>
        <v>2860072125</v>
      </c>
      <c r="F97" s="50">
        <f>VLOOKUP($A97,'Data shares'!$C:$FB,69)*100</f>
        <v>4.93</v>
      </c>
      <c r="G97" s="49">
        <f>VLOOKUP($A97,'Data shares'!$C:$FB,42)</f>
        <v>2115517050</v>
      </c>
      <c r="H97" s="49">
        <f>VLOOKUP($A97,'Data shares'!$C:$FB,43)</f>
        <v>1876290225</v>
      </c>
      <c r="I97" s="50">
        <f>VLOOKUP($A97,'Data shares'!$C:$FB,45)*100</f>
        <v>12.75</v>
      </c>
      <c r="J97" s="49">
        <f>VLOOKUP($A97,'Data shares'!$C:$FB,58)</f>
        <v>651994950</v>
      </c>
      <c r="K97" s="49">
        <f>VLOOKUP($A97,'Data shares'!$C:$FB,59)</f>
        <v>756062550</v>
      </c>
      <c r="L97" s="50">
        <f>VLOOKUP($A97,'Data shares'!$C:$FB,61)*100</f>
        <v>-13.76</v>
      </c>
      <c r="M97" s="49">
        <f>VLOOKUP($A97,'Data shares'!$C:$FB,62)</f>
        <v>233580300</v>
      </c>
      <c r="N97" s="49">
        <f>VLOOKUP($A97,'Data shares'!$C:$FB,63)</f>
        <v>227719350</v>
      </c>
      <c r="O97" s="140">
        <f>VLOOKUP($A97,'Data shares'!$C:$FB,65)*100</f>
        <v>2.5700000000000003</v>
      </c>
    </row>
    <row r="98" spans="1:15" x14ac:dyDescent="0.25">
      <c r="A98" s="101" t="str">
        <f>'Data Vlaue (Cr)'!C93</f>
        <v>IDFCFIRSTB</v>
      </c>
      <c r="B98" s="50">
        <f>VLOOKUP($A98,'Data shares'!$C:$FB,7)</f>
        <v>67.83</v>
      </c>
      <c r="C98" s="50">
        <f>VLOOKUP($A98,'Data shares'!$C:$FB,10)*100</f>
        <v>-0.8</v>
      </c>
      <c r="D98" s="49">
        <f>VLOOKUP($A98,'Data shares'!$C:$FB,66)</f>
        <v>333324950</v>
      </c>
      <c r="E98" s="49">
        <f>VLOOKUP($A98,'Data shares'!$C:$FB,67)</f>
        <v>191510200</v>
      </c>
      <c r="F98" s="50">
        <f>VLOOKUP($A98,'Data shares'!$C:$FB,69)*100</f>
        <v>74.050000000000011</v>
      </c>
      <c r="G98" s="49">
        <f>VLOOKUP($A98,'Data shares'!$C:$FB,42)</f>
        <v>213158050</v>
      </c>
      <c r="H98" s="49">
        <f>VLOOKUP($A98,'Data shares'!$C:$FB,43)</f>
        <v>70508550</v>
      </c>
      <c r="I98" s="50">
        <f>VLOOKUP($A98,'Data shares'!$C:$FB,45)*100</f>
        <v>202.32000000000002</v>
      </c>
      <c r="J98" s="49">
        <f>VLOOKUP($A98,'Data shares'!$C:$FB,58)</f>
        <v>63524475</v>
      </c>
      <c r="K98" s="49">
        <f>VLOOKUP($A98,'Data shares'!$C:$FB,59)</f>
        <v>57505000</v>
      </c>
      <c r="L98" s="50">
        <f>VLOOKUP($A98,'Data shares'!$C:$FB,61)*100</f>
        <v>10.47</v>
      </c>
      <c r="M98" s="49">
        <f>VLOOKUP($A98,'Data shares'!$C:$FB,62)</f>
        <v>56642425</v>
      </c>
      <c r="N98" s="49">
        <f>VLOOKUP($A98,'Data shares'!$C:$FB,63)</f>
        <v>63496650</v>
      </c>
      <c r="O98" s="140">
        <f>VLOOKUP($A98,'Data shares'!$C:$FB,65)*100</f>
        <v>-10.79</v>
      </c>
    </row>
    <row r="99" spans="1:15" x14ac:dyDescent="0.25">
      <c r="A99" s="101" t="str">
        <f>'Data Vlaue (Cr)'!C94</f>
        <v>IEX</v>
      </c>
      <c r="B99" s="50">
        <f>VLOOKUP($A99,'Data shares'!$C:$FB,7)</f>
        <v>126.92</v>
      </c>
      <c r="C99" s="50">
        <f>VLOOKUP($A99,'Data shares'!$C:$FB,10)*100</f>
        <v>0.91</v>
      </c>
      <c r="D99" s="49">
        <f>VLOOKUP($A99,'Data shares'!$C:$FB,66)</f>
        <v>224602500</v>
      </c>
      <c r="E99" s="49">
        <f>VLOOKUP($A99,'Data shares'!$C:$FB,67)</f>
        <v>73661250</v>
      </c>
      <c r="F99" s="50">
        <f>VLOOKUP($A99,'Data shares'!$C:$FB,69)*100</f>
        <v>204.91000000000003</v>
      </c>
      <c r="G99" s="49">
        <f>VLOOKUP($A99,'Data shares'!$C:$FB,42)</f>
        <v>42858750</v>
      </c>
      <c r="H99" s="49">
        <f>VLOOKUP($A99,'Data shares'!$C:$FB,43)</f>
        <v>11906250</v>
      </c>
      <c r="I99" s="50">
        <f>VLOOKUP($A99,'Data shares'!$C:$FB,45)*100</f>
        <v>259.96999999999997</v>
      </c>
      <c r="J99" s="49">
        <f>VLOOKUP($A99,'Data shares'!$C:$FB,58)</f>
        <v>124080000</v>
      </c>
      <c r="K99" s="49">
        <f>VLOOKUP($A99,'Data shares'!$C:$FB,59)</f>
        <v>37368750</v>
      </c>
      <c r="L99" s="50">
        <f>VLOOKUP($A99,'Data shares'!$C:$FB,61)*100</f>
        <v>232.04</v>
      </c>
      <c r="M99" s="49">
        <f>VLOOKUP($A99,'Data shares'!$C:$FB,62)</f>
        <v>57663750</v>
      </c>
      <c r="N99" s="49">
        <f>VLOOKUP($A99,'Data shares'!$C:$FB,63)</f>
        <v>24386250</v>
      </c>
      <c r="O99" s="140">
        <f>VLOOKUP($A99,'Data shares'!$C:$FB,65)*100</f>
        <v>136.46</v>
      </c>
    </row>
    <row r="100" spans="1:15" x14ac:dyDescent="0.25">
      <c r="A100" s="101" t="str">
        <f>'Data Vlaue (Cr)'!C95</f>
        <v>INDHOTEL</v>
      </c>
      <c r="B100" s="50">
        <f>VLOOKUP($A100,'Data shares'!$C:$FB,7)</f>
        <v>639.45000000000005</v>
      </c>
      <c r="C100" s="50">
        <f>VLOOKUP($A100,'Data shares'!$C:$FB,10)*100</f>
        <v>-3.0700000000000003</v>
      </c>
      <c r="D100" s="49">
        <f>VLOOKUP($A100,'Data shares'!$C:$FB,66)</f>
        <v>27119000</v>
      </c>
      <c r="E100" s="49">
        <f>VLOOKUP($A100,'Data shares'!$C:$FB,67)</f>
        <v>8694000</v>
      </c>
      <c r="F100" s="50">
        <f>VLOOKUP($A100,'Data shares'!$C:$FB,69)*100</f>
        <v>211.93</v>
      </c>
      <c r="G100" s="49">
        <f>VLOOKUP($A100,'Data shares'!$C:$FB,42)</f>
        <v>11879000</v>
      </c>
      <c r="H100" s="49">
        <f>VLOOKUP($A100,'Data shares'!$C:$FB,43)</f>
        <v>2753000</v>
      </c>
      <c r="I100" s="50">
        <f>VLOOKUP($A100,'Data shares'!$C:$FB,45)*100</f>
        <v>331.49</v>
      </c>
      <c r="J100" s="49">
        <f>VLOOKUP($A100,'Data shares'!$C:$FB,58)</f>
        <v>8667000</v>
      </c>
      <c r="K100" s="49">
        <f>VLOOKUP($A100,'Data shares'!$C:$FB,59)</f>
        <v>3051000</v>
      </c>
      <c r="L100" s="50">
        <f>VLOOKUP($A100,'Data shares'!$C:$FB,61)*100</f>
        <v>184.07</v>
      </c>
      <c r="M100" s="49">
        <f>VLOOKUP($A100,'Data shares'!$C:$FB,62)</f>
        <v>6573000</v>
      </c>
      <c r="N100" s="49">
        <f>VLOOKUP($A100,'Data shares'!$C:$FB,63)</f>
        <v>2890000</v>
      </c>
      <c r="O100" s="140">
        <f>VLOOKUP($A100,'Data shares'!$C:$FB,65)*100</f>
        <v>127.44</v>
      </c>
    </row>
    <row r="101" spans="1:15" x14ac:dyDescent="0.25">
      <c r="A101" s="101" t="str">
        <f>'Data Vlaue (Cr)'!C96</f>
        <v>INDIANB</v>
      </c>
      <c r="B101" s="50">
        <f>VLOOKUP($A101,'Data shares'!$C:$FB,7)</f>
        <v>914.95</v>
      </c>
      <c r="C101" s="50">
        <f>VLOOKUP($A101,'Data shares'!$C:$FB,10)*100</f>
        <v>-1.1199999999999999</v>
      </c>
      <c r="D101" s="49">
        <f>VLOOKUP($A101,'Data shares'!$C:$FB,66)</f>
        <v>18189000</v>
      </c>
      <c r="E101" s="49">
        <f>VLOOKUP($A101,'Data shares'!$C:$FB,67)</f>
        <v>11040000</v>
      </c>
      <c r="F101" s="50">
        <f>VLOOKUP($A101,'Data shares'!$C:$FB,69)*100</f>
        <v>64.759999999999991</v>
      </c>
      <c r="G101" s="49">
        <f>VLOOKUP($A101,'Data shares'!$C:$FB,42)</f>
        <v>7251000</v>
      </c>
      <c r="H101" s="49">
        <f>VLOOKUP($A101,'Data shares'!$C:$FB,43)</f>
        <v>2731000</v>
      </c>
      <c r="I101" s="50">
        <f>VLOOKUP($A101,'Data shares'!$C:$FB,45)*100</f>
        <v>165.51</v>
      </c>
      <c r="J101" s="49">
        <f>VLOOKUP($A101,'Data shares'!$C:$FB,58)</f>
        <v>7514000</v>
      </c>
      <c r="K101" s="49">
        <f>VLOOKUP($A101,'Data shares'!$C:$FB,59)</f>
        <v>6374000</v>
      </c>
      <c r="L101" s="50">
        <f>VLOOKUP($A101,'Data shares'!$C:$FB,61)*100</f>
        <v>17.89</v>
      </c>
      <c r="M101" s="49">
        <f>VLOOKUP($A101,'Data shares'!$C:$FB,62)</f>
        <v>3424000</v>
      </c>
      <c r="N101" s="49">
        <f>VLOOKUP($A101,'Data shares'!$C:$FB,63)</f>
        <v>1935000</v>
      </c>
      <c r="O101" s="140">
        <f>VLOOKUP($A101,'Data shares'!$C:$FB,65)*100</f>
        <v>76.95</v>
      </c>
    </row>
    <row r="102" spans="1:15" x14ac:dyDescent="0.25">
      <c r="A102" s="101" t="str">
        <f>'Data Vlaue (Cr)'!C97</f>
        <v>INDIAVIX</v>
      </c>
      <c r="B102" s="50">
        <f>VLOOKUP($A102,'Data shares'!$C:$FB,7)</f>
        <v>18.59</v>
      </c>
      <c r="C102" s="50">
        <f>VLOOKUP($A102,'Data shares'!$C:$FB,10)*100</f>
        <v>1.58</v>
      </c>
      <c r="D102" s="49">
        <f>VLOOKUP($A102,'Data shares'!$C:$FB,66)</f>
        <v>0</v>
      </c>
      <c r="E102" s="49">
        <f>VLOOKUP($A102,'Data shares'!$C:$FB,67)</f>
        <v>0</v>
      </c>
      <c r="F102" s="50">
        <f>VLOOKUP($A102,'Data shares'!$C:$FB,69)*100</f>
        <v>0</v>
      </c>
      <c r="G102" s="49">
        <f>VLOOKUP($A102,'Data shares'!$C:$FB,42)</f>
        <v>0</v>
      </c>
      <c r="H102" s="49">
        <f>VLOOKUP($A102,'Data shares'!$C:$FB,43)</f>
        <v>0</v>
      </c>
      <c r="I102" s="50">
        <f>VLOOKUP($A102,'Data shares'!$C:$FB,45)*100</f>
        <v>0</v>
      </c>
      <c r="J102" s="49">
        <f>VLOOKUP($A102,'Data shares'!$C:$FB,58)</f>
        <v>0</v>
      </c>
      <c r="K102" s="49">
        <f>VLOOKUP($A102,'Data shares'!$C:$FB,59)</f>
        <v>0</v>
      </c>
      <c r="L102" s="50">
        <f>VLOOKUP($A102,'Data shares'!$C:$FB,61)*100</f>
        <v>0</v>
      </c>
      <c r="M102" s="49">
        <f>VLOOKUP($A102,'Data shares'!$C:$FB,62)</f>
        <v>0</v>
      </c>
      <c r="N102" s="49">
        <f>VLOOKUP($A102,'Data shares'!$C:$FB,63)</f>
        <v>0</v>
      </c>
      <c r="O102" s="140">
        <f>VLOOKUP($A102,'Data shares'!$C:$FB,65)*100</f>
        <v>0</v>
      </c>
    </row>
    <row r="103" spans="1:15" x14ac:dyDescent="0.25">
      <c r="A103" s="101" t="str">
        <f>'Data Vlaue (Cr)'!C98</f>
        <v>INDIGO</v>
      </c>
      <c r="B103" s="50">
        <f>VLOOKUP($A103,'Data shares'!$C:$FB,7)</f>
        <v>4556</v>
      </c>
      <c r="C103" s="50">
        <f>VLOOKUP($A103,'Data shares'!$C:$FB,10)*100</f>
        <v>-1.83</v>
      </c>
      <c r="D103" s="49">
        <f>VLOOKUP($A103,'Data shares'!$C:$FB,66)</f>
        <v>16257450</v>
      </c>
      <c r="E103" s="49">
        <f>VLOOKUP($A103,'Data shares'!$C:$FB,67)</f>
        <v>14828700</v>
      </c>
      <c r="F103" s="50">
        <f>VLOOKUP($A103,'Data shares'!$C:$FB,69)*100</f>
        <v>9.64</v>
      </c>
      <c r="G103" s="49">
        <f>VLOOKUP($A103,'Data shares'!$C:$FB,42)</f>
        <v>4754550</v>
      </c>
      <c r="H103" s="49">
        <f>VLOOKUP($A103,'Data shares'!$C:$FB,43)</f>
        <v>1552350</v>
      </c>
      <c r="I103" s="50">
        <f>VLOOKUP($A103,'Data shares'!$C:$FB,45)*100</f>
        <v>206.28000000000003</v>
      </c>
      <c r="J103" s="49">
        <f>VLOOKUP($A103,'Data shares'!$C:$FB,58)</f>
        <v>5853450</v>
      </c>
      <c r="K103" s="49">
        <f>VLOOKUP($A103,'Data shares'!$C:$FB,59)</f>
        <v>7554450</v>
      </c>
      <c r="L103" s="50">
        <f>VLOOKUP($A103,'Data shares'!$C:$FB,61)*100</f>
        <v>-22.52</v>
      </c>
      <c r="M103" s="49">
        <f>VLOOKUP($A103,'Data shares'!$C:$FB,62)</f>
        <v>5649450</v>
      </c>
      <c r="N103" s="49">
        <f>VLOOKUP($A103,'Data shares'!$C:$FB,63)</f>
        <v>5721900</v>
      </c>
      <c r="O103" s="140">
        <f>VLOOKUP($A103,'Data shares'!$C:$FB,65)*100</f>
        <v>-1.27</v>
      </c>
    </row>
    <row r="104" spans="1:15" x14ac:dyDescent="0.25">
      <c r="A104" s="101" t="str">
        <f>'Data Vlaue (Cr)'!C99</f>
        <v>INDUSINDBK</v>
      </c>
      <c r="B104" s="50">
        <f>VLOOKUP($A104,'Data shares'!$C:$FB,7)</f>
        <v>860.35</v>
      </c>
      <c r="C104" s="50">
        <f>VLOOKUP($A104,'Data shares'!$C:$FB,10)*100</f>
        <v>-1.1199999999999999</v>
      </c>
      <c r="D104" s="49">
        <f>VLOOKUP($A104,'Data shares'!$C:$FB,66)</f>
        <v>38558100</v>
      </c>
      <c r="E104" s="49">
        <f>VLOOKUP($A104,'Data shares'!$C:$FB,67)</f>
        <v>23840600</v>
      </c>
      <c r="F104" s="50">
        <f>VLOOKUP($A104,'Data shares'!$C:$FB,69)*100</f>
        <v>61.73</v>
      </c>
      <c r="G104" s="49">
        <f>VLOOKUP($A104,'Data shares'!$C:$FB,42)</f>
        <v>22253000</v>
      </c>
      <c r="H104" s="49">
        <f>VLOOKUP($A104,'Data shares'!$C:$FB,43)</f>
        <v>5681900</v>
      </c>
      <c r="I104" s="50">
        <f>VLOOKUP($A104,'Data shares'!$C:$FB,45)*100</f>
        <v>291.65000000000003</v>
      </c>
      <c r="J104" s="49">
        <f>VLOOKUP($A104,'Data shares'!$C:$FB,58)</f>
        <v>9790900</v>
      </c>
      <c r="K104" s="49">
        <f>VLOOKUP($A104,'Data shares'!$C:$FB,59)</f>
        <v>10952200</v>
      </c>
      <c r="L104" s="50">
        <f>VLOOKUP($A104,'Data shares'!$C:$FB,61)*100</f>
        <v>-10.6</v>
      </c>
      <c r="M104" s="49">
        <f>VLOOKUP($A104,'Data shares'!$C:$FB,62)</f>
        <v>6514200</v>
      </c>
      <c r="N104" s="49">
        <f>VLOOKUP($A104,'Data shares'!$C:$FB,63)</f>
        <v>7206500</v>
      </c>
      <c r="O104" s="140">
        <f>VLOOKUP($A104,'Data shares'!$C:$FB,65)*100</f>
        <v>-9.6100000000000012</v>
      </c>
    </row>
    <row r="105" spans="1:15" x14ac:dyDescent="0.25">
      <c r="A105" s="101" t="str">
        <f>'Data Vlaue (Cr)'!C100</f>
        <v>INDUSTOWER</v>
      </c>
      <c r="B105" s="50">
        <f>VLOOKUP($A105,'Data shares'!$C:$FB,7)</f>
        <v>404.7</v>
      </c>
      <c r="C105" s="50">
        <f>VLOOKUP($A105,'Data shares'!$C:$FB,10)*100</f>
        <v>-0.85000000000000009</v>
      </c>
      <c r="D105" s="49">
        <f>VLOOKUP($A105,'Data shares'!$C:$FB,66)</f>
        <v>80416800</v>
      </c>
      <c r="E105" s="49">
        <f>VLOOKUP($A105,'Data shares'!$C:$FB,67)</f>
        <v>61842600</v>
      </c>
      <c r="F105" s="50">
        <f>VLOOKUP($A105,'Data shares'!$C:$FB,69)*100</f>
        <v>30.03</v>
      </c>
      <c r="G105" s="49">
        <f>VLOOKUP($A105,'Data shares'!$C:$FB,42)</f>
        <v>32490400</v>
      </c>
      <c r="H105" s="49">
        <f>VLOOKUP($A105,'Data shares'!$C:$FB,43)</f>
        <v>19118200</v>
      </c>
      <c r="I105" s="50">
        <f>VLOOKUP($A105,'Data shares'!$C:$FB,45)*100</f>
        <v>69.94</v>
      </c>
      <c r="J105" s="49">
        <f>VLOOKUP($A105,'Data shares'!$C:$FB,58)</f>
        <v>30035600</v>
      </c>
      <c r="K105" s="49">
        <f>VLOOKUP($A105,'Data shares'!$C:$FB,59)</f>
        <v>32973200</v>
      </c>
      <c r="L105" s="50">
        <f>VLOOKUP($A105,'Data shares'!$C:$FB,61)*100</f>
        <v>-8.91</v>
      </c>
      <c r="M105" s="49">
        <f>VLOOKUP($A105,'Data shares'!$C:$FB,62)</f>
        <v>17890800</v>
      </c>
      <c r="N105" s="49">
        <f>VLOOKUP($A105,'Data shares'!$C:$FB,63)</f>
        <v>9751200</v>
      </c>
      <c r="O105" s="140">
        <f>VLOOKUP($A105,'Data shares'!$C:$FB,65)*100</f>
        <v>83.47</v>
      </c>
    </row>
    <row r="106" spans="1:15" x14ac:dyDescent="0.25">
      <c r="A106" s="101" t="str">
        <f>'Data Vlaue (Cr)'!C101</f>
        <v>INFY</v>
      </c>
      <c r="B106" s="50">
        <f>VLOOKUP($A106,'Data shares'!$C:$FB,7)</f>
        <v>1240.5999999999999</v>
      </c>
      <c r="C106" s="50">
        <f>VLOOKUP($A106,'Data shares'!$C:$FB,10)*100</f>
        <v>-2.21</v>
      </c>
      <c r="D106" s="49">
        <f>VLOOKUP($A106,'Data shares'!$C:$FB,66)</f>
        <v>187849200</v>
      </c>
      <c r="E106" s="49">
        <f>VLOOKUP($A106,'Data shares'!$C:$FB,67)</f>
        <v>150463200</v>
      </c>
      <c r="F106" s="50">
        <f>VLOOKUP($A106,'Data shares'!$C:$FB,69)*100</f>
        <v>24.85</v>
      </c>
      <c r="G106" s="49">
        <f>VLOOKUP($A106,'Data shares'!$C:$FB,42)</f>
        <v>59303600</v>
      </c>
      <c r="H106" s="49">
        <f>VLOOKUP($A106,'Data shares'!$C:$FB,43)</f>
        <v>29815200</v>
      </c>
      <c r="I106" s="50">
        <f>VLOOKUP($A106,'Data shares'!$C:$FB,45)*100</f>
        <v>98.9</v>
      </c>
      <c r="J106" s="49">
        <f>VLOOKUP($A106,'Data shares'!$C:$FB,58)</f>
        <v>65185200</v>
      </c>
      <c r="K106" s="49">
        <f>VLOOKUP($A106,'Data shares'!$C:$FB,59)</f>
        <v>72282000</v>
      </c>
      <c r="L106" s="50">
        <f>VLOOKUP($A106,'Data shares'!$C:$FB,61)*100</f>
        <v>-9.82</v>
      </c>
      <c r="M106" s="49">
        <f>VLOOKUP($A106,'Data shares'!$C:$FB,62)</f>
        <v>63360400</v>
      </c>
      <c r="N106" s="49">
        <f>VLOOKUP($A106,'Data shares'!$C:$FB,63)</f>
        <v>48366000</v>
      </c>
      <c r="O106" s="140">
        <f>VLOOKUP($A106,'Data shares'!$C:$FB,65)*100</f>
        <v>31</v>
      </c>
    </row>
    <row r="107" spans="1:15" x14ac:dyDescent="0.25">
      <c r="A107" s="101" t="str">
        <f>'Data Vlaue (Cr)'!C102</f>
        <v>INOXWIND</v>
      </c>
      <c r="B107" s="50">
        <f>VLOOKUP($A107,'Data shares'!$C:$FB,7)</f>
        <v>101.79</v>
      </c>
      <c r="C107" s="50">
        <f>VLOOKUP($A107,'Data shares'!$C:$FB,10)*100</f>
        <v>-2.65</v>
      </c>
      <c r="D107" s="49">
        <f>VLOOKUP($A107,'Data shares'!$C:$FB,66)</f>
        <v>70738525</v>
      </c>
      <c r="E107" s="49">
        <f>VLOOKUP($A107,'Data shares'!$C:$FB,67)</f>
        <v>95620525</v>
      </c>
      <c r="F107" s="50">
        <f>VLOOKUP($A107,'Data shares'!$C:$FB,69)*100</f>
        <v>-26.02</v>
      </c>
      <c r="G107" s="49">
        <f>VLOOKUP($A107,'Data shares'!$C:$FB,42)</f>
        <v>44433675</v>
      </c>
      <c r="H107" s="49">
        <f>VLOOKUP($A107,'Data shares'!$C:$FB,43)</f>
        <v>35138675</v>
      </c>
      <c r="I107" s="50">
        <f>VLOOKUP($A107,'Data shares'!$C:$FB,45)*100</f>
        <v>26.450000000000003</v>
      </c>
      <c r="J107" s="49">
        <f>VLOOKUP($A107,'Data shares'!$C:$FB,58)</f>
        <v>15948075</v>
      </c>
      <c r="K107" s="49">
        <f>VLOOKUP($A107,'Data shares'!$C:$FB,59)</f>
        <v>44784025</v>
      </c>
      <c r="L107" s="50">
        <f>VLOOKUP($A107,'Data shares'!$C:$FB,61)*100</f>
        <v>-64.39</v>
      </c>
      <c r="M107" s="49">
        <f>VLOOKUP($A107,'Data shares'!$C:$FB,62)</f>
        <v>10356775</v>
      </c>
      <c r="N107" s="49">
        <f>VLOOKUP($A107,'Data shares'!$C:$FB,63)</f>
        <v>15697825</v>
      </c>
      <c r="O107" s="140">
        <f>VLOOKUP($A107,'Data shares'!$C:$FB,65)*100</f>
        <v>-34.020000000000003</v>
      </c>
    </row>
    <row r="108" spans="1:15" x14ac:dyDescent="0.25">
      <c r="A108" s="101" t="str">
        <f>'Data Vlaue (Cr)'!C103</f>
        <v>IOC</v>
      </c>
      <c r="B108" s="50">
        <f>VLOOKUP($A108,'Data shares'!$C:$FB,7)</f>
        <v>145.47999999999999</v>
      </c>
      <c r="C108" s="50">
        <f>VLOOKUP($A108,'Data shares'!$C:$FB,10)*100</f>
        <v>-1.28</v>
      </c>
      <c r="D108" s="49">
        <f>VLOOKUP($A108,'Data shares'!$C:$FB,66)</f>
        <v>150028125</v>
      </c>
      <c r="E108" s="49">
        <f>VLOOKUP($A108,'Data shares'!$C:$FB,67)</f>
        <v>71974500</v>
      </c>
      <c r="F108" s="50">
        <f>VLOOKUP($A108,'Data shares'!$C:$FB,69)*100</f>
        <v>108.45</v>
      </c>
      <c r="G108" s="49">
        <f>VLOOKUP($A108,'Data shares'!$C:$FB,42)</f>
        <v>63584625</v>
      </c>
      <c r="H108" s="49">
        <f>VLOOKUP($A108,'Data shares'!$C:$FB,43)</f>
        <v>12153375</v>
      </c>
      <c r="I108" s="50">
        <f>VLOOKUP($A108,'Data shares'!$C:$FB,45)*100</f>
        <v>423.17999999999995</v>
      </c>
      <c r="J108" s="49">
        <f>VLOOKUP($A108,'Data shares'!$C:$FB,58)</f>
        <v>49300875</v>
      </c>
      <c r="K108" s="49">
        <f>VLOOKUP($A108,'Data shares'!$C:$FB,59)</f>
        <v>36840375</v>
      </c>
      <c r="L108" s="50">
        <f>VLOOKUP($A108,'Data shares'!$C:$FB,61)*100</f>
        <v>33.82</v>
      </c>
      <c r="M108" s="49">
        <f>VLOOKUP($A108,'Data shares'!$C:$FB,62)</f>
        <v>37142625</v>
      </c>
      <c r="N108" s="49">
        <f>VLOOKUP($A108,'Data shares'!$C:$FB,63)</f>
        <v>22980750</v>
      </c>
      <c r="O108" s="140">
        <f>VLOOKUP($A108,'Data shares'!$C:$FB,65)*100</f>
        <v>61.62</v>
      </c>
    </row>
    <row r="109" spans="1:15" x14ac:dyDescent="0.25">
      <c r="A109" s="101" t="str">
        <f>'Data Vlaue (Cr)'!C104</f>
        <v>IREDA</v>
      </c>
      <c r="B109" s="50">
        <f>VLOOKUP($A109,'Data shares'!$C:$FB,7)</f>
        <v>137.52000000000001</v>
      </c>
      <c r="C109" s="50">
        <f>VLOOKUP($A109,'Data shares'!$C:$FB,10)*100</f>
        <v>-2.09</v>
      </c>
      <c r="D109" s="49">
        <f>VLOOKUP($A109,'Data shares'!$C:$FB,66)</f>
        <v>129399150</v>
      </c>
      <c r="E109" s="49">
        <f>VLOOKUP($A109,'Data shares'!$C:$FB,67)</f>
        <v>373524600</v>
      </c>
      <c r="F109" s="50">
        <f>VLOOKUP($A109,'Data shares'!$C:$FB,69)*100</f>
        <v>-65.36</v>
      </c>
      <c r="G109" s="49">
        <f>VLOOKUP($A109,'Data shares'!$C:$FB,42)</f>
        <v>44349750</v>
      </c>
      <c r="H109" s="49">
        <f>VLOOKUP($A109,'Data shares'!$C:$FB,43)</f>
        <v>46754400</v>
      </c>
      <c r="I109" s="50">
        <f>VLOOKUP($A109,'Data shares'!$C:$FB,45)*100</f>
        <v>-5.1400000000000006</v>
      </c>
      <c r="J109" s="49">
        <f>VLOOKUP($A109,'Data shares'!$C:$FB,58)</f>
        <v>51353250</v>
      </c>
      <c r="K109" s="49">
        <f>VLOOKUP($A109,'Data shares'!$C:$FB,59)</f>
        <v>239609400</v>
      </c>
      <c r="L109" s="50">
        <f>VLOOKUP($A109,'Data shares'!$C:$FB,61)*100</f>
        <v>-78.569999999999993</v>
      </c>
      <c r="M109" s="49">
        <f>VLOOKUP($A109,'Data shares'!$C:$FB,62)</f>
        <v>33696150</v>
      </c>
      <c r="N109" s="49">
        <f>VLOOKUP($A109,'Data shares'!$C:$FB,63)</f>
        <v>87160800</v>
      </c>
      <c r="O109" s="140">
        <f>VLOOKUP($A109,'Data shares'!$C:$FB,65)*100</f>
        <v>-61.339999999999996</v>
      </c>
    </row>
    <row r="110" spans="1:15" x14ac:dyDescent="0.25">
      <c r="A110" s="101" t="str">
        <f>'Data Vlaue (Cr)'!C105</f>
        <v>IRFC</v>
      </c>
      <c r="B110" s="50">
        <f>VLOOKUP($A110,'Data shares'!$C:$FB,7)</f>
        <v>105.06</v>
      </c>
      <c r="C110" s="50">
        <f>VLOOKUP($A110,'Data shares'!$C:$FB,10)*100</f>
        <v>-0.72</v>
      </c>
      <c r="D110" s="49">
        <f>VLOOKUP($A110,'Data shares'!$C:$FB,66)</f>
        <v>231340250</v>
      </c>
      <c r="E110" s="49">
        <f>VLOOKUP($A110,'Data shares'!$C:$FB,67)</f>
        <v>141491000</v>
      </c>
      <c r="F110" s="50">
        <f>VLOOKUP($A110,'Data shares'!$C:$FB,69)*100</f>
        <v>63.5</v>
      </c>
      <c r="G110" s="49">
        <f>VLOOKUP($A110,'Data shares'!$C:$FB,42)</f>
        <v>54570000</v>
      </c>
      <c r="H110" s="49">
        <f>VLOOKUP($A110,'Data shares'!$C:$FB,43)</f>
        <v>19095250</v>
      </c>
      <c r="I110" s="50">
        <f>VLOOKUP($A110,'Data shares'!$C:$FB,45)*100</f>
        <v>185.78</v>
      </c>
      <c r="J110" s="49">
        <f>VLOOKUP($A110,'Data shares'!$C:$FB,58)</f>
        <v>140058750</v>
      </c>
      <c r="K110" s="49">
        <f>VLOOKUP($A110,'Data shares'!$C:$FB,59)</f>
        <v>97193250</v>
      </c>
      <c r="L110" s="50">
        <f>VLOOKUP($A110,'Data shares'!$C:$FB,61)*100</f>
        <v>44.1</v>
      </c>
      <c r="M110" s="49">
        <f>VLOOKUP($A110,'Data shares'!$C:$FB,62)</f>
        <v>36711500</v>
      </c>
      <c r="N110" s="49">
        <f>VLOOKUP($A110,'Data shares'!$C:$FB,63)</f>
        <v>25202500</v>
      </c>
      <c r="O110" s="140">
        <f>VLOOKUP($A110,'Data shares'!$C:$FB,65)*100</f>
        <v>45.67</v>
      </c>
    </row>
    <row r="111" spans="1:15" x14ac:dyDescent="0.25">
      <c r="A111" s="101" t="str">
        <f>'Data Vlaue (Cr)'!C106</f>
        <v>ITC</v>
      </c>
      <c r="B111" s="50">
        <f>VLOOKUP($A111,'Data shares'!$C:$FB,7)</f>
        <v>305.3</v>
      </c>
      <c r="C111" s="50">
        <f>VLOOKUP($A111,'Data shares'!$C:$FB,10)*100</f>
        <v>-6.9999999999999993E-2</v>
      </c>
      <c r="D111" s="49">
        <f>VLOOKUP($A111,'Data shares'!$C:$FB,66)</f>
        <v>190270400</v>
      </c>
      <c r="E111" s="49">
        <f>VLOOKUP($A111,'Data shares'!$C:$FB,67)</f>
        <v>229926400</v>
      </c>
      <c r="F111" s="50">
        <f>VLOOKUP($A111,'Data shares'!$C:$FB,69)*100</f>
        <v>-17.25</v>
      </c>
      <c r="G111" s="49">
        <f>VLOOKUP($A111,'Data shares'!$C:$FB,42)</f>
        <v>61619200</v>
      </c>
      <c r="H111" s="49">
        <f>VLOOKUP($A111,'Data shares'!$C:$FB,43)</f>
        <v>32731200</v>
      </c>
      <c r="I111" s="50">
        <f>VLOOKUP($A111,'Data shares'!$C:$FB,45)*100</f>
        <v>88.26</v>
      </c>
      <c r="J111" s="49">
        <f>VLOOKUP($A111,'Data shares'!$C:$FB,58)</f>
        <v>92169600</v>
      </c>
      <c r="K111" s="49">
        <f>VLOOKUP($A111,'Data shares'!$C:$FB,59)</f>
        <v>145480000</v>
      </c>
      <c r="L111" s="50">
        <f>VLOOKUP($A111,'Data shares'!$C:$FB,61)*100</f>
        <v>-36.64</v>
      </c>
      <c r="M111" s="49">
        <f>VLOOKUP($A111,'Data shares'!$C:$FB,62)</f>
        <v>36481600</v>
      </c>
      <c r="N111" s="49">
        <f>VLOOKUP($A111,'Data shares'!$C:$FB,63)</f>
        <v>51715200</v>
      </c>
      <c r="O111" s="140">
        <f>VLOOKUP($A111,'Data shares'!$C:$FB,65)*100</f>
        <v>-29.459999999999997</v>
      </c>
    </row>
    <row r="112" spans="1:15" x14ac:dyDescent="0.25">
      <c r="A112" s="101" t="str">
        <f>'Data Vlaue (Cr)'!C107</f>
        <v>JINDALSTEL</v>
      </c>
      <c r="B112" s="50">
        <f>VLOOKUP($A112,'Data shares'!$C:$FB,7)</f>
        <v>1254.5</v>
      </c>
      <c r="C112" s="50">
        <f>VLOOKUP($A112,'Data shares'!$C:$FB,10)*100</f>
        <v>-1.8800000000000001</v>
      </c>
      <c r="D112" s="49">
        <f>VLOOKUP($A112,'Data shares'!$C:$FB,66)</f>
        <v>16430000</v>
      </c>
      <c r="E112" s="49">
        <f>VLOOKUP($A112,'Data shares'!$C:$FB,67)</f>
        <v>10348750</v>
      </c>
      <c r="F112" s="50">
        <f>VLOOKUP($A112,'Data shares'!$C:$FB,69)*100</f>
        <v>58.76</v>
      </c>
      <c r="G112" s="49">
        <f>VLOOKUP($A112,'Data shares'!$C:$FB,42)</f>
        <v>8701875</v>
      </c>
      <c r="H112" s="49">
        <f>VLOOKUP($A112,'Data shares'!$C:$FB,43)</f>
        <v>2552500</v>
      </c>
      <c r="I112" s="50">
        <f>VLOOKUP($A112,'Data shares'!$C:$FB,45)*100</f>
        <v>240.92</v>
      </c>
      <c r="J112" s="49">
        <f>VLOOKUP($A112,'Data shares'!$C:$FB,58)</f>
        <v>4056875</v>
      </c>
      <c r="K112" s="49">
        <f>VLOOKUP($A112,'Data shares'!$C:$FB,59)</f>
        <v>3658750</v>
      </c>
      <c r="L112" s="50">
        <f>VLOOKUP($A112,'Data shares'!$C:$FB,61)*100</f>
        <v>10.879999999999999</v>
      </c>
      <c r="M112" s="49">
        <f>VLOOKUP($A112,'Data shares'!$C:$FB,62)</f>
        <v>3671250</v>
      </c>
      <c r="N112" s="49">
        <f>VLOOKUP($A112,'Data shares'!$C:$FB,63)</f>
        <v>4137500</v>
      </c>
      <c r="O112" s="140">
        <f>VLOOKUP($A112,'Data shares'!$C:$FB,65)*100</f>
        <v>-11.27</v>
      </c>
    </row>
    <row r="113" spans="1:15" x14ac:dyDescent="0.25">
      <c r="A113" s="101" t="str">
        <f>'Data Vlaue (Cr)'!C108</f>
        <v>JIOFIN</v>
      </c>
      <c r="B113" s="50">
        <f>VLOOKUP($A113,'Data shares'!$C:$FB,7)</f>
        <v>248.66</v>
      </c>
      <c r="C113" s="50">
        <f>VLOOKUP($A113,'Data shares'!$C:$FB,10)*100</f>
        <v>4.26</v>
      </c>
      <c r="D113" s="49">
        <f>VLOOKUP($A113,'Data shares'!$C:$FB,66)</f>
        <v>584257000</v>
      </c>
      <c r="E113" s="49">
        <f>VLOOKUP($A113,'Data shares'!$C:$FB,67)</f>
        <v>281593450</v>
      </c>
      <c r="F113" s="50">
        <f>VLOOKUP($A113,'Data shares'!$C:$FB,69)*100</f>
        <v>107.48</v>
      </c>
      <c r="G113" s="49">
        <f>VLOOKUP($A113,'Data shares'!$C:$FB,42)</f>
        <v>125699150</v>
      </c>
      <c r="H113" s="49">
        <f>VLOOKUP($A113,'Data shares'!$C:$FB,43)</f>
        <v>48428800</v>
      </c>
      <c r="I113" s="50">
        <f>VLOOKUP($A113,'Data shares'!$C:$FB,45)*100</f>
        <v>159.54999999999998</v>
      </c>
      <c r="J113" s="49">
        <f>VLOOKUP($A113,'Data shares'!$C:$FB,58)</f>
        <v>321592800</v>
      </c>
      <c r="K113" s="49">
        <f>VLOOKUP($A113,'Data shares'!$C:$FB,59)</f>
        <v>154317450</v>
      </c>
      <c r="L113" s="50">
        <f>VLOOKUP($A113,'Data shares'!$C:$FB,61)*100</f>
        <v>108.4</v>
      </c>
      <c r="M113" s="49">
        <f>VLOOKUP($A113,'Data shares'!$C:$FB,62)</f>
        <v>136965050</v>
      </c>
      <c r="N113" s="49">
        <f>VLOOKUP($A113,'Data shares'!$C:$FB,63)</f>
        <v>78847200</v>
      </c>
      <c r="O113" s="140">
        <f>VLOOKUP($A113,'Data shares'!$C:$FB,65)*100</f>
        <v>73.709999999999994</v>
      </c>
    </row>
    <row r="114" spans="1:15" x14ac:dyDescent="0.25">
      <c r="A114" s="101" t="str">
        <f>'Data Vlaue (Cr)'!C109</f>
        <v>JSWENERGY</v>
      </c>
      <c r="B114" s="50">
        <f>VLOOKUP($A114,'Data shares'!$C:$FB,7)</f>
        <v>561.4</v>
      </c>
      <c r="C114" s="50">
        <f>VLOOKUP($A114,'Data shares'!$C:$FB,10)*100</f>
        <v>0.15</v>
      </c>
      <c r="D114" s="49">
        <f>VLOOKUP($A114,'Data shares'!$C:$FB,66)</f>
        <v>37879000</v>
      </c>
      <c r="E114" s="49">
        <f>VLOOKUP($A114,'Data shares'!$C:$FB,67)</f>
        <v>43315000</v>
      </c>
      <c r="F114" s="50">
        <f>VLOOKUP($A114,'Data shares'!$C:$FB,69)*100</f>
        <v>-12.55</v>
      </c>
      <c r="G114" s="49">
        <f>VLOOKUP($A114,'Data shares'!$C:$FB,42)</f>
        <v>20380000</v>
      </c>
      <c r="H114" s="49">
        <f>VLOOKUP($A114,'Data shares'!$C:$FB,43)</f>
        <v>15115000</v>
      </c>
      <c r="I114" s="50">
        <f>VLOOKUP($A114,'Data shares'!$C:$FB,45)*100</f>
        <v>34.83</v>
      </c>
      <c r="J114" s="49">
        <f>VLOOKUP($A114,'Data shares'!$C:$FB,58)</f>
        <v>13192000</v>
      </c>
      <c r="K114" s="49">
        <f>VLOOKUP($A114,'Data shares'!$C:$FB,59)</f>
        <v>21542000</v>
      </c>
      <c r="L114" s="50">
        <f>VLOOKUP($A114,'Data shares'!$C:$FB,61)*100</f>
        <v>-38.76</v>
      </c>
      <c r="M114" s="49">
        <f>VLOOKUP($A114,'Data shares'!$C:$FB,62)</f>
        <v>4307000</v>
      </c>
      <c r="N114" s="49">
        <f>VLOOKUP($A114,'Data shares'!$C:$FB,63)</f>
        <v>6658000</v>
      </c>
      <c r="O114" s="140">
        <f>VLOOKUP($A114,'Data shares'!$C:$FB,65)*100</f>
        <v>-35.31</v>
      </c>
    </row>
    <row r="115" spans="1:15" x14ac:dyDescent="0.25">
      <c r="A115" s="101" t="str">
        <f>'Data Vlaue (Cr)'!C110</f>
        <v>JSWSTEEL</v>
      </c>
      <c r="B115" s="50">
        <f>VLOOKUP($A115,'Data shares'!$C:$FB,7)</f>
        <v>1257</v>
      </c>
      <c r="C115" s="50">
        <f>VLOOKUP($A115,'Data shares'!$C:$FB,10)*100</f>
        <v>-0.51</v>
      </c>
      <c r="D115" s="49">
        <f>VLOOKUP($A115,'Data shares'!$C:$FB,66)</f>
        <v>38207025</v>
      </c>
      <c r="E115" s="49">
        <f>VLOOKUP($A115,'Data shares'!$C:$FB,67)</f>
        <v>25283475</v>
      </c>
      <c r="F115" s="50">
        <f>VLOOKUP($A115,'Data shares'!$C:$FB,69)*100</f>
        <v>51.11</v>
      </c>
      <c r="G115" s="49">
        <f>VLOOKUP($A115,'Data shares'!$C:$FB,42)</f>
        <v>26140050</v>
      </c>
      <c r="H115" s="49">
        <f>VLOOKUP($A115,'Data shares'!$C:$FB,43)</f>
        <v>7809075</v>
      </c>
      <c r="I115" s="50">
        <f>VLOOKUP($A115,'Data shares'!$C:$FB,45)*100</f>
        <v>234.73999999999998</v>
      </c>
      <c r="J115" s="49">
        <f>VLOOKUP($A115,'Data shares'!$C:$FB,58)</f>
        <v>8141175</v>
      </c>
      <c r="K115" s="49">
        <f>VLOOKUP($A115,'Data shares'!$C:$FB,59)</f>
        <v>10494900</v>
      </c>
      <c r="L115" s="50">
        <f>VLOOKUP($A115,'Data shares'!$C:$FB,61)*100</f>
        <v>-22.43</v>
      </c>
      <c r="M115" s="49">
        <f>VLOOKUP($A115,'Data shares'!$C:$FB,62)</f>
        <v>3925800</v>
      </c>
      <c r="N115" s="49">
        <f>VLOOKUP($A115,'Data shares'!$C:$FB,63)</f>
        <v>6979500</v>
      </c>
      <c r="O115" s="140">
        <f>VLOOKUP($A115,'Data shares'!$C:$FB,65)*100</f>
        <v>-43.75</v>
      </c>
    </row>
    <row r="116" spans="1:15" x14ac:dyDescent="0.25">
      <c r="A116" s="101" t="str">
        <f>'Data Vlaue (Cr)'!C111</f>
        <v>JUBLFOOD</v>
      </c>
      <c r="B116" s="50">
        <f>VLOOKUP($A116,'Data shares'!$C:$FB,7)</f>
        <v>492.85</v>
      </c>
      <c r="C116" s="50">
        <f>VLOOKUP($A116,'Data shares'!$C:$FB,10)*100</f>
        <v>-0.05</v>
      </c>
      <c r="D116" s="49">
        <f>VLOOKUP($A116,'Data shares'!$C:$FB,66)</f>
        <v>67210000</v>
      </c>
      <c r="E116" s="49">
        <f>VLOOKUP($A116,'Data shares'!$C:$FB,67)</f>
        <v>77036250</v>
      </c>
      <c r="F116" s="50">
        <f>VLOOKUP($A116,'Data shares'!$C:$FB,69)*100</f>
        <v>-12.76</v>
      </c>
      <c r="G116" s="49">
        <f>VLOOKUP($A116,'Data shares'!$C:$FB,42)</f>
        <v>33597500</v>
      </c>
      <c r="H116" s="49">
        <f>VLOOKUP($A116,'Data shares'!$C:$FB,43)</f>
        <v>14651250</v>
      </c>
      <c r="I116" s="50">
        <f>VLOOKUP($A116,'Data shares'!$C:$FB,45)*100</f>
        <v>129.31</v>
      </c>
      <c r="J116" s="49">
        <f>VLOOKUP($A116,'Data shares'!$C:$FB,58)</f>
        <v>23010000</v>
      </c>
      <c r="K116" s="49">
        <f>VLOOKUP($A116,'Data shares'!$C:$FB,59)</f>
        <v>43036250</v>
      </c>
      <c r="L116" s="50">
        <f>VLOOKUP($A116,'Data shares'!$C:$FB,61)*100</f>
        <v>-46.53</v>
      </c>
      <c r="M116" s="49">
        <f>VLOOKUP($A116,'Data shares'!$C:$FB,62)</f>
        <v>10602500</v>
      </c>
      <c r="N116" s="49">
        <f>VLOOKUP($A116,'Data shares'!$C:$FB,63)</f>
        <v>19348750</v>
      </c>
      <c r="O116" s="140">
        <f>VLOOKUP($A116,'Data shares'!$C:$FB,65)*100</f>
        <v>-45.2</v>
      </c>
    </row>
    <row r="117" spans="1:15" x14ac:dyDescent="0.25">
      <c r="A117" s="101" t="str">
        <f>'Data Vlaue (Cr)'!C112</f>
        <v>KALYANKJIL</v>
      </c>
      <c r="B117" s="50">
        <f>VLOOKUP($A117,'Data shares'!$C:$FB,7)</f>
        <v>412.85</v>
      </c>
      <c r="C117" s="50">
        <f>VLOOKUP($A117,'Data shares'!$C:$FB,10)*100</f>
        <v>-0.33999999999999997</v>
      </c>
      <c r="D117" s="49">
        <f>VLOOKUP($A117,'Data shares'!$C:$FB,66)</f>
        <v>37830300</v>
      </c>
      <c r="E117" s="49">
        <f>VLOOKUP($A117,'Data shares'!$C:$FB,67)</f>
        <v>19098450</v>
      </c>
      <c r="F117" s="50">
        <f>VLOOKUP($A117,'Data shares'!$C:$FB,69)*100</f>
        <v>98.08</v>
      </c>
      <c r="G117" s="49">
        <f>VLOOKUP($A117,'Data shares'!$C:$FB,42)</f>
        <v>13507800</v>
      </c>
      <c r="H117" s="49">
        <f>VLOOKUP($A117,'Data shares'!$C:$FB,43)</f>
        <v>2882275</v>
      </c>
      <c r="I117" s="50">
        <f>VLOOKUP($A117,'Data shares'!$C:$FB,45)*100</f>
        <v>368.65000000000003</v>
      </c>
      <c r="J117" s="49">
        <f>VLOOKUP($A117,'Data shares'!$C:$FB,58)</f>
        <v>17932850</v>
      </c>
      <c r="K117" s="49">
        <f>VLOOKUP($A117,'Data shares'!$C:$FB,59)</f>
        <v>11372825</v>
      </c>
      <c r="L117" s="50">
        <f>VLOOKUP($A117,'Data shares'!$C:$FB,61)*100</f>
        <v>57.68</v>
      </c>
      <c r="M117" s="49">
        <f>VLOOKUP($A117,'Data shares'!$C:$FB,62)</f>
        <v>6389650</v>
      </c>
      <c r="N117" s="49">
        <f>VLOOKUP($A117,'Data shares'!$C:$FB,63)</f>
        <v>4843350</v>
      </c>
      <c r="O117" s="140">
        <f>VLOOKUP($A117,'Data shares'!$C:$FB,65)*100</f>
        <v>31.929999999999996</v>
      </c>
    </row>
    <row r="118" spans="1:15" x14ac:dyDescent="0.25">
      <c r="A118" s="101" t="str">
        <f>'Data Vlaue (Cr)'!C113</f>
        <v>KAYNES</v>
      </c>
      <c r="B118" s="50">
        <f>VLOOKUP($A118,'Data shares'!$C:$FB,7)</f>
        <v>4387.7</v>
      </c>
      <c r="C118" s="50">
        <f>VLOOKUP($A118,'Data shares'!$C:$FB,10)*100</f>
        <v>-1.6</v>
      </c>
      <c r="D118" s="49">
        <f>VLOOKUP($A118,'Data shares'!$C:$FB,66)</f>
        <v>7788900</v>
      </c>
      <c r="E118" s="49">
        <f>VLOOKUP($A118,'Data shares'!$C:$FB,67)</f>
        <v>14175400</v>
      </c>
      <c r="F118" s="50">
        <f>VLOOKUP($A118,'Data shares'!$C:$FB,69)*100</f>
        <v>-45.050000000000004</v>
      </c>
      <c r="G118" s="49">
        <f>VLOOKUP($A118,'Data shares'!$C:$FB,42)</f>
        <v>2611200</v>
      </c>
      <c r="H118" s="49">
        <f>VLOOKUP($A118,'Data shares'!$C:$FB,43)</f>
        <v>1546700</v>
      </c>
      <c r="I118" s="50">
        <f>VLOOKUP($A118,'Data shares'!$C:$FB,45)*100</f>
        <v>68.820000000000007</v>
      </c>
      <c r="J118" s="49">
        <f>VLOOKUP($A118,'Data shares'!$C:$FB,58)</f>
        <v>3026800</v>
      </c>
      <c r="K118" s="49">
        <f>VLOOKUP($A118,'Data shares'!$C:$FB,59)</f>
        <v>7975000</v>
      </c>
      <c r="L118" s="50">
        <f>VLOOKUP($A118,'Data shares'!$C:$FB,61)*100</f>
        <v>-62.050000000000004</v>
      </c>
      <c r="M118" s="49">
        <f>VLOOKUP($A118,'Data shares'!$C:$FB,62)</f>
        <v>2150900</v>
      </c>
      <c r="N118" s="49">
        <f>VLOOKUP($A118,'Data shares'!$C:$FB,63)</f>
        <v>4653700</v>
      </c>
      <c r="O118" s="140">
        <f>VLOOKUP($A118,'Data shares'!$C:$FB,65)*100</f>
        <v>-53.779999999999994</v>
      </c>
    </row>
    <row r="119" spans="1:15" x14ac:dyDescent="0.25">
      <c r="A119" s="101" t="str">
        <f>'Data Vlaue (Cr)'!C114</f>
        <v>KEI</v>
      </c>
      <c r="B119" s="50">
        <f>VLOOKUP($A119,'Data shares'!$C:$FB,7)</f>
        <v>4839.5</v>
      </c>
      <c r="C119" s="50">
        <f>VLOOKUP($A119,'Data shares'!$C:$FB,10)*100</f>
        <v>-1.43</v>
      </c>
      <c r="D119" s="49">
        <f>VLOOKUP($A119,'Data shares'!$C:$FB,66)</f>
        <v>4111450</v>
      </c>
      <c r="E119" s="49">
        <f>VLOOKUP($A119,'Data shares'!$C:$FB,67)</f>
        <v>4414025</v>
      </c>
      <c r="F119" s="50">
        <f>VLOOKUP($A119,'Data shares'!$C:$FB,69)*100</f>
        <v>-6.8500000000000005</v>
      </c>
      <c r="G119" s="49">
        <f>VLOOKUP($A119,'Data shares'!$C:$FB,42)</f>
        <v>1578150</v>
      </c>
      <c r="H119" s="49">
        <f>VLOOKUP($A119,'Data shares'!$C:$FB,43)</f>
        <v>840350</v>
      </c>
      <c r="I119" s="50">
        <f>VLOOKUP($A119,'Data shares'!$C:$FB,45)*100</f>
        <v>87.8</v>
      </c>
      <c r="J119" s="49">
        <f>VLOOKUP($A119,'Data shares'!$C:$FB,58)</f>
        <v>1263850</v>
      </c>
      <c r="K119" s="49">
        <f>VLOOKUP($A119,'Data shares'!$C:$FB,59)</f>
        <v>1321950</v>
      </c>
      <c r="L119" s="50">
        <f>VLOOKUP($A119,'Data shares'!$C:$FB,61)*100</f>
        <v>-4.3999999999999995</v>
      </c>
      <c r="M119" s="49">
        <f>VLOOKUP($A119,'Data shares'!$C:$FB,62)</f>
        <v>1269450</v>
      </c>
      <c r="N119" s="49">
        <f>VLOOKUP($A119,'Data shares'!$C:$FB,63)</f>
        <v>2251725</v>
      </c>
      <c r="O119" s="140">
        <f>VLOOKUP($A119,'Data shares'!$C:$FB,65)*100</f>
        <v>-43.62</v>
      </c>
    </row>
    <row r="120" spans="1:15" x14ac:dyDescent="0.25">
      <c r="A120" s="101" t="str">
        <f>'Data Vlaue (Cr)'!C115</f>
        <v>KFINTECH</v>
      </c>
      <c r="B120" s="50">
        <f>VLOOKUP($A120,'Data shares'!$C:$FB,7)</f>
        <v>981.9</v>
      </c>
      <c r="C120" s="50">
        <f>VLOOKUP($A120,'Data shares'!$C:$FB,10)*100</f>
        <v>-0.82000000000000006</v>
      </c>
      <c r="D120" s="49">
        <f>VLOOKUP($A120,'Data shares'!$C:$FB,66)</f>
        <v>4889500</v>
      </c>
      <c r="E120" s="49">
        <f>VLOOKUP($A120,'Data shares'!$C:$FB,67)</f>
        <v>4267000</v>
      </c>
      <c r="F120" s="50">
        <f>VLOOKUP($A120,'Data shares'!$C:$FB,69)*100</f>
        <v>14.59</v>
      </c>
      <c r="G120" s="49">
        <f>VLOOKUP($A120,'Data shares'!$C:$FB,42)</f>
        <v>2798000</v>
      </c>
      <c r="H120" s="49">
        <f>VLOOKUP($A120,'Data shares'!$C:$FB,43)</f>
        <v>1437500</v>
      </c>
      <c r="I120" s="50">
        <f>VLOOKUP($A120,'Data shares'!$C:$FB,45)*100</f>
        <v>94.64</v>
      </c>
      <c r="J120" s="49">
        <f>VLOOKUP($A120,'Data shares'!$C:$FB,58)</f>
        <v>1525000</v>
      </c>
      <c r="K120" s="49">
        <f>VLOOKUP($A120,'Data shares'!$C:$FB,59)</f>
        <v>2347000</v>
      </c>
      <c r="L120" s="50">
        <f>VLOOKUP($A120,'Data shares'!$C:$FB,61)*100</f>
        <v>-35.020000000000003</v>
      </c>
      <c r="M120" s="49">
        <f>VLOOKUP($A120,'Data shares'!$C:$FB,62)</f>
        <v>566500</v>
      </c>
      <c r="N120" s="49">
        <f>VLOOKUP($A120,'Data shares'!$C:$FB,63)</f>
        <v>482500</v>
      </c>
      <c r="O120" s="140">
        <f>VLOOKUP($A120,'Data shares'!$C:$FB,65)*100</f>
        <v>17.41</v>
      </c>
    </row>
    <row r="121" spans="1:15" x14ac:dyDescent="0.25">
      <c r="A121" s="101" t="str">
        <f>'Data Vlaue (Cr)'!C116</f>
        <v>KOTAKBANK</v>
      </c>
      <c r="B121" s="50">
        <f>VLOOKUP($A121,'Data shares'!$C:$FB,7)</f>
        <v>370.4</v>
      </c>
      <c r="C121" s="50">
        <f>VLOOKUP($A121,'Data shares'!$C:$FB,10)*100</f>
        <v>-1.71</v>
      </c>
      <c r="D121" s="49">
        <f>VLOOKUP($A121,'Data shares'!$C:$FB,66)</f>
        <v>164926000</v>
      </c>
      <c r="E121" s="49">
        <f>VLOOKUP($A121,'Data shares'!$C:$FB,67)</f>
        <v>90386000</v>
      </c>
      <c r="F121" s="50">
        <f>VLOOKUP($A121,'Data shares'!$C:$FB,69)*100</f>
        <v>82.47</v>
      </c>
      <c r="G121" s="49">
        <f>VLOOKUP($A121,'Data shares'!$C:$FB,42)</f>
        <v>88260000</v>
      </c>
      <c r="H121" s="49">
        <f>VLOOKUP($A121,'Data shares'!$C:$FB,43)</f>
        <v>42930000</v>
      </c>
      <c r="I121" s="50">
        <f>VLOOKUP($A121,'Data shares'!$C:$FB,45)*100</f>
        <v>105.59</v>
      </c>
      <c r="J121" s="49">
        <f>VLOOKUP($A121,'Data shares'!$C:$FB,58)</f>
        <v>48974000</v>
      </c>
      <c r="K121" s="49">
        <f>VLOOKUP($A121,'Data shares'!$C:$FB,59)</f>
        <v>33490000</v>
      </c>
      <c r="L121" s="50">
        <f>VLOOKUP($A121,'Data shares'!$C:$FB,61)*100</f>
        <v>46.23</v>
      </c>
      <c r="M121" s="49">
        <f>VLOOKUP($A121,'Data shares'!$C:$FB,62)</f>
        <v>27692000</v>
      </c>
      <c r="N121" s="49">
        <f>VLOOKUP($A121,'Data shares'!$C:$FB,63)</f>
        <v>13966000</v>
      </c>
      <c r="O121" s="140">
        <f>VLOOKUP($A121,'Data shares'!$C:$FB,65)*100</f>
        <v>98.28</v>
      </c>
    </row>
    <row r="122" spans="1:15" x14ac:dyDescent="0.25">
      <c r="A122" s="101" t="str">
        <f>'Data Vlaue (Cr)'!C117</f>
        <v>KPITTECH</v>
      </c>
      <c r="B122" s="50">
        <f>VLOOKUP($A122,'Data shares'!$C:$FB,7)</f>
        <v>733.65</v>
      </c>
      <c r="C122" s="50">
        <f>VLOOKUP($A122,'Data shares'!$C:$FB,10)*100</f>
        <v>-0.31</v>
      </c>
      <c r="D122" s="49">
        <f>VLOOKUP($A122,'Data shares'!$C:$FB,66)</f>
        <v>9438400</v>
      </c>
      <c r="E122" s="49">
        <f>VLOOKUP($A122,'Data shares'!$C:$FB,67)</f>
        <v>8126850</v>
      </c>
      <c r="F122" s="50">
        <f>VLOOKUP($A122,'Data shares'!$C:$FB,69)*100</f>
        <v>16.14</v>
      </c>
      <c r="G122" s="49">
        <f>VLOOKUP($A122,'Data shares'!$C:$FB,42)</f>
        <v>4998425</v>
      </c>
      <c r="H122" s="49">
        <f>VLOOKUP($A122,'Data shares'!$C:$FB,43)</f>
        <v>2412725</v>
      </c>
      <c r="I122" s="50">
        <f>VLOOKUP($A122,'Data shares'!$C:$FB,45)*100</f>
        <v>107.17000000000002</v>
      </c>
      <c r="J122" s="49">
        <f>VLOOKUP($A122,'Data shares'!$C:$FB,58)</f>
        <v>3073175</v>
      </c>
      <c r="K122" s="49">
        <f>VLOOKUP($A122,'Data shares'!$C:$FB,59)</f>
        <v>3078275</v>
      </c>
      <c r="L122" s="50">
        <f>VLOOKUP($A122,'Data shares'!$C:$FB,61)*100</f>
        <v>-0.16999999999999998</v>
      </c>
      <c r="M122" s="49">
        <f>VLOOKUP($A122,'Data shares'!$C:$FB,62)</f>
        <v>1366800</v>
      </c>
      <c r="N122" s="49">
        <f>VLOOKUP($A122,'Data shares'!$C:$FB,63)</f>
        <v>2635850</v>
      </c>
      <c r="O122" s="140">
        <f>VLOOKUP($A122,'Data shares'!$C:$FB,65)*100</f>
        <v>-48.15</v>
      </c>
    </row>
    <row r="123" spans="1:15" x14ac:dyDescent="0.25">
      <c r="A123" s="101" t="str">
        <f>'Data Vlaue (Cr)'!C118</f>
        <v>LAURUSLABS</v>
      </c>
      <c r="B123" s="50">
        <f>VLOOKUP($A123,'Data shares'!$C:$FB,7)</f>
        <v>1129</v>
      </c>
      <c r="C123" s="50">
        <f>VLOOKUP($A123,'Data shares'!$C:$FB,10)*100</f>
        <v>3</v>
      </c>
      <c r="D123" s="49">
        <f>VLOOKUP($A123,'Data shares'!$C:$FB,66)</f>
        <v>29685400</v>
      </c>
      <c r="E123" s="49">
        <f>VLOOKUP($A123,'Data shares'!$C:$FB,67)</f>
        <v>15282150</v>
      </c>
      <c r="F123" s="50">
        <f>VLOOKUP($A123,'Data shares'!$C:$FB,69)*100</f>
        <v>94.25</v>
      </c>
      <c r="G123" s="49">
        <f>VLOOKUP($A123,'Data shares'!$C:$FB,42)</f>
        <v>10410800</v>
      </c>
      <c r="H123" s="49">
        <f>VLOOKUP($A123,'Data shares'!$C:$FB,43)</f>
        <v>5108500</v>
      </c>
      <c r="I123" s="50">
        <f>VLOOKUP($A123,'Data shares'!$C:$FB,45)*100</f>
        <v>103.79</v>
      </c>
      <c r="J123" s="49">
        <f>VLOOKUP($A123,'Data shares'!$C:$FB,58)</f>
        <v>15288950</v>
      </c>
      <c r="K123" s="49">
        <f>VLOOKUP($A123,'Data shares'!$C:$FB,59)</f>
        <v>6789800</v>
      </c>
      <c r="L123" s="50">
        <f>VLOOKUP($A123,'Data shares'!$C:$FB,61)*100</f>
        <v>125.18</v>
      </c>
      <c r="M123" s="49">
        <f>VLOOKUP($A123,'Data shares'!$C:$FB,62)</f>
        <v>3985650</v>
      </c>
      <c r="N123" s="49">
        <f>VLOOKUP($A123,'Data shares'!$C:$FB,63)</f>
        <v>3383850</v>
      </c>
      <c r="O123" s="140">
        <f>VLOOKUP($A123,'Data shares'!$C:$FB,65)*100</f>
        <v>17.78</v>
      </c>
    </row>
    <row r="124" spans="1:15" x14ac:dyDescent="0.25">
      <c r="A124" s="101" t="str">
        <f>'Data Vlaue (Cr)'!C119</f>
        <v>LICHSGFIN</v>
      </c>
      <c r="B124" s="50">
        <f>VLOOKUP($A124,'Data shares'!$C:$FB,7)</f>
        <v>545.54999999999995</v>
      </c>
      <c r="C124" s="50">
        <f>VLOOKUP($A124,'Data shares'!$C:$FB,10)*100</f>
        <v>-2.41</v>
      </c>
      <c r="D124" s="49">
        <f>VLOOKUP($A124,'Data shares'!$C:$FB,66)</f>
        <v>23377000</v>
      </c>
      <c r="E124" s="49">
        <f>VLOOKUP($A124,'Data shares'!$C:$FB,67)</f>
        <v>19608000</v>
      </c>
      <c r="F124" s="50">
        <f>VLOOKUP($A124,'Data shares'!$C:$FB,69)*100</f>
        <v>19.220000000000002</v>
      </c>
      <c r="G124" s="49">
        <f>VLOOKUP($A124,'Data shares'!$C:$FB,42)</f>
        <v>10978000</v>
      </c>
      <c r="H124" s="49">
        <f>VLOOKUP($A124,'Data shares'!$C:$FB,43)</f>
        <v>6247000</v>
      </c>
      <c r="I124" s="50">
        <f>VLOOKUP($A124,'Data shares'!$C:$FB,45)*100</f>
        <v>75.73</v>
      </c>
      <c r="J124" s="49">
        <f>VLOOKUP($A124,'Data shares'!$C:$FB,58)</f>
        <v>7958000</v>
      </c>
      <c r="K124" s="49">
        <f>VLOOKUP($A124,'Data shares'!$C:$FB,59)</f>
        <v>9419000</v>
      </c>
      <c r="L124" s="50">
        <f>VLOOKUP($A124,'Data shares'!$C:$FB,61)*100</f>
        <v>-15.509999999999998</v>
      </c>
      <c r="M124" s="49">
        <f>VLOOKUP($A124,'Data shares'!$C:$FB,62)</f>
        <v>4441000</v>
      </c>
      <c r="N124" s="49">
        <f>VLOOKUP($A124,'Data shares'!$C:$FB,63)</f>
        <v>3942000</v>
      </c>
      <c r="O124" s="140">
        <f>VLOOKUP($A124,'Data shares'!$C:$FB,65)*100</f>
        <v>12.659999999999998</v>
      </c>
    </row>
    <row r="125" spans="1:15" x14ac:dyDescent="0.25">
      <c r="A125" s="101" t="str">
        <f>'Data Vlaue (Cr)'!C120</f>
        <v>LICI</v>
      </c>
      <c r="B125" s="50">
        <f>VLOOKUP($A125,'Data shares'!$C:$FB,7)</f>
        <v>811.65</v>
      </c>
      <c r="C125" s="50">
        <f>VLOOKUP($A125,'Data shares'!$C:$FB,10)*100</f>
        <v>-1.08</v>
      </c>
      <c r="D125" s="49">
        <f>VLOOKUP($A125,'Data shares'!$C:$FB,66)</f>
        <v>14098000</v>
      </c>
      <c r="E125" s="49">
        <f>VLOOKUP($A125,'Data shares'!$C:$FB,67)</f>
        <v>6133400</v>
      </c>
      <c r="F125" s="50">
        <f>VLOOKUP($A125,'Data shares'!$C:$FB,69)*100</f>
        <v>129.85999999999999</v>
      </c>
      <c r="G125" s="49">
        <f>VLOOKUP($A125,'Data shares'!$C:$FB,42)</f>
        <v>7281400</v>
      </c>
      <c r="H125" s="49">
        <f>VLOOKUP($A125,'Data shares'!$C:$FB,43)</f>
        <v>1670200</v>
      </c>
      <c r="I125" s="50">
        <f>VLOOKUP($A125,'Data shares'!$C:$FB,45)*100</f>
        <v>335.96</v>
      </c>
      <c r="J125" s="49">
        <f>VLOOKUP($A125,'Data shares'!$C:$FB,58)</f>
        <v>4415600</v>
      </c>
      <c r="K125" s="49">
        <f>VLOOKUP($A125,'Data shares'!$C:$FB,59)</f>
        <v>3413900</v>
      </c>
      <c r="L125" s="50">
        <f>VLOOKUP($A125,'Data shares'!$C:$FB,61)*100</f>
        <v>29.34</v>
      </c>
      <c r="M125" s="49">
        <f>VLOOKUP($A125,'Data shares'!$C:$FB,62)</f>
        <v>2401000</v>
      </c>
      <c r="N125" s="49">
        <f>VLOOKUP($A125,'Data shares'!$C:$FB,63)</f>
        <v>1049300</v>
      </c>
      <c r="O125" s="140">
        <f>VLOOKUP($A125,'Data shares'!$C:$FB,65)*100</f>
        <v>128.82</v>
      </c>
    </row>
    <row r="126" spans="1:15" x14ac:dyDescent="0.25">
      <c r="A126" s="101" t="str">
        <f>'Data Vlaue (Cr)'!C121</f>
        <v>LODHA</v>
      </c>
      <c r="B126" s="50">
        <f>VLOOKUP($A126,'Data shares'!$C:$FB,7)</f>
        <v>856.5</v>
      </c>
      <c r="C126" s="50">
        <f>VLOOKUP($A126,'Data shares'!$C:$FB,10)*100</f>
        <v>-3.2</v>
      </c>
      <c r="D126" s="49">
        <f>VLOOKUP($A126,'Data shares'!$C:$FB,66)</f>
        <v>18707850</v>
      </c>
      <c r="E126" s="49">
        <f>VLOOKUP($A126,'Data shares'!$C:$FB,67)</f>
        <v>14138550</v>
      </c>
      <c r="F126" s="50">
        <f>VLOOKUP($A126,'Data shares'!$C:$FB,69)*100</f>
        <v>32.32</v>
      </c>
      <c r="G126" s="49">
        <f>VLOOKUP($A126,'Data shares'!$C:$FB,42)</f>
        <v>8690850</v>
      </c>
      <c r="H126" s="49">
        <f>VLOOKUP($A126,'Data shares'!$C:$FB,43)</f>
        <v>3225150</v>
      </c>
      <c r="I126" s="50">
        <f>VLOOKUP($A126,'Data shares'!$C:$FB,45)*100</f>
        <v>169.47</v>
      </c>
      <c r="J126" s="49">
        <f>VLOOKUP($A126,'Data shares'!$C:$FB,58)</f>
        <v>5483250</v>
      </c>
      <c r="K126" s="49">
        <f>VLOOKUP($A126,'Data shares'!$C:$FB,59)</f>
        <v>6889500</v>
      </c>
      <c r="L126" s="50">
        <f>VLOOKUP($A126,'Data shares'!$C:$FB,61)*100</f>
        <v>-20.41</v>
      </c>
      <c r="M126" s="49">
        <f>VLOOKUP($A126,'Data shares'!$C:$FB,62)</f>
        <v>4533750</v>
      </c>
      <c r="N126" s="49">
        <f>VLOOKUP($A126,'Data shares'!$C:$FB,63)</f>
        <v>4023900</v>
      </c>
      <c r="O126" s="140">
        <f>VLOOKUP($A126,'Data shares'!$C:$FB,65)*100</f>
        <v>12.67</v>
      </c>
    </row>
    <row r="127" spans="1:15" x14ac:dyDescent="0.25">
      <c r="A127" s="101" t="str">
        <f>'Data Vlaue (Cr)'!C122</f>
        <v>LT</v>
      </c>
      <c r="B127" s="50">
        <f>VLOOKUP($A127,'Data shares'!$C:$FB,7)</f>
        <v>4054.1</v>
      </c>
      <c r="C127" s="50">
        <f>VLOOKUP($A127,'Data shares'!$C:$FB,10)*100</f>
        <v>0.82000000000000006</v>
      </c>
      <c r="D127" s="49">
        <f>VLOOKUP($A127,'Data shares'!$C:$FB,66)</f>
        <v>18414725</v>
      </c>
      <c r="E127" s="49">
        <f>VLOOKUP($A127,'Data shares'!$C:$FB,67)</f>
        <v>17609900</v>
      </c>
      <c r="F127" s="50">
        <f>VLOOKUP($A127,'Data shares'!$C:$FB,69)*100</f>
        <v>4.5699999999999994</v>
      </c>
      <c r="G127" s="49">
        <f>VLOOKUP($A127,'Data shares'!$C:$FB,42)</f>
        <v>5769225</v>
      </c>
      <c r="H127" s="49">
        <f>VLOOKUP($A127,'Data shares'!$C:$FB,43)</f>
        <v>3127250</v>
      </c>
      <c r="I127" s="50">
        <f>VLOOKUP($A127,'Data shares'!$C:$FB,45)*100</f>
        <v>84.48</v>
      </c>
      <c r="J127" s="49">
        <f>VLOOKUP($A127,'Data shares'!$C:$FB,58)</f>
        <v>7746375</v>
      </c>
      <c r="K127" s="49">
        <f>VLOOKUP($A127,'Data shares'!$C:$FB,59)</f>
        <v>9379650</v>
      </c>
      <c r="L127" s="50">
        <f>VLOOKUP($A127,'Data shares'!$C:$FB,61)*100</f>
        <v>-17.41</v>
      </c>
      <c r="M127" s="49">
        <f>VLOOKUP($A127,'Data shares'!$C:$FB,62)</f>
        <v>4899125</v>
      </c>
      <c r="N127" s="49">
        <f>VLOOKUP($A127,'Data shares'!$C:$FB,63)</f>
        <v>5103000</v>
      </c>
      <c r="O127" s="140">
        <f>VLOOKUP($A127,'Data shares'!$C:$FB,65)*100</f>
        <v>-4</v>
      </c>
    </row>
    <row r="128" spans="1:15" x14ac:dyDescent="0.25">
      <c r="A128" s="101" t="str">
        <f>'Data Vlaue (Cr)'!C123</f>
        <v>LTF</v>
      </c>
      <c r="B128" s="50">
        <f>VLOOKUP($A128,'Data shares'!$C:$FB,7)</f>
        <v>292.12</v>
      </c>
      <c r="C128" s="50">
        <f>VLOOKUP($A128,'Data shares'!$C:$FB,10)*100</f>
        <v>-0.65</v>
      </c>
      <c r="D128" s="49">
        <f>VLOOKUP($A128,'Data shares'!$C:$FB,66)</f>
        <v>63013500</v>
      </c>
      <c r="E128" s="49">
        <f>VLOOKUP($A128,'Data shares'!$C:$FB,67)</f>
        <v>29322000</v>
      </c>
      <c r="F128" s="50">
        <f>VLOOKUP($A128,'Data shares'!$C:$FB,69)*100</f>
        <v>114.9</v>
      </c>
      <c r="G128" s="49">
        <f>VLOOKUP($A128,'Data shares'!$C:$FB,42)</f>
        <v>36715500</v>
      </c>
      <c r="H128" s="49">
        <f>VLOOKUP($A128,'Data shares'!$C:$FB,43)</f>
        <v>8392500</v>
      </c>
      <c r="I128" s="50">
        <f>VLOOKUP($A128,'Data shares'!$C:$FB,45)*100</f>
        <v>337.48</v>
      </c>
      <c r="J128" s="49">
        <f>VLOOKUP($A128,'Data shares'!$C:$FB,58)</f>
        <v>15304500</v>
      </c>
      <c r="K128" s="49">
        <f>VLOOKUP($A128,'Data shares'!$C:$FB,59)</f>
        <v>13050000</v>
      </c>
      <c r="L128" s="50">
        <f>VLOOKUP($A128,'Data shares'!$C:$FB,61)*100</f>
        <v>17.28</v>
      </c>
      <c r="M128" s="49">
        <f>VLOOKUP($A128,'Data shares'!$C:$FB,62)</f>
        <v>10993500</v>
      </c>
      <c r="N128" s="49">
        <f>VLOOKUP($A128,'Data shares'!$C:$FB,63)</f>
        <v>7879500</v>
      </c>
      <c r="O128" s="140">
        <f>VLOOKUP($A128,'Data shares'!$C:$FB,65)*100</f>
        <v>39.519999999999996</v>
      </c>
    </row>
    <row r="129" spans="1:15" x14ac:dyDescent="0.25">
      <c r="A129" s="101" t="str">
        <f>'Data Vlaue (Cr)'!C124</f>
        <v>LTM</v>
      </c>
      <c r="B129" s="50">
        <f>VLOOKUP($A129,'Data shares'!$C:$FB,7)</f>
        <v>4531.5</v>
      </c>
      <c r="C129" s="50">
        <f>VLOOKUP($A129,'Data shares'!$C:$FB,10)*100</f>
        <v>-1.58</v>
      </c>
      <c r="D129" s="49">
        <f>VLOOKUP($A129,'Data shares'!$C:$FB,66)</f>
        <v>8396100</v>
      </c>
      <c r="E129" s="49">
        <f>VLOOKUP($A129,'Data shares'!$C:$FB,67)</f>
        <v>5020500</v>
      </c>
      <c r="F129" s="50">
        <f>VLOOKUP($A129,'Data shares'!$C:$FB,69)*100</f>
        <v>67.239999999999995</v>
      </c>
      <c r="G129" s="49">
        <f>VLOOKUP($A129,'Data shares'!$C:$FB,42)</f>
        <v>2982750</v>
      </c>
      <c r="H129" s="49">
        <f>VLOOKUP($A129,'Data shares'!$C:$FB,43)</f>
        <v>1273050</v>
      </c>
      <c r="I129" s="50">
        <f>VLOOKUP($A129,'Data shares'!$C:$FB,45)*100</f>
        <v>134.30000000000001</v>
      </c>
      <c r="J129" s="49">
        <f>VLOOKUP($A129,'Data shares'!$C:$FB,58)</f>
        <v>2780250</v>
      </c>
      <c r="K129" s="49">
        <f>VLOOKUP($A129,'Data shares'!$C:$FB,59)</f>
        <v>1966350</v>
      </c>
      <c r="L129" s="50">
        <f>VLOOKUP($A129,'Data shares'!$C:$FB,61)*100</f>
        <v>41.39</v>
      </c>
      <c r="M129" s="49">
        <f>VLOOKUP($A129,'Data shares'!$C:$FB,62)</f>
        <v>2633100</v>
      </c>
      <c r="N129" s="49">
        <f>VLOOKUP($A129,'Data shares'!$C:$FB,63)</f>
        <v>1781100</v>
      </c>
      <c r="O129" s="140">
        <f>VLOOKUP($A129,'Data shares'!$C:$FB,65)*100</f>
        <v>47.839999999999996</v>
      </c>
    </row>
    <row r="130" spans="1:15" x14ac:dyDescent="0.25">
      <c r="A130" s="101" t="str">
        <f>'Data Vlaue (Cr)'!C125</f>
        <v>LUPIN</v>
      </c>
      <c r="B130" s="50">
        <f>VLOOKUP($A130,'Data shares'!$C:$FB,7)</f>
        <v>2341.4</v>
      </c>
      <c r="C130" s="50">
        <f>VLOOKUP($A130,'Data shares'!$C:$FB,10)*100</f>
        <v>1.4500000000000002</v>
      </c>
      <c r="D130" s="49">
        <f>VLOOKUP($A130,'Data shares'!$C:$FB,66)</f>
        <v>27368300</v>
      </c>
      <c r="E130" s="49">
        <f>VLOOKUP($A130,'Data shares'!$C:$FB,67)</f>
        <v>5495675</v>
      </c>
      <c r="F130" s="50">
        <f>VLOOKUP($A130,'Data shares'!$C:$FB,69)*100</f>
        <v>398</v>
      </c>
      <c r="G130" s="49">
        <f>VLOOKUP($A130,'Data shares'!$C:$FB,42)</f>
        <v>5269150</v>
      </c>
      <c r="H130" s="49">
        <f>VLOOKUP($A130,'Data shares'!$C:$FB,43)</f>
        <v>783700</v>
      </c>
      <c r="I130" s="50">
        <f>VLOOKUP($A130,'Data shares'!$C:$FB,45)*100</f>
        <v>572.34</v>
      </c>
      <c r="J130" s="49">
        <f>VLOOKUP($A130,'Data shares'!$C:$FB,58)</f>
        <v>16791750</v>
      </c>
      <c r="K130" s="49">
        <f>VLOOKUP($A130,'Data shares'!$C:$FB,59)</f>
        <v>3001775</v>
      </c>
      <c r="L130" s="50">
        <f>VLOOKUP($A130,'Data shares'!$C:$FB,61)*100</f>
        <v>459.39</v>
      </c>
      <c r="M130" s="49">
        <f>VLOOKUP($A130,'Data shares'!$C:$FB,62)</f>
        <v>5307400</v>
      </c>
      <c r="N130" s="49">
        <f>VLOOKUP($A130,'Data shares'!$C:$FB,63)</f>
        <v>1710200</v>
      </c>
      <c r="O130" s="140">
        <f>VLOOKUP($A130,'Data shares'!$C:$FB,65)*100</f>
        <v>210.34</v>
      </c>
    </row>
    <row r="131" spans="1:15" x14ac:dyDescent="0.25">
      <c r="A131" s="101" t="str">
        <f>'Data Vlaue (Cr)'!C126</f>
        <v>M&amp;M</v>
      </c>
      <c r="B131" s="50">
        <f>VLOOKUP($A131,'Data shares'!$C:$FB,7)</f>
        <v>3047.7</v>
      </c>
      <c r="C131" s="50">
        <f>VLOOKUP($A131,'Data shares'!$C:$FB,10)*100</f>
        <v>-3.2399999999999998</v>
      </c>
      <c r="D131" s="49">
        <f>VLOOKUP($A131,'Data shares'!$C:$FB,66)</f>
        <v>28148800</v>
      </c>
      <c r="E131" s="49">
        <f>VLOOKUP($A131,'Data shares'!$C:$FB,67)</f>
        <v>16161000</v>
      </c>
      <c r="F131" s="50">
        <f>VLOOKUP($A131,'Data shares'!$C:$FB,69)*100</f>
        <v>74.180000000000007</v>
      </c>
      <c r="G131" s="49">
        <f>VLOOKUP($A131,'Data shares'!$C:$FB,42)</f>
        <v>10866400</v>
      </c>
      <c r="H131" s="49">
        <f>VLOOKUP($A131,'Data shares'!$C:$FB,43)</f>
        <v>4100600</v>
      </c>
      <c r="I131" s="50">
        <f>VLOOKUP($A131,'Data shares'!$C:$FB,45)*100</f>
        <v>165</v>
      </c>
      <c r="J131" s="49">
        <f>VLOOKUP($A131,'Data shares'!$C:$FB,58)</f>
        <v>10923000</v>
      </c>
      <c r="K131" s="49">
        <f>VLOOKUP($A131,'Data shares'!$C:$FB,59)</f>
        <v>7799600</v>
      </c>
      <c r="L131" s="50">
        <f>VLOOKUP($A131,'Data shares'!$C:$FB,61)*100</f>
        <v>40.050000000000004</v>
      </c>
      <c r="M131" s="49">
        <f>VLOOKUP($A131,'Data shares'!$C:$FB,62)</f>
        <v>6359400</v>
      </c>
      <c r="N131" s="49">
        <f>VLOOKUP($A131,'Data shares'!$C:$FB,63)</f>
        <v>4260800</v>
      </c>
      <c r="O131" s="140">
        <f>VLOOKUP($A131,'Data shares'!$C:$FB,65)*100</f>
        <v>49.25</v>
      </c>
    </row>
    <row r="132" spans="1:15" x14ac:dyDescent="0.25">
      <c r="A132" s="101" t="str">
        <f>'Data Vlaue (Cr)'!C127</f>
        <v>MANAPPURAM</v>
      </c>
      <c r="B132" s="50">
        <f>VLOOKUP($A132,'Data shares'!$C:$FB,7)</f>
        <v>292.85000000000002</v>
      </c>
      <c r="C132" s="50">
        <f>VLOOKUP($A132,'Data shares'!$C:$FB,10)*100</f>
        <v>-0.75</v>
      </c>
      <c r="D132" s="49">
        <f>VLOOKUP($A132,'Data shares'!$C:$FB,66)</f>
        <v>46854000</v>
      </c>
      <c r="E132" s="49">
        <f>VLOOKUP($A132,'Data shares'!$C:$FB,67)</f>
        <v>186780000</v>
      </c>
      <c r="F132" s="50">
        <f>VLOOKUP($A132,'Data shares'!$C:$FB,69)*100</f>
        <v>-74.91</v>
      </c>
      <c r="G132" s="49">
        <f>VLOOKUP($A132,'Data shares'!$C:$FB,42)</f>
        <v>23136000</v>
      </c>
      <c r="H132" s="49">
        <f>VLOOKUP($A132,'Data shares'!$C:$FB,43)</f>
        <v>42081000</v>
      </c>
      <c r="I132" s="50">
        <f>VLOOKUP($A132,'Data shares'!$C:$FB,45)*100</f>
        <v>-45.019999999999996</v>
      </c>
      <c r="J132" s="49">
        <f>VLOOKUP($A132,'Data shares'!$C:$FB,58)</f>
        <v>15642000</v>
      </c>
      <c r="K132" s="49">
        <f>VLOOKUP($A132,'Data shares'!$C:$FB,59)</f>
        <v>92646000</v>
      </c>
      <c r="L132" s="50">
        <f>VLOOKUP($A132,'Data shares'!$C:$FB,61)*100</f>
        <v>-83.12</v>
      </c>
      <c r="M132" s="49">
        <f>VLOOKUP($A132,'Data shares'!$C:$FB,62)</f>
        <v>8076000</v>
      </c>
      <c r="N132" s="49">
        <f>VLOOKUP($A132,'Data shares'!$C:$FB,63)</f>
        <v>52053000</v>
      </c>
      <c r="O132" s="140">
        <f>VLOOKUP($A132,'Data shares'!$C:$FB,65)*100</f>
        <v>-84.49</v>
      </c>
    </row>
    <row r="133" spans="1:15" x14ac:dyDescent="0.25">
      <c r="A133" s="101" t="str">
        <f>'Data Vlaue (Cr)'!C128</f>
        <v>MANKIND</v>
      </c>
      <c r="B133" s="50">
        <f>VLOOKUP($A133,'Data shares'!$C:$FB,7)</f>
        <v>2292.9</v>
      </c>
      <c r="C133" s="50">
        <f>VLOOKUP($A133,'Data shares'!$C:$FB,10)*100</f>
        <v>2.59</v>
      </c>
      <c r="D133" s="49">
        <f>VLOOKUP($A133,'Data shares'!$C:$FB,66)</f>
        <v>11901600</v>
      </c>
      <c r="E133" s="49">
        <f>VLOOKUP($A133,'Data shares'!$C:$FB,67)</f>
        <v>3414825</v>
      </c>
      <c r="F133" s="50">
        <f>VLOOKUP($A133,'Data shares'!$C:$FB,69)*100</f>
        <v>248.53</v>
      </c>
      <c r="G133" s="49">
        <f>VLOOKUP($A133,'Data shares'!$C:$FB,42)</f>
        <v>3980700</v>
      </c>
      <c r="H133" s="49">
        <f>VLOOKUP($A133,'Data shares'!$C:$FB,43)</f>
        <v>747000</v>
      </c>
      <c r="I133" s="50">
        <f>VLOOKUP($A133,'Data shares'!$C:$FB,45)*100</f>
        <v>432.89</v>
      </c>
      <c r="J133" s="49">
        <f>VLOOKUP($A133,'Data shares'!$C:$FB,58)</f>
        <v>5702175</v>
      </c>
      <c r="K133" s="49">
        <f>VLOOKUP($A133,'Data shares'!$C:$FB,59)</f>
        <v>1862775</v>
      </c>
      <c r="L133" s="50">
        <f>VLOOKUP($A133,'Data shares'!$C:$FB,61)*100</f>
        <v>206.11</v>
      </c>
      <c r="M133" s="49">
        <f>VLOOKUP($A133,'Data shares'!$C:$FB,62)</f>
        <v>2218725</v>
      </c>
      <c r="N133" s="49">
        <f>VLOOKUP($A133,'Data shares'!$C:$FB,63)</f>
        <v>805050</v>
      </c>
      <c r="O133" s="140">
        <f>VLOOKUP($A133,'Data shares'!$C:$FB,65)*100</f>
        <v>175.6</v>
      </c>
    </row>
    <row r="134" spans="1:15" x14ac:dyDescent="0.25">
      <c r="A134" s="101" t="str">
        <f>'Data Vlaue (Cr)'!C129</f>
        <v>MARICO</v>
      </c>
      <c r="B134" s="50">
        <f>VLOOKUP($A134,'Data shares'!$C:$FB,7)</f>
        <v>778.9</v>
      </c>
      <c r="C134" s="50">
        <f>VLOOKUP($A134,'Data shares'!$C:$FB,10)*100</f>
        <v>0.83</v>
      </c>
      <c r="D134" s="49">
        <f>VLOOKUP($A134,'Data shares'!$C:$FB,66)</f>
        <v>27754800</v>
      </c>
      <c r="E134" s="49">
        <f>VLOOKUP($A134,'Data shares'!$C:$FB,67)</f>
        <v>24438000</v>
      </c>
      <c r="F134" s="50">
        <f>VLOOKUP($A134,'Data shares'!$C:$FB,69)*100</f>
        <v>13.569999999999999</v>
      </c>
      <c r="G134" s="49">
        <f>VLOOKUP($A134,'Data shares'!$C:$FB,42)</f>
        <v>16882800</v>
      </c>
      <c r="H134" s="49">
        <f>VLOOKUP($A134,'Data shares'!$C:$FB,43)</f>
        <v>4082400</v>
      </c>
      <c r="I134" s="50">
        <f>VLOOKUP($A134,'Data shares'!$C:$FB,45)*100</f>
        <v>313.55</v>
      </c>
      <c r="J134" s="49">
        <f>VLOOKUP($A134,'Data shares'!$C:$FB,58)</f>
        <v>8359200</v>
      </c>
      <c r="K134" s="49">
        <f>VLOOKUP($A134,'Data shares'!$C:$FB,59)</f>
        <v>14720400</v>
      </c>
      <c r="L134" s="50">
        <f>VLOOKUP($A134,'Data shares'!$C:$FB,61)*100</f>
        <v>-43.21</v>
      </c>
      <c r="M134" s="49">
        <f>VLOOKUP($A134,'Data shares'!$C:$FB,62)</f>
        <v>2512800</v>
      </c>
      <c r="N134" s="49">
        <f>VLOOKUP($A134,'Data shares'!$C:$FB,63)</f>
        <v>5635200</v>
      </c>
      <c r="O134" s="140">
        <f>VLOOKUP($A134,'Data shares'!$C:$FB,65)*100</f>
        <v>-55.410000000000004</v>
      </c>
    </row>
    <row r="135" spans="1:15" x14ac:dyDescent="0.25">
      <c r="A135" s="101" t="str">
        <f>'Data Vlaue (Cr)'!C130</f>
        <v>MARUTI</v>
      </c>
      <c r="B135" s="50">
        <f>VLOOKUP($A135,'Data shares'!$C:$FB,7)</f>
        <v>13160</v>
      </c>
      <c r="C135" s="50">
        <f>VLOOKUP($A135,'Data shares'!$C:$FB,10)*100</f>
        <v>-1.3299999999999998</v>
      </c>
      <c r="D135" s="49">
        <f>VLOOKUP($A135,'Data shares'!$C:$FB,66)</f>
        <v>6817000</v>
      </c>
      <c r="E135" s="49">
        <f>VLOOKUP($A135,'Data shares'!$C:$FB,67)</f>
        <v>5148800</v>
      </c>
      <c r="F135" s="50">
        <f>VLOOKUP($A135,'Data shares'!$C:$FB,69)*100</f>
        <v>32.4</v>
      </c>
      <c r="G135" s="49">
        <f>VLOOKUP($A135,'Data shares'!$C:$FB,42)</f>
        <v>2147200</v>
      </c>
      <c r="H135" s="49">
        <f>VLOOKUP($A135,'Data shares'!$C:$FB,43)</f>
        <v>1124700</v>
      </c>
      <c r="I135" s="50">
        <f>VLOOKUP($A135,'Data shares'!$C:$FB,45)*100</f>
        <v>90.91</v>
      </c>
      <c r="J135" s="49">
        <f>VLOOKUP($A135,'Data shares'!$C:$FB,58)</f>
        <v>3243300</v>
      </c>
      <c r="K135" s="49">
        <f>VLOOKUP($A135,'Data shares'!$C:$FB,59)</f>
        <v>2552050</v>
      </c>
      <c r="L135" s="50">
        <f>VLOOKUP($A135,'Data shares'!$C:$FB,61)*100</f>
        <v>27.089999999999996</v>
      </c>
      <c r="M135" s="49">
        <f>VLOOKUP($A135,'Data shares'!$C:$FB,62)</f>
        <v>1426500</v>
      </c>
      <c r="N135" s="49">
        <f>VLOOKUP($A135,'Data shares'!$C:$FB,63)</f>
        <v>1472050</v>
      </c>
      <c r="O135" s="140">
        <f>VLOOKUP($A135,'Data shares'!$C:$FB,65)*100</f>
        <v>-3.09</v>
      </c>
    </row>
    <row r="136" spans="1:15" x14ac:dyDescent="0.25">
      <c r="A136" s="101" t="str">
        <f>'Data Vlaue (Cr)'!C131</f>
        <v>MAXHEALTH</v>
      </c>
      <c r="B136" s="50">
        <f>VLOOKUP($A136,'Data shares'!$C:$FB,7)</f>
        <v>1006.75</v>
      </c>
      <c r="C136" s="50">
        <f>VLOOKUP($A136,'Data shares'!$C:$FB,10)*100</f>
        <v>0.13999999999999999</v>
      </c>
      <c r="D136" s="49">
        <f>VLOOKUP($A136,'Data shares'!$C:$FB,66)</f>
        <v>20325375</v>
      </c>
      <c r="E136" s="49">
        <f>VLOOKUP($A136,'Data shares'!$C:$FB,67)</f>
        <v>13291425</v>
      </c>
      <c r="F136" s="50">
        <f>VLOOKUP($A136,'Data shares'!$C:$FB,69)*100</f>
        <v>52.92</v>
      </c>
      <c r="G136" s="49">
        <f>VLOOKUP($A136,'Data shares'!$C:$FB,42)</f>
        <v>10263750</v>
      </c>
      <c r="H136" s="49">
        <f>VLOOKUP($A136,'Data shares'!$C:$FB,43)</f>
        <v>2922150</v>
      </c>
      <c r="I136" s="50">
        <f>VLOOKUP($A136,'Data shares'!$C:$FB,45)*100</f>
        <v>251.24</v>
      </c>
      <c r="J136" s="49">
        <f>VLOOKUP($A136,'Data shares'!$C:$FB,58)</f>
        <v>6249600</v>
      </c>
      <c r="K136" s="49">
        <f>VLOOKUP($A136,'Data shares'!$C:$FB,59)</f>
        <v>5370750</v>
      </c>
      <c r="L136" s="50">
        <f>VLOOKUP($A136,'Data shares'!$C:$FB,61)*100</f>
        <v>16.36</v>
      </c>
      <c r="M136" s="49">
        <f>VLOOKUP($A136,'Data shares'!$C:$FB,62)</f>
        <v>3812025</v>
      </c>
      <c r="N136" s="49">
        <f>VLOOKUP($A136,'Data shares'!$C:$FB,63)</f>
        <v>4998525</v>
      </c>
      <c r="O136" s="140">
        <f>VLOOKUP($A136,'Data shares'!$C:$FB,65)*100</f>
        <v>-23.74</v>
      </c>
    </row>
    <row r="137" spans="1:15" x14ac:dyDescent="0.25">
      <c r="A137" s="101" t="str">
        <f>'Data Vlaue (Cr)'!C132</f>
        <v>MAZDOCK</v>
      </c>
      <c r="B137" s="50">
        <f>VLOOKUP($A137,'Data shares'!$C:$FB,7)</f>
        <v>2693.8</v>
      </c>
      <c r="C137" s="50">
        <f>VLOOKUP($A137,'Data shares'!$C:$FB,10)*100</f>
        <v>-0.37</v>
      </c>
      <c r="D137" s="49">
        <f>VLOOKUP($A137,'Data shares'!$C:$FB,66)</f>
        <v>14557000</v>
      </c>
      <c r="E137" s="49">
        <f>VLOOKUP($A137,'Data shares'!$C:$FB,67)</f>
        <v>12200400</v>
      </c>
      <c r="F137" s="50">
        <f>VLOOKUP($A137,'Data shares'!$C:$FB,69)*100</f>
        <v>19.32</v>
      </c>
      <c r="G137" s="49">
        <f>VLOOKUP($A137,'Data shares'!$C:$FB,42)</f>
        <v>3232200</v>
      </c>
      <c r="H137" s="49">
        <f>VLOOKUP($A137,'Data shares'!$C:$FB,43)</f>
        <v>1401800</v>
      </c>
      <c r="I137" s="50">
        <f>VLOOKUP($A137,'Data shares'!$C:$FB,45)*100</f>
        <v>130.57000000000002</v>
      </c>
      <c r="J137" s="49">
        <f>VLOOKUP($A137,'Data shares'!$C:$FB,58)</f>
        <v>7965400</v>
      </c>
      <c r="K137" s="49">
        <f>VLOOKUP($A137,'Data shares'!$C:$FB,59)</f>
        <v>7529000</v>
      </c>
      <c r="L137" s="50">
        <f>VLOOKUP($A137,'Data shares'!$C:$FB,61)*100</f>
        <v>5.8000000000000007</v>
      </c>
      <c r="M137" s="49">
        <f>VLOOKUP($A137,'Data shares'!$C:$FB,62)</f>
        <v>3359400</v>
      </c>
      <c r="N137" s="49">
        <f>VLOOKUP($A137,'Data shares'!$C:$FB,63)</f>
        <v>3269600</v>
      </c>
      <c r="O137" s="140">
        <f>VLOOKUP($A137,'Data shares'!$C:$FB,65)*100</f>
        <v>2.75</v>
      </c>
    </row>
    <row r="138" spans="1:15" x14ac:dyDescent="0.25">
      <c r="A138" s="101" t="str">
        <f>'Data Vlaue (Cr)'!C133</f>
        <v>MCX</v>
      </c>
      <c r="B138" s="50">
        <f>VLOOKUP($A138,'Data shares'!$C:$FB,7)</f>
        <v>2791.4</v>
      </c>
      <c r="C138" s="50">
        <f>VLOOKUP($A138,'Data shares'!$C:$FB,10)*100</f>
        <v>0.28999999999999998</v>
      </c>
      <c r="D138" s="49">
        <f>VLOOKUP($A138,'Data shares'!$C:$FB,66)</f>
        <v>37624375</v>
      </c>
      <c r="E138" s="49">
        <f>VLOOKUP($A138,'Data shares'!$C:$FB,67)</f>
        <v>29720000</v>
      </c>
      <c r="F138" s="50">
        <f>VLOOKUP($A138,'Data shares'!$C:$FB,69)*100</f>
        <v>26.6</v>
      </c>
      <c r="G138" s="49">
        <f>VLOOKUP($A138,'Data shares'!$C:$FB,42)</f>
        <v>9499375</v>
      </c>
      <c r="H138" s="49">
        <f>VLOOKUP($A138,'Data shares'!$C:$FB,43)</f>
        <v>4480000</v>
      </c>
      <c r="I138" s="50">
        <f>VLOOKUP($A138,'Data shares'!$C:$FB,45)*100</f>
        <v>112.04</v>
      </c>
      <c r="J138" s="49">
        <f>VLOOKUP($A138,'Data shares'!$C:$FB,58)</f>
        <v>18701875</v>
      </c>
      <c r="K138" s="49">
        <f>VLOOKUP($A138,'Data shares'!$C:$FB,59)</f>
        <v>14675625</v>
      </c>
      <c r="L138" s="50">
        <f>VLOOKUP($A138,'Data shares'!$C:$FB,61)*100</f>
        <v>27.43</v>
      </c>
      <c r="M138" s="49">
        <f>VLOOKUP($A138,'Data shares'!$C:$FB,62)</f>
        <v>9423125</v>
      </c>
      <c r="N138" s="49">
        <f>VLOOKUP($A138,'Data shares'!$C:$FB,63)</f>
        <v>10564375</v>
      </c>
      <c r="O138" s="140">
        <f>VLOOKUP($A138,'Data shares'!$C:$FB,65)*100</f>
        <v>-10.8</v>
      </c>
    </row>
    <row r="139" spans="1:15" x14ac:dyDescent="0.25">
      <c r="A139" s="101" t="str">
        <f>'Data Vlaue (Cr)'!C134</f>
        <v>MFSL</v>
      </c>
      <c r="B139" s="50">
        <f>VLOOKUP($A139,'Data shares'!$C:$FB,7)</f>
        <v>1595.4</v>
      </c>
      <c r="C139" s="50">
        <f>VLOOKUP($A139,'Data shares'!$C:$FB,10)*100</f>
        <v>-1.97</v>
      </c>
      <c r="D139" s="49">
        <f>VLOOKUP($A139,'Data shares'!$C:$FB,66)</f>
        <v>6814000</v>
      </c>
      <c r="E139" s="49">
        <f>VLOOKUP($A139,'Data shares'!$C:$FB,67)</f>
        <v>2901600</v>
      </c>
      <c r="F139" s="50">
        <f>VLOOKUP($A139,'Data shares'!$C:$FB,69)*100</f>
        <v>134.84</v>
      </c>
      <c r="G139" s="49">
        <f>VLOOKUP($A139,'Data shares'!$C:$FB,42)</f>
        <v>5075200</v>
      </c>
      <c r="H139" s="49">
        <f>VLOOKUP($A139,'Data shares'!$C:$FB,43)</f>
        <v>1232800</v>
      </c>
      <c r="I139" s="50">
        <f>VLOOKUP($A139,'Data shares'!$C:$FB,45)*100</f>
        <v>311.68</v>
      </c>
      <c r="J139" s="49">
        <f>VLOOKUP($A139,'Data shares'!$C:$FB,58)</f>
        <v>1240400</v>
      </c>
      <c r="K139" s="49">
        <f>VLOOKUP($A139,'Data shares'!$C:$FB,59)</f>
        <v>1139600</v>
      </c>
      <c r="L139" s="50">
        <f>VLOOKUP($A139,'Data shares'!$C:$FB,61)*100</f>
        <v>8.85</v>
      </c>
      <c r="M139" s="49">
        <f>VLOOKUP($A139,'Data shares'!$C:$FB,62)</f>
        <v>498400</v>
      </c>
      <c r="N139" s="49">
        <f>VLOOKUP($A139,'Data shares'!$C:$FB,63)</f>
        <v>529200</v>
      </c>
      <c r="O139" s="140">
        <f>VLOOKUP($A139,'Data shares'!$C:$FB,65)*100</f>
        <v>-5.82</v>
      </c>
    </row>
    <row r="140" spans="1:15" x14ac:dyDescent="0.25">
      <c r="A140" s="101" t="str">
        <f>'Data Vlaue (Cr)'!C135</f>
        <v>MIDCPNIFTY</v>
      </c>
      <c r="B140" s="50">
        <f>VLOOKUP($A140,'Data shares'!$C:$FB,7)</f>
        <v>13848.55</v>
      </c>
      <c r="C140" s="50">
        <f>VLOOKUP($A140,'Data shares'!$C:$FB,10)*100</f>
        <v>-0.65</v>
      </c>
      <c r="D140" s="49">
        <f>VLOOKUP($A140,'Data shares'!$C:$FB,66)</f>
        <v>44863680</v>
      </c>
      <c r="E140" s="49">
        <f>VLOOKUP($A140,'Data shares'!$C:$FB,67)</f>
        <v>41111880</v>
      </c>
      <c r="F140" s="50">
        <f>VLOOKUP($A140,'Data shares'!$C:$FB,69)*100</f>
        <v>9.1300000000000008</v>
      </c>
      <c r="G140" s="49">
        <f>VLOOKUP($A140,'Data shares'!$C:$FB,42)</f>
        <v>1134000</v>
      </c>
      <c r="H140" s="49">
        <f>VLOOKUP($A140,'Data shares'!$C:$FB,43)</f>
        <v>567960</v>
      </c>
      <c r="I140" s="50">
        <f>VLOOKUP($A140,'Data shares'!$C:$FB,45)*100</f>
        <v>99.660000000000011</v>
      </c>
      <c r="J140" s="49">
        <f>VLOOKUP($A140,'Data shares'!$C:$FB,58)</f>
        <v>21647160</v>
      </c>
      <c r="K140" s="49">
        <f>VLOOKUP($A140,'Data shares'!$C:$FB,59)</f>
        <v>19135080</v>
      </c>
      <c r="L140" s="50">
        <f>VLOOKUP($A140,'Data shares'!$C:$FB,61)*100</f>
        <v>13.13</v>
      </c>
      <c r="M140" s="49">
        <f>VLOOKUP($A140,'Data shares'!$C:$FB,62)</f>
        <v>22082520</v>
      </c>
      <c r="N140" s="49">
        <f>VLOOKUP($A140,'Data shares'!$C:$FB,63)</f>
        <v>21408840</v>
      </c>
      <c r="O140" s="140">
        <f>VLOOKUP($A140,'Data shares'!$C:$FB,65)*100</f>
        <v>3.15</v>
      </c>
    </row>
    <row r="141" spans="1:15" x14ac:dyDescent="0.25">
      <c r="A141" s="101" t="str">
        <f>'Data Vlaue (Cr)'!C136</f>
        <v>MOTHERSON</v>
      </c>
      <c r="B141" s="50">
        <f>VLOOKUP($A141,'Data shares'!$C:$FB,7)</f>
        <v>127.22</v>
      </c>
      <c r="C141" s="50">
        <f>VLOOKUP($A141,'Data shares'!$C:$FB,10)*100</f>
        <v>-3.45</v>
      </c>
      <c r="D141" s="49">
        <f>VLOOKUP($A141,'Data shares'!$C:$FB,66)</f>
        <v>208669500</v>
      </c>
      <c r="E141" s="49">
        <f>VLOOKUP($A141,'Data shares'!$C:$FB,67)</f>
        <v>291872850</v>
      </c>
      <c r="F141" s="50">
        <f>VLOOKUP($A141,'Data shares'!$C:$FB,69)*100</f>
        <v>-28.51</v>
      </c>
      <c r="G141" s="49">
        <f>VLOOKUP($A141,'Data shares'!$C:$FB,42)</f>
        <v>98117100</v>
      </c>
      <c r="H141" s="49">
        <f>VLOOKUP($A141,'Data shares'!$C:$FB,43)</f>
        <v>48910950</v>
      </c>
      <c r="I141" s="50">
        <f>VLOOKUP($A141,'Data shares'!$C:$FB,45)*100</f>
        <v>100.6</v>
      </c>
      <c r="J141" s="49">
        <f>VLOOKUP($A141,'Data shares'!$C:$FB,58)</f>
        <v>65688150</v>
      </c>
      <c r="K141" s="49">
        <f>VLOOKUP($A141,'Data shares'!$C:$FB,59)</f>
        <v>171726450</v>
      </c>
      <c r="L141" s="50">
        <f>VLOOKUP($A141,'Data shares'!$C:$FB,61)*100</f>
        <v>-61.750000000000007</v>
      </c>
      <c r="M141" s="49">
        <f>VLOOKUP($A141,'Data shares'!$C:$FB,62)</f>
        <v>44864250</v>
      </c>
      <c r="N141" s="49">
        <f>VLOOKUP($A141,'Data shares'!$C:$FB,63)</f>
        <v>71235450</v>
      </c>
      <c r="O141" s="140">
        <f>VLOOKUP($A141,'Data shares'!$C:$FB,65)*100</f>
        <v>-37.019999999999996</v>
      </c>
    </row>
    <row r="142" spans="1:15" x14ac:dyDescent="0.25">
      <c r="A142" s="101" t="str">
        <f>'Data Vlaue (Cr)'!C137</f>
        <v>MOTILALOFS</v>
      </c>
      <c r="B142" s="50">
        <f>VLOOKUP($A142,'Data shares'!$C:$FB,7)</f>
        <v>790.85</v>
      </c>
      <c r="C142" s="50">
        <f>VLOOKUP($A142,'Data shares'!$C:$FB,10)*100</f>
        <v>-2.5100000000000002</v>
      </c>
      <c r="D142" s="49">
        <f>VLOOKUP($A142,'Data shares'!$C:$FB,66)</f>
        <v>11762175</v>
      </c>
      <c r="E142" s="49">
        <f>VLOOKUP($A142,'Data shares'!$C:$FB,67)</f>
        <v>5166925</v>
      </c>
      <c r="F142" s="50">
        <f>VLOOKUP($A142,'Data shares'!$C:$FB,69)*100</f>
        <v>127.64</v>
      </c>
      <c r="G142" s="49">
        <f>VLOOKUP($A142,'Data shares'!$C:$FB,42)</f>
        <v>2973675</v>
      </c>
      <c r="H142" s="49">
        <f>VLOOKUP($A142,'Data shares'!$C:$FB,43)</f>
        <v>494450</v>
      </c>
      <c r="I142" s="50">
        <f>VLOOKUP($A142,'Data shares'!$C:$FB,45)*100</f>
        <v>501.41</v>
      </c>
      <c r="J142" s="49">
        <f>VLOOKUP($A142,'Data shares'!$C:$FB,58)</f>
        <v>4626750</v>
      </c>
      <c r="K142" s="49">
        <f>VLOOKUP($A142,'Data shares'!$C:$FB,59)</f>
        <v>1439175</v>
      </c>
      <c r="L142" s="50">
        <f>VLOOKUP($A142,'Data shares'!$C:$FB,61)*100</f>
        <v>221.49</v>
      </c>
      <c r="M142" s="49">
        <f>VLOOKUP($A142,'Data shares'!$C:$FB,62)</f>
        <v>4161750</v>
      </c>
      <c r="N142" s="49">
        <f>VLOOKUP($A142,'Data shares'!$C:$FB,63)</f>
        <v>3233300</v>
      </c>
      <c r="O142" s="140">
        <f>VLOOKUP($A142,'Data shares'!$C:$FB,65)*100</f>
        <v>28.720000000000002</v>
      </c>
    </row>
    <row r="143" spans="1:15" x14ac:dyDescent="0.25">
      <c r="A143" s="101" t="str">
        <f>'Data Vlaue (Cr)'!C138</f>
        <v>MPHASIS</v>
      </c>
      <c r="B143" s="50">
        <f>VLOOKUP($A143,'Data shares'!$C:$FB,7)</f>
        <v>2277</v>
      </c>
      <c r="C143" s="50">
        <f>VLOOKUP($A143,'Data shares'!$C:$FB,10)*100</f>
        <v>-2.3199999999999998</v>
      </c>
      <c r="D143" s="49">
        <f>VLOOKUP($A143,'Data shares'!$C:$FB,66)</f>
        <v>5360025</v>
      </c>
      <c r="E143" s="49">
        <f>VLOOKUP($A143,'Data shares'!$C:$FB,67)</f>
        <v>4797100</v>
      </c>
      <c r="F143" s="50">
        <f>VLOOKUP($A143,'Data shares'!$C:$FB,69)*100</f>
        <v>11.73</v>
      </c>
      <c r="G143" s="49">
        <f>VLOOKUP($A143,'Data shares'!$C:$FB,42)</f>
        <v>3223275</v>
      </c>
      <c r="H143" s="49">
        <f>VLOOKUP($A143,'Data shares'!$C:$FB,43)</f>
        <v>1531200</v>
      </c>
      <c r="I143" s="50">
        <f>VLOOKUP($A143,'Data shares'!$C:$FB,45)*100</f>
        <v>110.50999999999999</v>
      </c>
      <c r="J143" s="49">
        <f>VLOOKUP($A143,'Data shares'!$C:$FB,58)</f>
        <v>1328525</v>
      </c>
      <c r="K143" s="49">
        <f>VLOOKUP($A143,'Data shares'!$C:$FB,59)</f>
        <v>1743500</v>
      </c>
      <c r="L143" s="50">
        <f>VLOOKUP($A143,'Data shares'!$C:$FB,61)*100</f>
        <v>-23.799999999999997</v>
      </c>
      <c r="M143" s="49">
        <f>VLOOKUP($A143,'Data shares'!$C:$FB,62)</f>
        <v>808225</v>
      </c>
      <c r="N143" s="49">
        <f>VLOOKUP($A143,'Data shares'!$C:$FB,63)</f>
        <v>1522400</v>
      </c>
      <c r="O143" s="140">
        <f>VLOOKUP($A143,'Data shares'!$C:$FB,65)*100</f>
        <v>-46.910000000000004</v>
      </c>
    </row>
    <row r="144" spans="1:15" x14ac:dyDescent="0.25">
      <c r="A144" s="101" t="str">
        <f>'Data Vlaue (Cr)'!C139</f>
        <v>MUTHOOTFIN</v>
      </c>
      <c r="B144" s="50">
        <f>VLOOKUP($A144,'Data shares'!$C:$FB,7)</f>
        <v>3561.4</v>
      </c>
      <c r="C144" s="50">
        <f>VLOOKUP($A144,'Data shares'!$C:$FB,10)*100</f>
        <v>-0.71000000000000008</v>
      </c>
      <c r="D144" s="49">
        <f>VLOOKUP($A144,'Data shares'!$C:$FB,66)</f>
        <v>6516675</v>
      </c>
      <c r="E144" s="49">
        <f>VLOOKUP($A144,'Data shares'!$C:$FB,67)</f>
        <v>8513725</v>
      </c>
      <c r="F144" s="50">
        <f>VLOOKUP($A144,'Data shares'!$C:$FB,69)*100</f>
        <v>-23.46</v>
      </c>
      <c r="G144" s="49">
        <f>VLOOKUP($A144,'Data shares'!$C:$FB,42)</f>
        <v>2677950</v>
      </c>
      <c r="H144" s="49">
        <f>VLOOKUP($A144,'Data shares'!$C:$FB,43)</f>
        <v>1189100</v>
      </c>
      <c r="I144" s="50">
        <f>VLOOKUP($A144,'Data shares'!$C:$FB,45)*100</f>
        <v>125.21</v>
      </c>
      <c r="J144" s="49">
        <f>VLOOKUP($A144,'Data shares'!$C:$FB,58)</f>
        <v>2387825</v>
      </c>
      <c r="K144" s="49">
        <f>VLOOKUP($A144,'Data shares'!$C:$FB,59)</f>
        <v>5390275</v>
      </c>
      <c r="L144" s="50">
        <f>VLOOKUP($A144,'Data shares'!$C:$FB,61)*100</f>
        <v>-55.7</v>
      </c>
      <c r="M144" s="49">
        <f>VLOOKUP($A144,'Data shares'!$C:$FB,62)</f>
        <v>1450900</v>
      </c>
      <c r="N144" s="49">
        <f>VLOOKUP($A144,'Data shares'!$C:$FB,63)</f>
        <v>1934350</v>
      </c>
      <c r="O144" s="140">
        <f>VLOOKUP($A144,'Data shares'!$C:$FB,65)*100</f>
        <v>-24.990000000000002</v>
      </c>
    </row>
    <row r="145" spans="1:15" x14ac:dyDescent="0.25">
      <c r="A145" s="101" t="str">
        <f>'Data Vlaue (Cr)'!C140</f>
        <v>NAM-INDIA</v>
      </c>
      <c r="B145" s="50">
        <f>VLOOKUP($A145,'Data shares'!$C:$FB,7)</f>
        <v>1031.95</v>
      </c>
      <c r="C145" s="50">
        <f>VLOOKUP($A145,'Data shares'!$C:$FB,10)*100</f>
        <v>-2.6599999999999997</v>
      </c>
      <c r="D145" s="49">
        <f>VLOOKUP($A145,'Data shares'!$C:$FB,66)</f>
        <v>6230000</v>
      </c>
      <c r="E145" s="49">
        <f>VLOOKUP($A145,'Data shares'!$C:$FB,67)</f>
        <v>4043750</v>
      </c>
      <c r="F145" s="50">
        <f>VLOOKUP($A145,'Data shares'!$C:$FB,69)*100</f>
        <v>54.059999999999995</v>
      </c>
      <c r="G145" s="49">
        <f>VLOOKUP($A145,'Data shares'!$C:$FB,42)</f>
        <v>3538750</v>
      </c>
      <c r="H145" s="49">
        <f>VLOOKUP($A145,'Data shares'!$C:$FB,43)</f>
        <v>1280000</v>
      </c>
      <c r="I145" s="50">
        <f>VLOOKUP($A145,'Data shares'!$C:$FB,45)*100</f>
        <v>176.46</v>
      </c>
      <c r="J145" s="49">
        <f>VLOOKUP($A145,'Data shares'!$C:$FB,58)</f>
        <v>1126250</v>
      </c>
      <c r="K145" s="49">
        <f>VLOOKUP($A145,'Data shares'!$C:$FB,59)</f>
        <v>1495000</v>
      </c>
      <c r="L145" s="50">
        <f>VLOOKUP($A145,'Data shares'!$C:$FB,61)*100</f>
        <v>-24.67</v>
      </c>
      <c r="M145" s="49">
        <f>VLOOKUP($A145,'Data shares'!$C:$FB,62)</f>
        <v>1565000</v>
      </c>
      <c r="N145" s="49">
        <f>VLOOKUP($A145,'Data shares'!$C:$FB,63)</f>
        <v>1268750</v>
      </c>
      <c r="O145" s="140">
        <f>VLOOKUP($A145,'Data shares'!$C:$FB,65)*100</f>
        <v>23.35</v>
      </c>
    </row>
    <row r="146" spans="1:15" x14ac:dyDescent="0.25">
      <c r="A146" s="101" t="str">
        <f>'Data Vlaue (Cr)'!C141</f>
        <v>NATIONALUM</v>
      </c>
      <c r="B146" s="50">
        <f>VLOOKUP($A146,'Data shares'!$C:$FB,7)</f>
        <v>439.25</v>
      </c>
      <c r="C146" s="50">
        <f>VLOOKUP($A146,'Data shares'!$C:$FB,10)*100</f>
        <v>0.76</v>
      </c>
      <c r="D146" s="49">
        <f>VLOOKUP($A146,'Data shares'!$C:$FB,66)</f>
        <v>131321250</v>
      </c>
      <c r="E146" s="49">
        <f>VLOOKUP($A146,'Data shares'!$C:$FB,67)</f>
        <v>153337500</v>
      </c>
      <c r="F146" s="50">
        <f>VLOOKUP($A146,'Data shares'!$C:$FB,69)*100</f>
        <v>-14.360000000000001</v>
      </c>
      <c r="G146" s="49">
        <f>VLOOKUP($A146,'Data shares'!$C:$FB,42)</f>
        <v>36592500</v>
      </c>
      <c r="H146" s="49">
        <f>VLOOKUP($A146,'Data shares'!$C:$FB,43)</f>
        <v>27498750</v>
      </c>
      <c r="I146" s="50">
        <f>VLOOKUP($A146,'Data shares'!$C:$FB,45)*100</f>
        <v>33.07</v>
      </c>
      <c r="J146" s="49">
        <f>VLOOKUP($A146,'Data shares'!$C:$FB,58)</f>
        <v>61428750</v>
      </c>
      <c r="K146" s="49">
        <f>VLOOKUP($A146,'Data shares'!$C:$FB,59)</f>
        <v>84330000</v>
      </c>
      <c r="L146" s="50">
        <f>VLOOKUP($A146,'Data shares'!$C:$FB,61)*100</f>
        <v>-27.16</v>
      </c>
      <c r="M146" s="49">
        <f>VLOOKUP($A146,'Data shares'!$C:$FB,62)</f>
        <v>33300000</v>
      </c>
      <c r="N146" s="49">
        <f>VLOOKUP($A146,'Data shares'!$C:$FB,63)</f>
        <v>41508750</v>
      </c>
      <c r="O146" s="140">
        <f>VLOOKUP($A146,'Data shares'!$C:$FB,65)*100</f>
        <v>-19.78</v>
      </c>
    </row>
    <row r="147" spans="1:15" x14ac:dyDescent="0.25">
      <c r="A147" s="101" t="str">
        <f>'Data Vlaue (Cr)'!C142</f>
        <v>NAUKRI</v>
      </c>
      <c r="B147" s="50">
        <f>VLOOKUP($A147,'Data shares'!$C:$FB,7)</f>
        <v>1018.05</v>
      </c>
      <c r="C147" s="50">
        <f>VLOOKUP($A147,'Data shares'!$C:$FB,10)*100</f>
        <v>-3.29</v>
      </c>
      <c r="D147" s="49">
        <f>VLOOKUP($A147,'Data shares'!$C:$FB,66)</f>
        <v>18528000</v>
      </c>
      <c r="E147" s="49">
        <f>VLOOKUP($A147,'Data shares'!$C:$FB,67)</f>
        <v>8414625</v>
      </c>
      <c r="F147" s="50">
        <f>VLOOKUP($A147,'Data shares'!$C:$FB,69)*100</f>
        <v>120.19</v>
      </c>
      <c r="G147" s="49">
        <f>VLOOKUP($A147,'Data shares'!$C:$FB,42)</f>
        <v>8465625</v>
      </c>
      <c r="H147" s="49">
        <f>VLOOKUP($A147,'Data shares'!$C:$FB,43)</f>
        <v>2304750</v>
      </c>
      <c r="I147" s="50">
        <f>VLOOKUP($A147,'Data shares'!$C:$FB,45)*100</f>
        <v>267.31</v>
      </c>
      <c r="J147" s="49">
        <f>VLOOKUP($A147,'Data shares'!$C:$FB,58)</f>
        <v>6165750</v>
      </c>
      <c r="K147" s="49">
        <f>VLOOKUP($A147,'Data shares'!$C:$FB,59)</f>
        <v>3846375</v>
      </c>
      <c r="L147" s="50">
        <f>VLOOKUP($A147,'Data shares'!$C:$FB,61)*100</f>
        <v>60.3</v>
      </c>
      <c r="M147" s="49">
        <f>VLOOKUP($A147,'Data shares'!$C:$FB,62)</f>
        <v>3896625</v>
      </c>
      <c r="N147" s="49">
        <f>VLOOKUP($A147,'Data shares'!$C:$FB,63)</f>
        <v>2263500</v>
      </c>
      <c r="O147" s="140">
        <f>VLOOKUP($A147,'Data shares'!$C:$FB,65)*100</f>
        <v>72.150000000000006</v>
      </c>
    </row>
    <row r="148" spans="1:15" x14ac:dyDescent="0.25">
      <c r="A148" s="101" t="str">
        <f>'Data Vlaue (Cr)'!C143</f>
        <v>NBCC</v>
      </c>
      <c r="B148" s="50">
        <f>VLOOKUP($A148,'Data shares'!$C:$FB,7)</f>
        <v>93.31</v>
      </c>
      <c r="C148" s="50">
        <f>VLOOKUP($A148,'Data shares'!$C:$FB,10)*100</f>
        <v>-0.94000000000000006</v>
      </c>
      <c r="D148" s="49">
        <f>VLOOKUP($A148,'Data shares'!$C:$FB,66)</f>
        <v>73365500</v>
      </c>
      <c r="E148" s="49">
        <f>VLOOKUP($A148,'Data shares'!$C:$FB,67)</f>
        <v>32188000</v>
      </c>
      <c r="F148" s="50">
        <f>VLOOKUP($A148,'Data shares'!$C:$FB,69)*100</f>
        <v>127.93</v>
      </c>
      <c r="G148" s="49">
        <f>VLOOKUP($A148,'Data shares'!$C:$FB,42)</f>
        <v>58825000</v>
      </c>
      <c r="H148" s="49">
        <f>VLOOKUP($A148,'Data shares'!$C:$FB,43)</f>
        <v>13383500</v>
      </c>
      <c r="I148" s="50">
        <f>VLOOKUP($A148,'Data shares'!$C:$FB,45)*100</f>
        <v>339.53000000000003</v>
      </c>
      <c r="J148" s="49">
        <f>VLOOKUP($A148,'Data shares'!$C:$FB,58)</f>
        <v>11043500</v>
      </c>
      <c r="K148" s="49">
        <f>VLOOKUP($A148,'Data shares'!$C:$FB,59)</f>
        <v>13903500</v>
      </c>
      <c r="L148" s="50">
        <f>VLOOKUP($A148,'Data shares'!$C:$FB,61)*100</f>
        <v>-20.57</v>
      </c>
      <c r="M148" s="49">
        <f>VLOOKUP($A148,'Data shares'!$C:$FB,62)</f>
        <v>3497000</v>
      </c>
      <c r="N148" s="49">
        <f>VLOOKUP($A148,'Data shares'!$C:$FB,63)</f>
        <v>4901000</v>
      </c>
      <c r="O148" s="140">
        <f>VLOOKUP($A148,'Data shares'!$C:$FB,65)*100</f>
        <v>-28.65</v>
      </c>
    </row>
    <row r="149" spans="1:15" x14ac:dyDescent="0.25">
      <c r="A149" s="101" t="str">
        <f>'Data Vlaue (Cr)'!C144</f>
        <v>NESTLEIND</v>
      </c>
      <c r="B149" s="50">
        <f>VLOOKUP($A149,'Data shares'!$C:$FB,7)</f>
        <v>1410.5</v>
      </c>
      <c r="C149" s="50">
        <f>VLOOKUP($A149,'Data shares'!$C:$FB,10)*100</f>
        <v>1.05</v>
      </c>
      <c r="D149" s="49">
        <f>VLOOKUP($A149,'Data shares'!$C:$FB,66)</f>
        <v>41264000</v>
      </c>
      <c r="E149" s="49">
        <f>VLOOKUP($A149,'Data shares'!$C:$FB,67)</f>
        <v>131672500</v>
      </c>
      <c r="F149" s="50">
        <f>VLOOKUP($A149,'Data shares'!$C:$FB,69)*100</f>
        <v>-68.66</v>
      </c>
      <c r="G149" s="49">
        <f>VLOOKUP($A149,'Data shares'!$C:$FB,42)</f>
        <v>11357000</v>
      </c>
      <c r="H149" s="49">
        <f>VLOOKUP($A149,'Data shares'!$C:$FB,43)</f>
        <v>10211000</v>
      </c>
      <c r="I149" s="50">
        <f>VLOOKUP($A149,'Data shares'!$C:$FB,45)*100</f>
        <v>11.219999999999999</v>
      </c>
      <c r="J149" s="49">
        <f>VLOOKUP($A149,'Data shares'!$C:$FB,58)</f>
        <v>19553500</v>
      </c>
      <c r="K149" s="49">
        <f>VLOOKUP($A149,'Data shares'!$C:$FB,59)</f>
        <v>85279000</v>
      </c>
      <c r="L149" s="50">
        <f>VLOOKUP($A149,'Data shares'!$C:$FB,61)*100</f>
        <v>-77.070000000000007</v>
      </c>
      <c r="M149" s="49">
        <f>VLOOKUP($A149,'Data shares'!$C:$FB,62)</f>
        <v>10353500</v>
      </c>
      <c r="N149" s="49">
        <f>VLOOKUP($A149,'Data shares'!$C:$FB,63)</f>
        <v>36182500</v>
      </c>
      <c r="O149" s="140">
        <f>VLOOKUP($A149,'Data shares'!$C:$FB,65)*100</f>
        <v>-71.39</v>
      </c>
    </row>
    <row r="150" spans="1:15" x14ac:dyDescent="0.25">
      <c r="A150" s="101" t="str">
        <f>'Data Vlaue (Cr)'!C145</f>
        <v>NHPC</v>
      </c>
      <c r="B150" s="50">
        <f>VLOOKUP($A150,'Data shares'!$C:$FB,7)</f>
        <v>81.459999999999994</v>
      </c>
      <c r="C150" s="50">
        <f>VLOOKUP($A150,'Data shares'!$C:$FB,10)*100</f>
        <v>-1.4200000000000002</v>
      </c>
      <c r="D150" s="49">
        <f>VLOOKUP($A150,'Data shares'!$C:$FB,66)</f>
        <v>154476800</v>
      </c>
      <c r="E150" s="49">
        <f>VLOOKUP($A150,'Data shares'!$C:$FB,67)</f>
        <v>59961600</v>
      </c>
      <c r="F150" s="50">
        <f>VLOOKUP($A150,'Data shares'!$C:$FB,69)*100</f>
        <v>157.63</v>
      </c>
      <c r="G150" s="49">
        <f>VLOOKUP($A150,'Data shares'!$C:$FB,42)</f>
        <v>87750400</v>
      </c>
      <c r="H150" s="49">
        <f>VLOOKUP($A150,'Data shares'!$C:$FB,43)</f>
        <v>15379200</v>
      </c>
      <c r="I150" s="50">
        <f>VLOOKUP($A150,'Data shares'!$C:$FB,45)*100</f>
        <v>470.58</v>
      </c>
      <c r="J150" s="49">
        <f>VLOOKUP($A150,'Data shares'!$C:$FB,58)</f>
        <v>38560000</v>
      </c>
      <c r="K150" s="49">
        <f>VLOOKUP($A150,'Data shares'!$C:$FB,59)</f>
        <v>30483200</v>
      </c>
      <c r="L150" s="50">
        <f>VLOOKUP($A150,'Data shares'!$C:$FB,61)*100</f>
        <v>26.5</v>
      </c>
      <c r="M150" s="49">
        <f>VLOOKUP($A150,'Data shares'!$C:$FB,62)</f>
        <v>28166400</v>
      </c>
      <c r="N150" s="49">
        <f>VLOOKUP($A150,'Data shares'!$C:$FB,63)</f>
        <v>14099200</v>
      </c>
      <c r="O150" s="140">
        <f>VLOOKUP($A150,'Data shares'!$C:$FB,65)*100</f>
        <v>99.77000000000001</v>
      </c>
    </row>
    <row r="151" spans="1:15" x14ac:dyDescent="0.25">
      <c r="A151" s="101" t="str">
        <f>'Data Vlaue (Cr)'!C146</f>
        <v>NIFTY</v>
      </c>
      <c r="B151" s="50">
        <f>VLOOKUP($A151,'Data shares'!$C:$FB,7)</f>
        <v>24173.05</v>
      </c>
      <c r="C151" s="50">
        <f>VLOOKUP($A151,'Data shares'!$C:$FB,10)*100</f>
        <v>-0.84</v>
      </c>
      <c r="D151" s="49">
        <f>VLOOKUP($A151,'Data shares'!$C:$FB,66)</f>
        <v>2482675715</v>
      </c>
      <c r="E151" s="49">
        <f>VLOOKUP($A151,'Data shares'!$C:$FB,67)</f>
        <v>2256948720</v>
      </c>
      <c r="F151" s="50">
        <f>VLOOKUP($A151,'Data shares'!$C:$FB,69)*100</f>
        <v>10</v>
      </c>
      <c r="G151" s="49">
        <f>VLOOKUP($A151,'Data shares'!$C:$FB,42)</f>
        <v>8435440</v>
      </c>
      <c r="H151" s="49">
        <f>VLOOKUP($A151,'Data shares'!$C:$FB,43)</f>
        <v>4816240</v>
      </c>
      <c r="I151" s="50">
        <f>VLOOKUP($A151,'Data shares'!$C:$FB,45)*100</f>
        <v>75.149999999999991</v>
      </c>
      <c r="J151" s="49">
        <f>VLOOKUP($A151,'Data shares'!$C:$FB,58)</f>
        <v>1316605420</v>
      </c>
      <c r="K151" s="49">
        <f>VLOOKUP($A151,'Data shares'!$C:$FB,59)</f>
        <v>1111096090</v>
      </c>
      <c r="L151" s="50">
        <f>VLOOKUP($A151,'Data shares'!$C:$FB,61)*100</f>
        <v>18.5</v>
      </c>
      <c r="M151" s="49">
        <f>VLOOKUP($A151,'Data shares'!$C:$FB,62)</f>
        <v>1157634855</v>
      </c>
      <c r="N151" s="49">
        <f>VLOOKUP($A151,'Data shares'!$C:$FB,63)</f>
        <v>1141036390</v>
      </c>
      <c r="O151" s="140">
        <f>VLOOKUP($A151,'Data shares'!$C:$FB,65)*100</f>
        <v>1.4500000000000002</v>
      </c>
    </row>
    <row r="152" spans="1:15" x14ac:dyDescent="0.25">
      <c r="A152" s="101" t="str">
        <f>'Data Vlaue (Cr)'!C147</f>
        <v>NIFTYNXT50</v>
      </c>
      <c r="B152" s="50">
        <f>VLOOKUP($A152,'Data shares'!$C:$FB,7)</f>
        <v>70410.350000000006</v>
      </c>
      <c r="C152" s="50">
        <f>VLOOKUP($A152,'Data shares'!$C:$FB,10)*100</f>
        <v>-1.31</v>
      </c>
      <c r="D152" s="49">
        <f>VLOOKUP($A152,'Data shares'!$C:$FB,66)</f>
        <v>29550</v>
      </c>
      <c r="E152" s="49">
        <f>VLOOKUP($A152,'Data shares'!$C:$FB,67)</f>
        <v>38225</v>
      </c>
      <c r="F152" s="50">
        <f>VLOOKUP($A152,'Data shares'!$C:$FB,69)*100</f>
        <v>-22.689999999999998</v>
      </c>
      <c r="G152" s="49">
        <f>VLOOKUP($A152,'Data shares'!$C:$FB,42)</f>
        <v>9575</v>
      </c>
      <c r="H152" s="49">
        <f>VLOOKUP($A152,'Data shares'!$C:$FB,43)</f>
        <v>8500</v>
      </c>
      <c r="I152" s="50">
        <f>VLOOKUP($A152,'Data shares'!$C:$FB,45)*100</f>
        <v>12.65</v>
      </c>
      <c r="J152" s="49">
        <f>VLOOKUP($A152,'Data shares'!$C:$FB,58)</f>
        <v>11325</v>
      </c>
      <c r="K152" s="49">
        <f>VLOOKUP($A152,'Data shares'!$C:$FB,59)</f>
        <v>16300</v>
      </c>
      <c r="L152" s="50">
        <f>VLOOKUP($A152,'Data shares'!$C:$FB,61)*100</f>
        <v>-30.520000000000003</v>
      </c>
      <c r="M152" s="49">
        <f>VLOOKUP($A152,'Data shares'!$C:$FB,62)</f>
        <v>8650</v>
      </c>
      <c r="N152" s="49">
        <f>VLOOKUP($A152,'Data shares'!$C:$FB,63)</f>
        <v>13425</v>
      </c>
      <c r="O152" s="140">
        <f>VLOOKUP($A152,'Data shares'!$C:$FB,65)*100</f>
        <v>-35.57</v>
      </c>
    </row>
    <row r="153" spans="1:15" x14ac:dyDescent="0.25">
      <c r="A153" s="101" t="str">
        <f>'Data Vlaue (Cr)'!C148</f>
        <v>NMDC</v>
      </c>
      <c r="B153" s="50">
        <f>VLOOKUP($A153,'Data shares'!$C:$FB,7)</f>
        <v>87.31</v>
      </c>
      <c r="C153" s="50">
        <f>VLOOKUP($A153,'Data shares'!$C:$FB,10)*100</f>
        <v>-1.44</v>
      </c>
      <c r="D153" s="49">
        <f>VLOOKUP($A153,'Data shares'!$C:$FB,66)</f>
        <v>192091500</v>
      </c>
      <c r="E153" s="49">
        <f>VLOOKUP($A153,'Data shares'!$C:$FB,67)</f>
        <v>162128250</v>
      </c>
      <c r="F153" s="50">
        <f>VLOOKUP($A153,'Data shares'!$C:$FB,69)*100</f>
        <v>18.48</v>
      </c>
      <c r="G153" s="49">
        <f>VLOOKUP($A153,'Data shares'!$C:$FB,42)</f>
        <v>94351500</v>
      </c>
      <c r="H153" s="49">
        <f>VLOOKUP($A153,'Data shares'!$C:$FB,43)</f>
        <v>44806500</v>
      </c>
      <c r="I153" s="50">
        <f>VLOOKUP($A153,'Data shares'!$C:$FB,45)*100</f>
        <v>110.57999999999998</v>
      </c>
      <c r="J153" s="49">
        <f>VLOOKUP($A153,'Data shares'!$C:$FB,58)</f>
        <v>72535500</v>
      </c>
      <c r="K153" s="49">
        <f>VLOOKUP($A153,'Data shares'!$C:$FB,59)</f>
        <v>84793500</v>
      </c>
      <c r="L153" s="50">
        <f>VLOOKUP($A153,'Data shares'!$C:$FB,61)*100</f>
        <v>-14.46</v>
      </c>
      <c r="M153" s="49">
        <f>VLOOKUP($A153,'Data shares'!$C:$FB,62)</f>
        <v>25204500</v>
      </c>
      <c r="N153" s="49">
        <f>VLOOKUP($A153,'Data shares'!$C:$FB,63)</f>
        <v>32528250</v>
      </c>
      <c r="O153" s="140">
        <f>VLOOKUP($A153,'Data shares'!$C:$FB,65)*100</f>
        <v>-22.52</v>
      </c>
    </row>
    <row r="154" spans="1:15" x14ac:dyDescent="0.25">
      <c r="A154" s="101" t="str">
        <f>'Data Vlaue (Cr)'!C149</f>
        <v>NTPC</v>
      </c>
      <c r="B154" s="50">
        <f>VLOOKUP($A154,'Data shares'!$C:$FB,7)</f>
        <v>402.25</v>
      </c>
      <c r="C154" s="50">
        <f>VLOOKUP($A154,'Data shares'!$C:$FB,10)*100</f>
        <v>-0.77999999999999992</v>
      </c>
      <c r="D154" s="49">
        <f>VLOOKUP($A154,'Data shares'!$C:$FB,66)</f>
        <v>164421000</v>
      </c>
      <c r="E154" s="49">
        <f>VLOOKUP($A154,'Data shares'!$C:$FB,67)</f>
        <v>264457500</v>
      </c>
      <c r="F154" s="50">
        <f>VLOOKUP($A154,'Data shares'!$C:$FB,69)*100</f>
        <v>-37.830000000000005</v>
      </c>
      <c r="G154" s="49">
        <f>VLOOKUP($A154,'Data shares'!$C:$FB,42)</f>
        <v>45064500</v>
      </c>
      <c r="H154" s="49">
        <f>VLOOKUP($A154,'Data shares'!$C:$FB,43)</f>
        <v>26143500</v>
      </c>
      <c r="I154" s="50">
        <f>VLOOKUP($A154,'Data shares'!$C:$FB,45)*100</f>
        <v>72.37</v>
      </c>
      <c r="J154" s="49">
        <f>VLOOKUP($A154,'Data shares'!$C:$FB,58)</f>
        <v>73684500</v>
      </c>
      <c r="K154" s="49">
        <f>VLOOKUP($A154,'Data shares'!$C:$FB,59)</f>
        <v>158659500</v>
      </c>
      <c r="L154" s="50">
        <f>VLOOKUP($A154,'Data shares'!$C:$FB,61)*100</f>
        <v>-53.559999999999995</v>
      </c>
      <c r="M154" s="49">
        <f>VLOOKUP($A154,'Data shares'!$C:$FB,62)</f>
        <v>45672000</v>
      </c>
      <c r="N154" s="49">
        <f>VLOOKUP($A154,'Data shares'!$C:$FB,63)</f>
        <v>79654500</v>
      </c>
      <c r="O154" s="140">
        <f>VLOOKUP($A154,'Data shares'!$C:$FB,65)*100</f>
        <v>-42.66</v>
      </c>
    </row>
    <row r="155" spans="1:15" x14ac:dyDescent="0.25">
      <c r="A155" s="101" t="str">
        <f>'Data Vlaue (Cr)'!C150</f>
        <v>NUVAMA</v>
      </c>
      <c r="B155" s="50">
        <f>VLOOKUP($A155,'Data shares'!$C:$FB,7)</f>
        <v>1376.7</v>
      </c>
      <c r="C155" s="50">
        <f>VLOOKUP($A155,'Data shares'!$C:$FB,10)*100</f>
        <v>0.36</v>
      </c>
      <c r="D155" s="49">
        <f>VLOOKUP($A155,'Data shares'!$C:$FB,66)</f>
        <v>2958500</v>
      </c>
      <c r="E155" s="49">
        <f>VLOOKUP($A155,'Data shares'!$C:$FB,67)</f>
        <v>2094500</v>
      </c>
      <c r="F155" s="50">
        <f>VLOOKUP($A155,'Data shares'!$C:$FB,69)*100</f>
        <v>41.25</v>
      </c>
      <c r="G155" s="49">
        <f>VLOOKUP($A155,'Data shares'!$C:$FB,42)</f>
        <v>1735500</v>
      </c>
      <c r="H155" s="49">
        <f>VLOOKUP($A155,'Data shares'!$C:$FB,43)</f>
        <v>592000</v>
      </c>
      <c r="I155" s="50">
        <f>VLOOKUP($A155,'Data shares'!$C:$FB,45)*100</f>
        <v>193.16</v>
      </c>
      <c r="J155" s="49">
        <f>VLOOKUP($A155,'Data shares'!$C:$FB,58)</f>
        <v>679500</v>
      </c>
      <c r="K155" s="49">
        <f>VLOOKUP($A155,'Data shares'!$C:$FB,59)</f>
        <v>937500</v>
      </c>
      <c r="L155" s="50">
        <f>VLOOKUP($A155,'Data shares'!$C:$FB,61)*100</f>
        <v>-27.52</v>
      </c>
      <c r="M155" s="49">
        <f>VLOOKUP($A155,'Data shares'!$C:$FB,62)</f>
        <v>543500</v>
      </c>
      <c r="N155" s="49">
        <f>VLOOKUP($A155,'Data shares'!$C:$FB,63)</f>
        <v>565000</v>
      </c>
      <c r="O155" s="140">
        <f>VLOOKUP($A155,'Data shares'!$C:$FB,65)*100</f>
        <v>-3.81</v>
      </c>
    </row>
    <row r="156" spans="1:15" x14ac:dyDescent="0.25">
      <c r="A156" s="101" t="str">
        <f>'Data Vlaue (Cr)'!C151</f>
        <v>NYKAA</v>
      </c>
      <c r="B156" s="50">
        <f>VLOOKUP($A156,'Data shares'!$C:$FB,7)</f>
        <v>261.85000000000002</v>
      </c>
      <c r="C156" s="50">
        <f>VLOOKUP($A156,'Data shares'!$C:$FB,10)*100</f>
        <v>0.73</v>
      </c>
      <c r="D156" s="49">
        <f>VLOOKUP($A156,'Data shares'!$C:$FB,66)</f>
        <v>38787500</v>
      </c>
      <c r="E156" s="49">
        <f>VLOOKUP($A156,'Data shares'!$C:$FB,67)</f>
        <v>23540625</v>
      </c>
      <c r="F156" s="50">
        <f>VLOOKUP($A156,'Data shares'!$C:$FB,69)*100</f>
        <v>64.77000000000001</v>
      </c>
      <c r="G156" s="49">
        <f>VLOOKUP($A156,'Data shares'!$C:$FB,42)</f>
        <v>25950000</v>
      </c>
      <c r="H156" s="49">
        <f>VLOOKUP($A156,'Data shares'!$C:$FB,43)</f>
        <v>9331250</v>
      </c>
      <c r="I156" s="50">
        <f>VLOOKUP($A156,'Data shares'!$C:$FB,45)*100</f>
        <v>178.1</v>
      </c>
      <c r="J156" s="49">
        <f>VLOOKUP($A156,'Data shares'!$C:$FB,58)</f>
        <v>9790625</v>
      </c>
      <c r="K156" s="49">
        <f>VLOOKUP($A156,'Data shares'!$C:$FB,59)</f>
        <v>9512500</v>
      </c>
      <c r="L156" s="50">
        <f>VLOOKUP($A156,'Data shares'!$C:$FB,61)*100</f>
        <v>2.92</v>
      </c>
      <c r="M156" s="49">
        <f>VLOOKUP($A156,'Data shares'!$C:$FB,62)</f>
        <v>3046875</v>
      </c>
      <c r="N156" s="49">
        <f>VLOOKUP($A156,'Data shares'!$C:$FB,63)</f>
        <v>4696875</v>
      </c>
      <c r="O156" s="140">
        <f>VLOOKUP($A156,'Data shares'!$C:$FB,65)*100</f>
        <v>-35.130000000000003</v>
      </c>
    </row>
    <row r="157" spans="1:15" x14ac:dyDescent="0.25">
      <c r="A157" s="101" t="str">
        <f>'Data Vlaue (Cr)'!C152</f>
        <v>OBEROIRLTY</v>
      </c>
      <c r="B157" s="50">
        <f>VLOOKUP($A157,'Data shares'!$C:$FB,7)</f>
        <v>1707.7</v>
      </c>
      <c r="C157" s="50">
        <f>VLOOKUP($A157,'Data shares'!$C:$FB,10)*100</f>
        <v>-1.49</v>
      </c>
      <c r="D157" s="49">
        <f>VLOOKUP($A157,'Data shares'!$C:$FB,66)</f>
        <v>7348250</v>
      </c>
      <c r="E157" s="49">
        <f>VLOOKUP($A157,'Data shares'!$C:$FB,67)</f>
        <v>2790200</v>
      </c>
      <c r="F157" s="50">
        <f>VLOOKUP($A157,'Data shares'!$C:$FB,69)*100</f>
        <v>163.35999999999999</v>
      </c>
      <c r="G157" s="49">
        <f>VLOOKUP($A157,'Data shares'!$C:$FB,42)</f>
        <v>5759950</v>
      </c>
      <c r="H157" s="49">
        <f>VLOOKUP($A157,'Data shares'!$C:$FB,43)</f>
        <v>772450</v>
      </c>
      <c r="I157" s="50">
        <f>VLOOKUP($A157,'Data shares'!$C:$FB,45)*100</f>
        <v>645.66999999999996</v>
      </c>
      <c r="J157" s="49">
        <f>VLOOKUP($A157,'Data shares'!$C:$FB,58)</f>
        <v>822500</v>
      </c>
      <c r="K157" s="49">
        <f>VLOOKUP($A157,'Data shares'!$C:$FB,59)</f>
        <v>1483300</v>
      </c>
      <c r="L157" s="50">
        <f>VLOOKUP($A157,'Data shares'!$C:$FB,61)*100</f>
        <v>-44.55</v>
      </c>
      <c r="M157" s="49">
        <f>VLOOKUP($A157,'Data shares'!$C:$FB,62)</f>
        <v>765800</v>
      </c>
      <c r="N157" s="49">
        <f>VLOOKUP($A157,'Data shares'!$C:$FB,63)</f>
        <v>534450</v>
      </c>
      <c r="O157" s="140">
        <f>VLOOKUP($A157,'Data shares'!$C:$FB,65)*100</f>
        <v>43.29</v>
      </c>
    </row>
    <row r="158" spans="1:15" x14ac:dyDescent="0.25">
      <c r="A158" s="101" t="str">
        <f>'Data Vlaue (Cr)'!C153</f>
        <v>OFSS</v>
      </c>
      <c r="B158" s="50">
        <f>VLOOKUP($A158,'Data shares'!$C:$FB,7)</f>
        <v>8791.5</v>
      </c>
      <c r="C158" s="50">
        <f>VLOOKUP($A158,'Data shares'!$C:$FB,10)*100</f>
        <v>8.18</v>
      </c>
      <c r="D158" s="49">
        <f>VLOOKUP($A158,'Data shares'!$C:$FB,66)</f>
        <v>35901825</v>
      </c>
      <c r="E158" s="49">
        <f>VLOOKUP($A158,'Data shares'!$C:$FB,67)</f>
        <v>8512275</v>
      </c>
      <c r="F158" s="50">
        <f>VLOOKUP($A158,'Data shares'!$C:$FB,69)*100</f>
        <v>321.77</v>
      </c>
      <c r="G158" s="49">
        <f>VLOOKUP($A158,'Data shares'!$C:$FB,42)</f>
        <v>3056325</v>
      </c>
      <c r="H158" s="49">
        <f>VLOOKUP($A158,'Data shares'!$C:$FB,43)</f>
        <v>997500</v>
      </c>
      <c r="I158" s="50">
        <f>VLOOKUP($A158,'Data shares'!$C:$FB,45)*100</f>
        <v>206.4</v>
      </c>
      <c r="J158" s="49">
        <f>VLOOKUP($A158,'Data shares'!$C:$FB,58)</f>
        <v>23946900</v>
      </c>
      <c r="K158" s="49">
        <f>VLOOKUP($A158,'Data shares'!$C:$FB,59)</f>
        <v>4438725</v>
      </c>
      <c r="L158" s="50">
        <f>VLOOKUP($A158,'Data shares'!$C:$FB,61)*100</f>
        <v>439.49999999999994</v>
      </c>
      <c r="M158" s="49">
        <f>VLOOKUP($A158,'Data shares'!$C:$FB,62)</f>
        <v>8898600</v>
      </c>
      <c r="N158" s="49">
        <f>VLOOKUP($A158,'Data shares'!$C:$FB,63)</f>
        <v>3076050</v>
      </c>
      <c r="O158" s="140">
        <f>VLOOKUP($A158,'Data shares'!$C:$FB,65)*100</f>
        <v>189.29</v>
      </c>
    </row>
    <row r="159" spans="1:15" x14ac:dyDescent="0.25">
      <c r="A159" s="101" t="str">
        <f>'Data Vlaue (Cr)'!C154</f>
        <v>OIL</v>
      </c>
      <c r="B159" s="50">
        <f>VLOOKUP($A159,'Data shares'!$C:$FB,7)</f>
        <v>473.9</v>
      </c>
      <c r="C159" s="50">
        <f>VLOOKUP($A159,'Data shares'!$C:$FB,10)*100</f>
        <v>0.88</v>
      </c>
      <c r="D159" s="49">
        <f>VLOOKUP($A159,'Data shares'!$C:$FB,66)</f>
        <v>43031800</v>
      </c>
      <c r="E159" s="49">
        <f>VLOOKUP($A159,'Data shares'!$C:$FB,67)</f>
        <v>17109400</v>
      </c>
      <c r="F159" s="50">
        <f>VLOOKUP($A159,'Data shares'!$C:$FB,69)*100</f>
        <v>151.51</v>
      </c>
      <c r="G159" s="49">
        <f>VLOOKUP($A159,'Data shares'!$C:$FB,42)</f>
        <v>14595000</v>
      </c>
      <c r="H159" s="49">
        <f>VLOOKUP($A159,'Data shares'!$C:$FB,43)</f>
        <v>3925600</v>
      </c>
      <c r="I159" s="50">
        <f>VLOOKUP($A159,'Data shares'!$C:$FB,45)*100</f>
        <v>271.79000000000002</v>
      </c>
      <c r="J159" s="49">
        <f>VLOOKUP($A159,'Data shares'!$C:$FB,58)</f>
        <v>23550800</v>
      </c>
      <c r="K159" s="49">
        <f>VLOOKUP($A159,'Data shares'!$C:$FB,59)</f>
        <v>10418800</v>
      </c>
      <c r="L159" s="50">
        <f>VLOOKUP($A159,'Data shares'!$C:$FB,61)*100</f>
        <v>126.03999999999999</v>
      </c>
      <c r="M159" s="49">
        <f>VLOOKUP($A159,'Data shares'!$C:$FB,62)</f>
        <v>4886000</v>
      </c>
      <c r="N159" s="49">
        <f>VLOOKUP($A159,'Data shares'!$C:$FB,63)</f>
        <v>2765000</v>
      </c>
      <c r="O159" s="140">
        <f>VLOOKUP($A159,'Data shares'!$C:$FB,65)*100</f>
        <v>76.709999999999994</v>
      </c>
    </row>
    <row r="160" spans="1:15" x14ac:dyDescent="0.25">
      <c r="A160" s="101" t="str">
        <f>'Data Vlaue (Cr)'!C155</f>
        <v>ONGC</v>
      </c>
      <c r="B160" s="50">
        <f>VLOOKUP($A160,'Data shares'!$C:$FB,7)</f>
        <v>286.25</v>
      </c>
      <c r="C160" s="50">
        <f>VLOOKUP($A160,'Data shares'!$C:$FB,10)*100</f>
        <v>0.91999999999999993</v>
      </c>
      <c r="D160" s="49">
        <f>VLOOKUP($A160,'Data shares'!$C:$FB,66)</f>
        <v>241596000</v>
      </c>
      <c r="E160" s="49">
        <f>VLOOKUP($A160,'Data shares'!$C:$FB,67)</f>
        <v>89622000</v>
      </c>
      <c r="F160" s="50">
        <f>VLOOKUP($A160,'Data shares'!$C:$FB,69)*100</f>
        <v>169.57</v>
      </c>
      <c r="G160" s="49">
        <f>VLOOKUP($A160,'Data shares'!$C:$FB,42)</f>
        <v>55023750</v>
      </c>
      <c r="H160" s="49">
        <f>VLOOKUP($A160,'Data shares'!$C:$FB,43)</f>
        <v>9713250</v>
      </c>
      <c r="I160" s="50">
        <f>VLOOKUP($A160,'Data shares'!$C:$FB,45)*100</f>
        <v>466.47999999999996</v>
      </c>
      <c r="J160" s="49">
        <f>VLOOKUP($A160,'Data shares'!$C:$FB,58)</f>
        <v>140724000</v>
      </c>
      <c r="K160" s="49">
        <f>VLOOKUP($A160,'Data shares'!$C:$FB,59)</f>
        <v>57177000</v>
      </c>
      <c r="L160" s="50">
        <f>VLOOKUP($A160,'Data shares'!$C:$FB,61)*100</f>
        <v>146.12</v>
      </c>
      <c r="M160" s="49">
        <f>VLOOKUP($A160,'Data shares'!$C:$FB,62)</f>
        <v>45848250</v>
      </c>
      <c r="N160" s="49">
        <f>VLOOKUP($A160,'Data shares'!$C:$FB,63)</f>
        <v>22731750</v>
      </c>
      <c r="O160" s="140">
        <f>VLOOKUP($A160,'Data shares'!$C:$FB,65)*100</f>
        <v>101.69</v>
      </c>
    </row>
    <row r="161" spans="1:15" x14ac:dyDescent="0.25">
      <c r="A161" s="101" t="str">
        <f>'Data Vlaue (Cr)'!C156</f>
        <v>PAGEIND</v>
      </c>
      <c r="B161" s="50">
        <f>VLOOKUP($A161,'Data shares'!$C:$FB,7)</f>
        <v>37965</v>
      </c>
      <c r="C161" s="50">
        <f>VLOOKUP($A161,'Data shares'!$C:$FB,10)*100</f>
        <v>0.28999999999999998</v>
      </c>
      <c r="D161" s="49">
        <f>VLOOKUP($A161,'Data shares'!$C:$FB,66)</f>
        <v>420795</v>
      </c>
      <c r="E161" s="49">
        <f>VLOOKUP($A161,'Data shares'!$C:$FB,67)</f>
        <v>126315</v>
      </c>
      <c r="F161" s="50">
        <f>VLOOKUP($A161,'Data shares'!$C:$FB,69)*100</f>
        <v>233.13000000000002</v>
      </c>
      <c r="G161" s="49">
        <f>VLOOKUP($A161,'Data shares'!$C:$FB,42)</f>
        <v>258180</v>
      </c>
      <c r="H161" s="49">
        <f>VLOOKUP($A161,'Data shares'!$C:$FB,43)</f>
        <v>33105</v>
      </c>
      <c r="I161" s="50">
        <f>VLOOKUP($A161,'Data shares'!$C:$FB,45)*100</f>
        <v>679.88</v>
      </c>
      <c r="J161" s="49">
        <f>VLOOKUP($A161,'Data shares'!$C:$FB,58)</f>
        <v>51915</v>
      </c>
      <c r="K161" s="49">
        <f>VLOOKUP($A161,'Data shares'!$C:$FB,59)</f>
        <v>37425</v>
      </c>
      <c r="L161" s="50">
        <f>VLOOKUP($A161,'Data shares'!$C:$FB,61)*100</f>
        <v>38.72</v>
      </c>
      <c r="M161" s="49">
        <f>VLOOKUP($A161,'Data shares'!$C:$FB,62)</f>
        <v>110700</v>
      </c>
      <c r="N161" s="49">
        <f>VLOOKUP($A161,'Data shares'!$C:$FB,63)</f>
        <v>55785</v>
      </c>
      <c r="O161" s="140">
        <f>VLOOKUP($A161,'Data shares'!$C:$FB,65)*100</f>
        <v>98.440000000000012</v>
      </c>
    </row>
    <row r="162" spans="1:15" x14ac:dyDescent="0.25">
      <c r="A162" s="101" t="str">
        <f>'Data Vlaue (Cr)'!C157</f>
        <v>PATANJALI</v>
      </c>
      <c r="B162" s="50">
        <f>VLOOKUP($A162,'Data shares'!$C:$FB,7)</f>
        <v>469.25</v>
      </c>
      <c r="C162" s="50">
        <f>VLOOKUP($A162,'Data shares'!$C:$FB,10)*100</f>
        <v>-0.6</v>
      </c>
      <c r="D162" s="49">
        <f>VLOOKUP($A162,'Data shares'!$C:$FB,66)</f>
        <v>23202900</v>
      </c>
      <c r="E162" s="49">
        <f>VLOOKUP($A162,'Data shares'!$C:$FB,67)</f>
        <v>19026900</v>
      </c>
      <c r="F162" s="50">
        <f>VLOOKUP($A162,'Data shares'!$C:$FB,69)*100</f>
        <v>21.95</v>
      </c>
      <c r="G162" s="49">
        <f>VLOOKUP($A162,'Data shares'!$C:$FB,42)</f>
        <v>15125400</v>
      </c>
      <c r="H162" s="49">
        <f>VLOOKUP($A162,'Data shares'!$C:$FB,43)</f>
        <v>5722200</v>
      </c>
      <c r="I162" s="50">
        <f>VLOOKUP($A162,'Data shares'!$C:$FB,45)*100</f>
        <v>164.32999999999998</v>
      </c>
      <c r="J162" s="49">
        <f>VLOOKUP($A162,'Data shares'!$C:$FB,58)</f>
        <v>6849900</v>
      </c>
      <c r="K162" s="49">
        <f>VLOOKUP($A162,'Data shares'!$C:$FB,59)</f>
        <v>10800000</v>
      </c>
      <c r="L162" s="50">
        <f>VLOOKUP($A162,'Data shares'!$C:$FB,61)*100</f>
        <v>-36.58</v>
      </c>
      <c r="M162" s="49">
        <f>VLOOKUP($A162,'Data shares'!$C:$FB,62)</f>
        <v>1227600</v>
      </c>
      <c r="N162" s="49">
        <f>VLOOKUP($A162,'Data shares'!$C:$FB,63)</f>
        <v>2504700</v>
      </c>
      <c r="O162" s="140">
        <f>VLOOKUP($A162,'Data shares'!$C:$FB,65)*100</f>
        <v>-50.99</v>
      </c>
    </row>
    <row r="163" spans="1:15" x14ac:dyDescent="0.25">
      <c r="A163" s="101" t="str">
        <f>'Data Vlaue (Cr)'!C158</f>
        <v>PAYTM</v>
      </c>
      <c r="B163" s="50">
        <f>VLOOKUP($A163,'Data shares'!$C:$FB,7)</f>
        <v>1159.55</v>
      </c>
      <c r="C163" s="50">
        <f>VLOOKUP($A163,'Data shares'!$C:$FB,10)*100</f>
        <v>-0.22</v>
      </c>
      <c r="D163" s="49">
        <f>VLOOKUP($A163,'Data shares'!$C:$FB,66)</f>
        <v>17178875</v>
      </c>
      <c r="E163" s="49">
        <f>VLOOKUP($A163,'Data shares'!$C:$FB,67)</f>
        <v>14314400</v>
      </c>
      <c r="F163" s="50">
        <f>VLOOKUP($A163,'Data shares'!$C:$FB,69)*100</f>
        <v>20.010000000000002</v>
      </c>
      <c r="G163" s="49">
        <f>VLOOKUP($A163,'Data shares'!$C:$FB,42)</f>
        <v>8098250</v>
      </c>
      <c r="H163" s="49">
        <f>VLOOKUP($A163,'Data shares'!$C:$FB,43)</f>
        <v>3359650</v>
      </c>
      <c r="I163" s="50">
        <f>VLOOKUP($A163,'Data shares'!$C:$FB,45)*100</f>
        <v>141.04000000000002</v>
      </c>
      <c r="J163" s="49">
        <f>VLOOKUP($A163,'Data shares'!$C:$FB,58)</f>
        <v>5593375</v>
      </c>
      <c r="K163" s="49">
        <f>VLOOKUP($A163,'Data shares'!$C:$FB,59)</f>
        <v>5015550</v>
      </c>
      <c r="L163" s="50">
        <f>VLOOKUP($A163,'Data shares'!$C:$FB,61)*100</f>
        <v>11.52</v>
      </c>
      <c r="M163" s="49">
        <f>VLOOKUP($A163,'Data shares'!$C:$FB,62)</f>
        <v>3487250</v>
      </c>
      <c r="N163" s="49">
        <f>VLOOKUP($A163,'Data shares'!$C:$FB,63)</f>
        <v>5939200</v>
      </c>
      <c r="O163" s="140">
        <f>VLOOKUP($A163,'Data shares'!$C:$FB,65)*100</f>
        <v>-41.28</v>
      </c>
    </row>
    <row r="164" spans="1:15" x14ac:dyDescent="0.25">
      <c r="A164" s="101" t="str">
        <f>'Data Vlaue (Cr)'!C159</f>
        <v>PERSISTENT</v>
      </c>
      <c r="B164" s="50">
        <f>VLOOKUP($A164,'Data shares'!$C:$FB,7)</f>
        <v>5065.2</v>
      </c>
      <c r="C164" s="50">
        <f>VLOOKUP($A164,'Data shares'!$C:$FB,10)*100</f>
        <v>-0.16</v>
      </c>
      <c r="D164" s="49">
        <f>VLOOKUP($A164,'Data shares'!$C:$FB,66)</f>
        <v>12611500</v>
      </c>
      <c r="E164" s="49">
        <f>VLOOKUP($A164,'Data shares'!$C:$FB,67)</f>
        <v>22157500</v>
      </c>
      <c r="F164" s="50">
        <f>VLOOKUP($A164,'Data shares'!$C:$FB,69)*100</f>
        <v>-43.08</v>
      </c>
      <c r="G164" s="49">
        <f>VLOOKUP($A164,'Data shares'!$C:$FB,42)</f>
        <v>4265200</v>
      </c>
      <c r="H164" s="49">
        <f>VLOOKUP($A164,'Data shares'!$C:$FB,43)</f>
        <v>3106300</v>
      </c>
      <c r="I164" s="50">
        <f>VLOOKUP($A164,'Data shares'!$C:$FB,45)*100</f>
        <v>37.31</v>
      </c>
      <c r="J164" s="49">
        <f>VLOOKUP($A164,'Data shares'!$C:$FB,58)</f>
        <v>5670900</v>
      </c>
      <c r="K164" s="49">
        <f>VLOOKUP($A164,'Data shares'!$C:$FB,59)</f>
        <v>11025200</v>
      </c>
      <c r="L164" s="50">
        <f>VLOOKUP($A164,'Data shares'!$C:$FB,61)*100</f>
        <v>-48.559999999999995</v>
      </c>
      <c r="M164" s="49">
        <f>VLOOKUP($A164,'Data shares'!$C:$FB,62)</f>
        <v>2675400</v>
      </c>
      <c r="N164" s="49">
        <f>VLOOKUP($A164,'Data shares'!$C:$FB,63)</f>
        <v>8026000</v>
      </c>
      <c r="O164" s="140">
        <f>VLOOKUP($A164,'Data shares'!$C:$FB,65)*100</f>
        <v>-66.67</v>
      </c>
    </row>
    <row r="165" spans="1:15" x14ac:dyDescent="0.25">
      <c r="A165" s="101" t="str">
        <f>'Data Vlaue (Cr)'!C160</f>
        <v>PETRONET</v>
      </c>
      <c r="B165" s="50">
        <f>VLOOKUP($A165,'Data shares'!$C:$FB,7)</f>
        <v>275.81</v>
      </c>
      <c r="C165" s="50">
        <f>VLOOKUP($A165,'Data shares'!$C:$FB,10)*100</f>
        <v>-1.34</v>
      </c>
      <c r="D165" s="49">
        <f>VLOOKUP($A165,'Data shares'!$C:$FB,66)</f>
        <v>46874900</v>
      </c>
      <c r="E165" s="49">
        <f>VLOOKUP($A165,'Data shares'!$C:$FB,67)</f>
        <v>21042500</v>
      </c>
      <c r="F165" s="50">
        <f>VLOOKUP($A165,'Data shares'!$C:$FB,69)*100</f>
        <v>122.76</v>
      </c>
      <c r="G165" s="49">
        <f>VLOOKUP($A165,'Data shares'!$C:$FB,42)</f>
        <v>29959200</v>
      </c>
      <c r="H165" s="49">
        <f>VLOOKUP($A165,'Data shares'!$C:$FB,43)</f>
        <v>4713900</v>
      </c>
      <c r="I165" s="50">
        <f>VLOOKUP($A165,'Data shares'!$C:$FB,45)*100</f>
        <v>535.55000000000007</v>
      </c>
      <c r="J165" s="49">
        <f>VLOOKUP($A165,'Data shares'!$C:$FB,58)</f>
        <v>11097900</v>
      </c>
      <c r="K165" s="49">
        <f>VLOOKUP($A165,'Data shares'!$C:$FB,59)</f>
        <v>11909200</v>
      </c>
      <c r="L165" s="50">
        <f>VLOOKUP($A165,'Data shares'!$C:$FB,61)*100</f>
        <v>-6.81</v>
      </c>
      <c r="M165" s="49">
        <f>VLOOKUP($A165,'Data shares'!$C:$FB,62)</f>
        <v>5817800</v>
      </c>
      <c r="N165" s="49">
        <f>VLOOKUP($A165,'Data shares'!$C:$FB,63)</f>
        <v>4419400</v>
      </c>
      <c r="O165" s="140">
        <f>VLOOKUP($A165,'Data shares'!$C:$FB,65)*100</f>
        <v>31.64</v>
      </c>
    </row>
    <row r="166" spans="1:15" x14ac:dyDescent="0.25">
      <c r="A166" s="101" t="str">
        <f>'Data Vlaue (Cr)'!C161</f>
        <v>PFC</v>
      </c>
      <c r="B166" s="50">
        <f>VLOOKUP($A166,'Data shares'!$C:$FB,7)</f>
        <v>469.8</v>
      </c>
      <c r="C166" s="50">
        <f>VLOOKUP($A166,'Data shares'!$C:$FB,10)*100</f>
        <v>-0.11</v>
      </c>
      <c r="D166" s="49">
        <f>VLOOKUP($A166,'Data shares'!$C:$FB,66)</f>
        <v>67886000</v>
      </c>
      <c r="E166" s="49">
        <f>VLOOKUP($A166,'Data shares'!$C:$FB,67)</f>
        <v>55874000</v>
      </c>
      <c r="F166" s="50">
        <f>VLOOKUP($A166,'Data shares'!$C:$FB,69)*100</f>
        <v>21.5</v>
      </c>
      <c r="G166" s="49">
        <f>VLOOKUP($A166,'Data shares'!$C:$FB,42)</f>
        <v>29833700</v>
      </c>
      <c r="H166" s="49">
        <f>VLOOKUP($A166,'Data shares'!$C:$FB,43)</f>
        <v>12140700</v>
      </c>
      <c r="I166" s="50">
        <f>VLOOKUP($A166,'Data shares'!$C:$FB,45)*100</f>
        <v>145.73000000000002</v>
      </c>
      <c r="J166" s="49">
        <f>VLOOKUP($A166,'Data shares'!$C:$FB,58)</f>
        <v>26044200</v>
      </c>
      <c r="K166" s="49">
        <f>VLOOKUP($A166,'Data shares'!$C:$FB,59)</f>
        <v>28670200</v>
      </c>
      <c r="L166" s="50">
        <f>VLOOKUP($A166,'Data shares'!$C:$FB,61)*100</f>
        <v>-9.16</v>
      </c>
      <c r="M166" s="49">
        <f>VLOOKUP($A166,'Data shares'!$C:$FB,62)</f>
        <v>12008100</v>
      </c>
      <c r="N166" s="49">
        <f>VLOOKUP($A166,'Data shares'!$C:$FB,63)</f>
        <v>15063100</v>
      </c>
      <c r="O166" s="140">
        <f>VLOOKUP($A166,'Data shares'!$C:$FB,65)*100</f>
        <v>-20.28</v>
      </c>
    </row>
    <row r="167" spans="1:15" x14ac:dyDescent="0.25">
      <c r="A167" s="101" t="str">
        <f>'Data Vlaue (Cr)'!C162</f>
        <v>PGEL</v>
      </c>
      <c r="B167" s="50">
        <f>VLOOKUP($A167,'Data shares'!$C:$FB,7)</f>
        <v>550.5</v>
      </c>
      <c r="C167" s="50">
        <f>VLOOKUP($A167,'Data shares'!$C:$FB,10)*100</f>
        <v>-3.19</v>
      </c>
      <c r="D167" s="49">
        <f>VLOOKUP($A167,'Data shares'!$C:$FB,66)</f>
        <v>37278000</v>
      </c>
      <c r="E167" s="49">
        <f>VLOOKUP($A167,'Data shares'!$C:$FB,67)</f>
        <v>28043050</v>
      </c>
      <c r="F167" s="50">
        <f>VLOOKUP($A167,'Data shares'!$C:$FB,69)*100</f>
        <v>32.93</v>
      </c>
      <c r="G167" s="49">
        <f>VLOOKUP($A167,'Data shares'!$C:$FB,42)</f>
        <v>14170200</v>
      </c>
      <c r="H167" s="49">
        <f>VLOOKUP($A167,'Data shares'!$C:$FB,43)</f>
        <v>5246850</v>
      </c>
      <c r="I167" s="50">
        <f>VLOOKUP($A167,'Data shares'!$C:$FB,45)*100</f>
        <v>170.07000000000002</v>
      </c>
      <c r="J167" s="49">
        <f>VLOOKUP($A167,'Data shares'!$C:$FB,58)</f>
        <v>11557700</v>
      </c>
      <c r="K167" s="49">
        <f>VLOOKUP($A167,'Data shares'!$C:$FB,59)</f>
        <v>13442500</v>
      </c>
      <c r="L167" s="50">
        <f>VLOOKUP($A167,'Data shares'!$C:$FB,61)*100</f>
        <v>-14.02</v>
      </c>
      <c r="M167" s="49">
        <f>VLOOKUP($A167,'Data shares'!$C:$FB,62)</f>
        <v>11550100</v>
      </c>
      <c r="N167" s="49">
        <f>VLOOKUP($A167,'Data shares'!$C:$FB,63)</f>
        <v>9353700</v>
      </c>
      <c r="O167" s="140">
        <f>VLOOKUP($A167,'Data shares'!$C:$FB,65)*100</f>
        <v>23.48</v>
      </c>
    </row>
    <row r="168" spans="1:15" x14ac:dyDescent="0.25">
      <c r="A168" s="101" t="str">
        <f>'Data Vlaue (Cr)'!C163</f>
        <v>PHOENIXLTD</v>
      </c>
      <c r="B168" s="50">
        <f>VLOOKUP($A168,'Data shares'!$C:$FB,7)</f>
        <v>1785.3</v>
      </c>
      <c r="C168" s="50">
        <f>VLOOKUP($A168,'Data shares'!$C:$FB,10)*100</f>
        <v>-1.3299999999999998</v>
      </c>
      <c r="D168" s="49">
        <f>VLOOKUP($A168,'Data shares'!$C:$FB,66)</f>
        <v>5319650</v>
      </c>
      <c r="E168" s="49">
        <f>VLOOKUP($A168,'Data shares'!$C:$FB,67)</f>
        <v>1519000</v>
      </c>
      <c r="F168" s="50">
        <f>VLOOKUP($A168,'Data shares'!$C:$FB,69)*100</f>
        <v>250.21</v>
      </c>
      <c r="G168" s="49">
        <f>VLOOKUP($A168,'Data shares'!$C:$FB,42)</f>
        <v>2472050</v>
      </c>
      <c r="H168" s="49">
        <f>VLOOKUP($A168,'Data shares'!$C:$FB,43)</f>
        <v>281750</v>
      </c>
      <c r="I168" s="50">
        <f>VLOOKUP($A168,'Data shares'!$C:$FB,45)*100</f>
        <v>777.39</v>
      </c>
      <c r="J168" s="49">
        <f>VLOOKUP($A168,'Data shares'!$C:$FB,58)</f>
        <v>870100</v>
      </c>
      <c r="K168" s="49">
        <f>VLOOKUP($A168,'Data shares'!$C:$FB,59)</f>
        <v>911750</v>
      </c>
      <c r="L168" s="50">
        <f>VLOOKUP($A168,'Data shares'!$C:$FB,61)*100</f>
        <v>-4.5699999999999994</v>
      </c>
      <c r="M168" s="49">
        <f>VLOOKUP($A168,'Data shares'!$C:$FB,62)</f>
        <v>1977500</v>
      </c>
      <c r="N168" s="49">
        <f>VLOOKUP($A168,'Data shares'!$C:$FB,63)</f>
        <v>325500</v>
      </c>
      <c r="O168" s="140">
        <f>VLOOKUP($A168,'Data shares'!$C:$FB,65)*100</f>
        <v>507.53000000000003</v>
      </c>
    </row>
    <row r="169" spans="1:15" x14ac:dyDescent="0.25">
      <c r="A169" s="101" t="str">
        <f>'Data Vlaue (Cr)'!C164</f>
        <v>PIDILITIND</v>
      </c>
      <c r="B169" s="50">
        <f>VLOOKUP($A169,'Data shares'!$C:$FB,7)</f>
        <v>1402.1</v>
      </c>
      <c r="C169" s="50">
        <f>VLOOKUP($A169,'Data shares'!$C:$FB,10)*100</f>
        <v>-1.1900000000000002</v>
      </c>
      <c r="D169" s="49">
        <f>VLOOKUP($A169,'Data shares'!$C:$FB,66)</f>
        <v>8380500</v>
      </c>
      <c r="E169" s="49">
        <f>VLOOKUP($A169,'Data shares'!$C:$FB,67)</f>
        <v>4062500</v>
      </c>
      <c r="F169" s="50">
        <f>VLOOKUP($A169,'Data shares'!$C:$FB,69)*100</f>
        <v>106.28999999999999</v>
      </c>
      <c r="G169" s="49">
        <f>VLOOKUP($A169,'Data shares'!$C:$FB,42)</f>
        <v>6005000</v>
      </c>
      <c r="H169" s="49">
        <f>VLOOKUP($A169,'Data shares'!$C:$FB,43)</f>
        <v>1030000</v>
      </c>
      <c r="I169" s="50">
        <f>VLOOKUP($A169,'Data shares'!$C:$FB,45)*100</f>
        <v>483.01</v>
      </c>
      <c r="J169" s="49">
        <f>VLOOKUP($A169,'Data shares'!$C:$FB,58)</f>
        <v>1410000</v>
      </c>
      <c r="K169" s="49">
        <f>VLOOKUP($A169,'Data shares'!$C:$FB,59)</f>
        <v>1907000</v>
      </c>
      <c r="L169" s="50">
        <f>VLOOKUP($A169,'Data shares'!$C:$FB,61)*100</f>
        <v>-26.06</v>
      </c>
      <c r="M169" s="49">
        <f>VLOOKUP($A169,'Data shares'!$C:$FB,62)</f>
        <v>965500</v>
      </c>
      <c r="N169" s="49">
        <f>VLOOKUP($A169,'Data shares'!$C:$FB,63)</f>
        <v>1125500</v>
      </c>
      <c r="O169" s="140">
        <f>VLOOKUP($A169,'Data shares'!$C:$FB,65)*100</f>
        <v>-14.219999999999999</v>
      </c>
    </row>
    <row r="170" spans="1:15" x14ac:dyDescent="0.25">
      <c r="A170" s="101" t="str">
        <f>'Data Vlaue (Cr)'!C165</f>
        <v>PIIND</v>
      </c>
      <c r="B170" s="50">
        <f>VLOOKUP($A170,'Data shares'!$C:$FB,7)</f>
        <v>3069.6</v>
      </c>
      <c r="C170" s="50">
        <f>VLOOKUP($A170,'Data shares'!$C:$FB,10)*100</f>
        <v>0.4</v>
      </c>
      <c r="D170" s="49">
        <f>VLOOKUP($A170,'Data shares'!$C:$FB,66)</f>
        <v>3928750</v>
      </c>
      <c r="E170" s="49">
        <f>VLOOKUP($A170,'Data shares'!$C:$FB,67)</f>
        <v>1477525</v>
      </c>
      <c r="F170" s="50">
        <f>VLOOKUP($A170,'Data shares'!$C:$FB,69)*100</f>
        <v>165.9</v>
      </c>
      <c r="G170" s="49">
        <f>VLOOKUP($A170,'Data shares'!$C:$FB,42)</f>
        <v>2209025</v>
      </c>
      <c r="H170" s="49">
        <f>VLOOKUP($A170,'Data shares'!$C:$FB,43)</f>
        <v>362425</v>
      </c>
      <c r="I170" s="50">
        <f>VLOOKUP($A170,'Data shares'!$C:$FB,45)*100</f>
        <v>509.51000000000005</v>
      </c>
      <c r="J170" s="49">
        <f>VLOOKUP($A170,'Data shares'!$C:$FB,58)</f>
        <v>1169700</v>
      </c>
      <c r="K170" s="49">
        <f>VLOOKUP($A170,'Data shares'!$C:$FB,59)</f>
        <v>751975</v>
      </c>
      <c r="L170" s="50">
        <f>VLOOKUP($A170,'Data shares'!$C:$FB,61)*100</f>
        <v>55.55</v>
      </c>
      <c r="M170" s="49">
        <f>VLOOKUP($A170,'Data shares'!$C:$FB,62)</f>
        <v>550025</v>
      </c>
      <c r="N170" s="49">
        <f>VLOOKUP($A170,'Data shares'!$C:$FB,63)</f>
        <v>363125</v>
      </c>
      <c r="O170" s="140">
        <f>VLOOKUP($A170,'Data shares'!$C:$FB,65)*100</f>
        <v>51.470000000000006</v>
      </c>
    </row>
    <row r="171" spans="1:15" x14ac:dyDescent="0.25">
      <c r="A171" s="101" t="str">
        <f>'Data Vlaue (Cr)'!C166</f>
        <v>PNB</v>
      </c>
      <c r="B171" s="50">
        <f>VLOOKUP($A171,'Data shares'!$C:$FB,7)</f>
        <v>112.71</v>
      </c>
      <c r="C171" s="50">
        <f>VLOOKUP($A171,'Data shares'!$C:$FB,10)*100</f>
        <v>-1.71</v>
      </c>
      <c r="D171" s="49">
        <f>VLOOKUP($A171,'Data shares'!$C:$FB,66)</f>
        <v>346048000</v>
      </c>
      <c r="E171" s="49">
        <f>VLOOKUP($A171,'Data shares'!$C:$FB,67)</f>
        <v>221096000</v>
      </c>
      <c r="F171" s="50">
        <f>VLOOKUP($A171,'Data shares'!$C:$FB,69)*100</f>
        <v>56.510000000000005</v>
      </c>
      <c r="G171" s="49">
        <f>VLOOKUP($A171,'Data shares'!$C:$FB,42)</f>
        <v>135800000</v>
      </c>
      <c r="H171" s="49">
        <f>VLOOKUP($A171,'Data shares'!$C:$FB,43)</f>
        <v>49192000</v>
      </c>
      <c r="I171" s="50">
        <f>VLOOKUP($A171,'Data shares'!$C:$FB,45)*100</f>
        <v>176.06</v>
      </c>
      <c r="J171" s="49">
        <f>VLOOKUP($A171,'Data shares'!$C:$FB,58)</f>
        <v>124624000</v>
      </c>
      <c r="K171" s="49">
        <f>VLOOKUP($A171,'Data shares'!$C:$FB,59)</f>
        <v>108400000</v>
      </c>
      <c r="L171" s="50">
        <f>VLOOKUP($A171,'Data shares'!$C:$FB,61)*100</f>
        <v>14.97</v>
      </c>
      <c r="M171" s="49">
        <f>VLOOKUP($A171,'Data shares'!$C:$FB,62)</f>
        <v>85624000</v>
      </c>
      <c r="N171" s="49">
        <f>VLOOKUP($A171,'Data shares'!$C:$FB,63)</f>
        <v>63504000</v>
      </c>
      <c r="O171" s="140">
        <f>VLOOKUP($A171,'Data shares'!$C:$FB,65)*100</f>
        <v>34.83</v>
      </c>
    </row>
    <row r="172" spans="1:15" x14ac:dyDescent="0.25">
      <c r="A172" s="101" t="str">
        <f>'Data Vlaue (Cr)'!C167</f>
        <v>PNBHOUSING</v>
      </c>
      <c r="B172" s="50">
        <f>VLOOKUP($A172,'Data shares'!$C:$FB,7)</f>
        <v>1007.75</v>
      </c>
      <c r="C172" s="50">
        <f>VLOOKUP($A172,'Data shares'!$C:$FB,10)*100</f>
        <v>1.77</v>
      </c>
      <c r="D172" s="49">
        <f>VLOOKUP($A172,'Data shares'!$C:$FB,66)</f>
        <v>35156550</v>
      </c>
      <c r="E172" s="49">
        <f>VLOOKUP($A172,'Data shares'!$C:$FB,67)</f>
        <v>33062900</v>
      </c>
      <c r="F172" s="50">
        <f>VLOOKUP($A172,'Data shares'!$C:$FB,69)*100</f>
        <v>6.3299999999999992</v>
      </c>
      <c r="G172" s="49">
        <f>VLOOKUP($A172,'Data shares'!$C:$FB,42)</f>
        <v>10142600</v>
      </c>
      <c r="H172" s="49">
        <f>VLOOKUP($A172,'Data shares'!$C:$FB,43)</f>
        <v>5077800</v>
      </c>
      <c r="I172" s="50">
        <f>VLOOKUP($A172,'Data shares'!$C:$FB,45)*100</f>
        <v>99.74</v>
      </c>
      <c r="J172" s="49">
        <f>VLOOKUP($A172,'Data shares'!$C:$FB,58)</f>
        <v>16130400</v>
      </c>
      <c r="K172" s="49">
        <f>VLOOKUP($A172,'Data shares'!$C:$FB,59)</f>
        <v>18620550</v>
      </c>
      <c r="L172" s="50">
        <f>VLOOKUP($A172,'Data shares'!$C:$FB,61)*100</f>
        <v>-13.370000000000001</v>
      </c>
      <c r="M172" s="49">
        <f>VLOOKUP($A172,'Data shares'!$C:$FB,62)</f>
        <v>8883550</v>
      </c>
      <c r="N172" s="49">
        <f>VLOOKUP($A172,'Data shares'!$C:$FB,63)</f>
        <v>9364550</v>
      </c>
      <c r="O172" s="140">
        <f>VLOOKUP($A172,'Data shares'!$C:$FB,65)*100</f>
        <v>-5.1400000000000006</v>
      </c>
    </row>
    <row r="173" spans="1:15" x14ac:dyDescent="0.25">
      <c r="A173" s="101" t="str">
        <f>'Data Vlaue (Cr)'!C168</f>
        <v>POLICYBZR</v>
      </c>
      <c r="B173" s="50">
        <f>VLOOKUP($A173,'Data shares'!$C:$FB,7)</f>
        <v>1670.8</v>
      </c>
      <c r="C173" s="50">
        <f>VLOOKUP($A173,'Data shares'!$C:$FB,10)*100</f>
        <v>2.77</v>
      </c>
      <c r="D173" s="49">
        <f>VLOOKUP($A173,'Data shares'!$C:$FB,66)</f>
        <v>17467800</v>
      </c>
      <c r="E173" s="49">
        <f>VLOOKUP($A173,'Data shares'!$C:$FB,67)</f>
        <v>8093050</v>
      </c>
      <c r="F173" s="50">
        <f>VLOOKUP($A173,'Data shares'!$C:$FB,69)*100</f>
        <v>115.84</v>
      </c>
      <c r="G173" s="49">
        <f>VLOOKUP($A173,'Data shares'!$C:$FB,42)</f>
        <v>6225100</v>
      </c>
      <c r="H173" s="49">
        <f>VLOOKUP($A173,'Data shares'!$C:$FB,43)</f>
        <v>2746100</v>
      </c>
      <c r="I173" s="50">
        <f>VLOOKUP($A173,'Data shares'!$C:$FB,45)*100</f>
        <v>126.69</v>
      </c>
      <c r="J173" s="49">
        <f>VLOOKUP($A173,'Data shares'!$C:$FB,58)</f>
        <v>7630700</v>
      </c>
      <c r="K173" s="49">
        <f>VLOOKUP($A173,'Data shares'!$C:$FB,59)</f>
        <v>3479350</v>
      </c>
      <c r="L173" s="50">
        <f>VLOOKUP($A173,'Data shares'!$C:$FB,61)*100</f>
        <v>119.31</v>
      </c>
      <c r="M173" s="49">
        <f>VLOOKUP($A173,'Data shares'!$C:$FB,62)</f>
        <v>3612000</v>
      </c>
      <c r="N173" s="49">
        <f>VLOOKUP($A173,'Data shares'!$C:$FB,63)</f>
        <v>1867600</v>
      </c>
      <c r="O173" s="140">
        <f>VLOOKUP($A173,'Data shares'!$C:$FB,65)*100</f>
        <v>93.4</v>
      </c>
    </row>
    <row r="174" spans="1:15" x14ac:dyDescent="0.25">
      <c r="A174" s="101" t="str">
        <f>'Data Vlaue (Cr)'!C169</f>
        <v>POLYCAB</v>
      </c>
      <c r="B174" s="50">
        <f>VLOOKUP($A174,'Data shares'!$C:$FB,7)</f>
        <v>7963.5</v>
      </c>
      <c r="C174" s="50">
        <f>VLOOKUP($A174,'Data shares'!$C:$FB,10)*100</f>
        <v>-0.92999999999999994</v>
      </c>
      <c r="D174" s="49">
        <f>VLOOKUP($A174,'Data shares'!$C:$FB,66)</f>
        <v>6142875</v>
      </c>
      <c r="E174" s="49">
        <f>VLOOKUP($A174,'Data shares'!$C:$FB,67)</f>
        <v>7040250</v>
      </c>
      <c r="F174" s="50">
        <f>VLOOKUP($A174,'Data shares'!$C:$FB,69)*100</f>
        <v>-12.75</v>
      </c>
      <c r="G174" s="49">
        <f>VLOOKUP($A174,'Data shares'!$C:$FB,42)</f>
        <v>1378250</v>
      </c>
      <c r="H174" s="49">
        <f>VLOOKUP($A174,'Data shares'!$C:$FB,43)</f>
        <v>874375</v>
      </c>
      <c r="I174" s="50">
        <f>VLOOKUP($A174,'Data shares'!$C:$FB,45)*100</f>
        <v>57.63</v>
      </c>
      <c r="J174" s="49">
        <f>VLOOKUP($A174,'Data shares'!$C:$FB,58)</f>
        <v>2573500</v>
      </c>
      <c r="K174" s="49">
        <f>VLOOKUP($A174,'Data shares'!$C:$FB,59)</f>
        <v>3954750</v>
      </c>
      <c r="L174" s="50">
        <f>VLOOKUP($A174,'Data shares'!$C:$FB,61)*100</f>
        <v>-34.93</v>
      </c>
      <c r="M174" s="49">
        <f>VLOOKUP($A174,'Data shares'!$C:$FB,62)</f>
        <v>2191125</v>
      </c>
      <c r="N174" s="49">
        <f>VLOOKUP($A174,'Data shares'!$C:$FB,63)</f>
        <v>2211125</v>
      </c>
      <c r="O174" s="140">
        <f>VLOOKUP($A174,'Data shares'!$C:$FB,65)*100</f>
        <v>-0.89999999999999991</v>
      </c>
    </row>
    <row r="175" spans="1:15" x14ac:dyDescent="0.25">
      <c r="A175" s="101" t="str">
        <f>'Data Vlaue (Cr)'!C170</f>
        <v>POWERGRID</v>
      </c>
      <c r="B175" s="50">
        <f>VLOOKUP($A175,'Data shares'!$C:$FB,7)</f>
        <v>319.14999999999998</v>
      </c>
      <c r="C175" s="50">
        <f>VLOOKUP($A175,'Data shares'!$C:$FB,10)*100</f>
        <v>-0.19</v>
      </c>
      <c r="D175" s="49">
        <f>VLOOKUP($A175,'Data shares'!$C:$FB,66)</f>
        <v>115217900</v>
      </c>
      <c r="E175" s="49">
        <f>VLOOKUP($A175,'Data shares'!$C:$FB,67)</f>
        <v>82974900</v>
      </c>
      <c r="F175" s="50">
        <f>VLOOKUP($A175,'Data shares'!$C:$FB,69)*100</f>
        <v>38.86</v>
      </c>
      <c r="G175" s="49">
        <f>VLOOKUP($A175,'Data shares'!$C:$FB,42)</f>
        <v>47349900</v>
      </c>
      <c r="H175" s="49">
        <f>VLOOKUP($A175,'Data shares'!$C:$FB,43)</f>
        <v>11249900</v>
      </c>
      <c r="I175" s="50">
        <f>VLOOKUP($A175,'Data shares'!$C:$FB,45)*100</f>
        <v>320.89</v>
      </c>
      <c r="J175" s="49">
        <f>VLOOKUP($A175,'Data shares'!$C:$FB,58)</f>
        <v>47965500</v>
      </c>
      <c r="K175" s="49">
        <f>VLOOKUP($A175,'Data shares'!$C:$FB,59)</f>
        <v>51127100</v>
      </c>
      <c r="L175" s="50">
        <f>VLOOKUP($A175,'Data shares'!$C:$FB,61)*100</f>
        <v>-6.18</v>
      </c>
      <c r="M175" s="49">
        <f>VLOOKUP($A175,'Data shares'!$C:$FB,62)</f>
        <v>19902500</v>
      </c>
      <c r="N175" s="49">
        <f>VLOOKUP($A175,'Data shares'!$C:$FB,63)</f>
        <v>20597900</v>
      </c>
      <c r="O175" s="140">
        <f>VLOOKUP($A175,'Data shares'!$C:$FB,65)*100</f>
        <v>-3.38</v>
      </c>
    </row>
    <row r="176" spans="1:15" x14ac:dyDescent="0.25">
      <c r="A176" s="101" t="str">
        <f>'Data Vlaue (Cr)'!C171</f>
        <v>POWERINDIA</v>
      </c>
      <c r="B176" s="50">
        <f>VLOOKUP($A176,'Data shares'!$C:$FB,7)</f>
        <v>31720</v>
      </c>
      <c r="C176" s="50">
        <f>VLOOKUP($A176,'Data shares'!$C:$FB,10)*100</f>
        <v>4.5699999999999994</v>
      </c>
      <c r="D176" s="49">
        <f>VLOOKUP($A176,'Data shares'!$C:$FB,66)</f>
        <v>4008800</v>
      </c>
      <c r="E176" s="49">
        <f>VLOOKUP($A176,'Data shares'!$C:$FB,67)</f>
        <v>1896500</v>
      </c>
      <c r="F176" s="50">
        <f>VLOOKUP($A176,'Data shares'!$C:$FB,69)*100</f>
        <v>111.38</v>
      </c>
      <c r="G176" s="49">
        <f>VLOOKUP($A176,'Data shares'!$C:$FB,42)</f>
        <v>430000</v>
      </c>
      <c r="H176" s="49">
        <f>VLOOKUP($A176,'Data shares'!$C:$FB,43)</f>
        <v>122250</v>
      </c>
      <c r="I176" s="50">
        <f>VLOOKUP($A176,'Data shares'!$C:$FB,45)*100</f>
        <v>251.73999999999998</v>
      </c>
      <c r="J176" s="49">
        <f>VLOOKUP($A176,'Data shares'!$C:$FB,58)</f>
        <v>2033450</v>
      </c>
      <c r="K176" s="49">
        <f>VLOOKUP($A176,'Data shares'!$C:$FB,59)</f>
        <v>700600</v>
      </c>
      <c r="L176" s="50">
        <f>VLOOKUP($A176,'Data shares'!$C:$FB,61)*100</f>
        <v>190.24</v>
      </c>
      <c r="M176" s="49">
        <f>VLOOKUP($A176,'Data shares'!$C:$FB,62)</f>
        <v>1545350</v>
      </c>
      <c r="N176" s="49">
        <f>VLOOKUP($A176,'Data shares'!$C:$FB,63)</f>
        <v>1073650</v>
      </c>
      <c r="O176" s="140">
        <f>VLOOKUP($A176,'Data shares'!$C:$FB,65)*100</f>
        <v>43.93</v>
      </c>
    </row>
    <row r="177" spans="1:15" x14ac:dyDescent="0.25">
      <c r="A177" s="101" t="str">
        <f>'Data Vlaue (Cr)'!C172</f>
        <v>PPLPHARMA</v>
      </c>
      <c r="B177" s="50">
        <f>VLOOKUP($A177,'Data shares'!$C:$FB,7)</f>
        <v>163.87</v>
      </c>
      <c r="C177" s="50">
        <f>VLOOKUP($A177,'Data shares'!$C:$FB,10)*100</f>
        <v>6.54</v>
      </c>
      <c r="D177" s="49">
        <f>VLOOKUP($A177,'Data shares'!$C:$FB,66)</f>
        <v>171961125</v>
      </c>
      <c r="E177" s="49">
        <f>VLOOKUP($A177,'Data shares'!$C:$FB,67)</f>
        <v>14017500</v>
      </c>
      <c r="F177" s="50">
        <f>VLOOKUP($A177,'Data shares'!$C:$FB,69)*100</f>
        <v>1126.76</v>
      </c>
      <c r="G177" s="49">
        <f>VLOOKUP($A177,'Data shares'!$C:$FB,42)</f>
        <v>11072250</v>
      </c>
      <c r="H177" s="49">
        <f>VLOOKUP($A177,'Data shares'!$C:$FB,43)</f>
        <v>1735125</v>
      </c>
      <c r="I177" s="50">
        <f>VLOOKUP($A177,'Data shares'!$C:$FB,45)*100</f>
        <v>538.12</v>
      </c>
      <c r="J177" s="49">
        <f>VLOOKUP($A177,'Data shares'!$C:$FB,58)</f>
        <v>129289125</v>
      </c>
      <c r="K177" s="49">
        <f>VLOOKUP($A177,'Data shares'!$C:$FB,59)</f>
        <v>10581375</v>
      </c>
      <c r="L177" s="50">
        <f>VLOOKUP($A177,'Data shares'!$C:$FB,61)*100</f>
        <v>1121.8600000000001</v>
      </c>
      <c r="M177" s="49">
        <f>VLOOKUP($A177,'Data shares'!$C:$FB,62)</f>
        <v>31599750</v>
      </c>
      <c r="N177" s="49">
        <f>VLOOKUP($A177,'Data shares'!$C:$FB,63)</f>
        <v>1701000</v>
      </c>
      <c r="O177" s="140">
        <f>VLOOKUP($A177,'Data shares'!$C:$FB,65)*100</f>
        <v>1757.72</v>
      </c>
    </row>
    <row r="178" spans="1:15" x14ac:dyDescent="0.25">
      <c r="A178" s="101" t="str">
        <f>'Data Vlaue (Cr)'!C173</f>
        <v>PREMIERENE</v>
      </c>
      <c r="B178" s="50">
        <f>VLOOKUP($A178,'Data shares'!$C:$FB,7)</f>
        <v>1000.7</v>
      </c>
      <c r="C178" s="50">
        <f>VLOOKUP($A178,'Data shares'!$C:$FB,10)*100</f>
        <v>1</v>
      </c>
      <c r="D178" s="49">
        <f>VLOOKUP($A178,'Data shares'!$C:$FB,66)</f>
        <v>13395200</v>
      </c>
      <c r="E178" s="49">
        <f>VLOOKUP($A178,'Data shares'!$C:$FB,67)</f>
        <v>6490025</v>
      </c>
      <c r="F178" s="50">
        <f>VLOOKUP($A178,'Data shares'!$C:$FB,69)*100</f>
        <v>106.4</v>
      </c>
      <c r="G178" s="49">
        <f>VLOOKUP($A178,'Data shares'!$C:$FB,42)</f>
        <v>8020675</v>
      </c>
      <c r="H178" s="49">
        <f>VLOOKUP($A178,'Data shares'!$C:$FB,43)</f>
        <v>1732475</v>
      </c>
      <c r="I178" s="50">
        <f>VLOOKUP($A178,'Data shares'!$C:$FB,45)*100</f>
        <v>362.96</v>
      </c>
      <c r="J178" s="49">
        <f>VLOOKUP($A178,'Data shares'!$C:$FB,58)</f>
        <v>4071000</v>
      </c>
      <c r="K178" s="49">
        <f>VLOOKUP($A178,'Data shares'!$C:$FB,59)</f>
        <v>3558675</v>
      </c>
      <c r="L178" s="50">
        <f>VLOOKUP($A178,'Data shares'!$C:$FB,61)*100</f>
        <v>14.399999999999999</v>
      </c>
      <c r="M178" s="49">
        <f>VLOOKUP($A178,'Data shares'!$C:$FB,62)</f>
        <v>1303525</v>
      </c>
      <c r="N178" s="49">
        <f>VLOOKUP($A178,'Data shares'!$C:$FB,63)</f>
        <v>1198875</v>
      </c>
      <c r="O178" s="140">
        <f>VLOOKUP($A178,'Data shares'!$C:$FB,65)*100</f>
        <v>8.73</v>
      </c>
    </row>
    <row r="179" spans="1:15" x14ac:dyDescent="0.25">
      <c r="A179" s="101" t="str">
        <f>'Data Vlaue (Cr)'!C174</f>
        <v>PRESTIGE</v>
      </c>
      <c r="B179" s="50">
        <f>VLOOKUP($A179,'Data shares'!$C:$FB,7)</f>
        <v>1384.2</v>
      </c>
      <c r="C179" s="50">
        <f>VLOOKUP($A179,'Data shares'!$C:$FB,10)*100</f>
        <v>-1.52</v>
      </c>
      <c r="D179" s="49">
        <f>VLOOKUP($A179,'Data shares'!$C:$FB,66)</f>
        <v>7355700</v>
      </c>
      <c r="E179" s="49">
        <f>VLOOKUP($A179,'Data shares'!$C:$FB,67)</f>
        <v>3262500</v>
      </c>
      <c r="F179" s="50">
        <f>VLOOKUP($A179,'Data shares'!$C:$FB,69)*100</f>
        <v>125.46</v>
      </c>
      <c r="G179" s="49">
        <f>VLOOKUP($A179,'Data shares'!$C:$FB,42)</f>
        <v>4551750</v>
      </c>
      <c r="H179" s="49">
        <f>VLOOKUP($A179,'Data shares'!$C:$FB,43)</f>
        <v>913500</v>
      </c>
      <c r="I179" s="50">
        <f>VLOOKUP($A179,'Data shares'!$C:$FB,45)*100</f>
        <v>398.28000000000003</v>
      </c>
      <c r="J179" s="49">
        <f>VLOOKUP($A179,'Data shares'!$C:$FB,58)</f>
        <v>2038050</v>
      </c>
      <c r="K179" s="49">
        <f>VLOOKUP($A179,'Data shares'!$C:$FB,59)</f>
        <v>1709100</v>
      </c>
      <c r="L179" s="50">
        <f>VLOOKUP($A179,'Data shares'!$C:$FB,61)*100</f>
        <v>19.25</v>
      </c>
      <c r="M179" s="49">
        <f>VLOOKUP($A179,'Data shares'!$C:$FB,62)</f>
        <v>765900</v>
      </c>
      <c r="N179" s="49">
        <f>VLOOKUP($A179,'Data shares'!$C:$FB,63)</f>
        <v>639900</v>
      </c>
      <c r="O179" s="140">
        <f>VLOOKUP($A179,'Data shares'!$C:$FB,65)*100</f>
        <v>19.689999999999998</v>
      </c>
    </row>
    <row r="180" spans="1:15" x14ac:dyDescent="0.25">
      <c r="A180" s="101" t="str">
        <f>'Data Vlaue (Cr)'!C175</f>
        <v>RBLBANK</v>
      </c>
      <c r="B180" s="50">
        <f>VLOOKUP($A180,'Data shares'!$C:$FB,7)</f>
        <v>312.45</v>
      </c>
      <c r="C180" s="50">
        <f>VLOOKUP($A180,'Data shares'!$C:$FB,10)*100</f>
        <v>-1.6400000000000001</v>
      </c>
      <c r="D180" s="49">
        <f>VLOOKUP($A180,'Data shares'!$C:$FB,66)</f>
        <v>63369825</v>
      </c>
      <c r="E180" s="49">
        <f>VLOOKUP($A180,'Data shares'!$C:$FB,67)</f>
        <v>71012050</v>
      </c>
      <c r="F180" s="50">
        <f>VLOOKUP($A180,'Data shares'!$C:$FB,69)*100</f>
        <v>-10.76</v>
      </c>
      <c r="G180" s="49">
        <f>VLOOKUP($A180,'Data shares'!$C:$FB,42)</f>
        <v>31597600</v>
      </c>
      <c r="H180" s="49">
        <f>VLOOKUP($A180,'Data shares'!$C:$FB,43)</f>
        <v>14119225</v>
      </c>
      <c r="I180" s="50">
        <f>VLOOKUP($A180,'Data shares'!$C:$FB,45)*100</f>
        <v>123.79</v>
      </c>
      <c r="J180" s="49">
        <f>VLOOKUP($A180,'Data shares'!$C:$FB,58)</f>
        <v>18859500</v>
      </c>
      <c r="K180" s="49">
        <f>VLOOKUP($A180,'Data shares'!$C:$FB,59)</f>
        <v>35166300</v>
      </c>
      <c r="L180" s="50">
        <f>VLOOKUP($A180,'Data shares'!$C:$FB,61)*100</f>
        <v>-46.37</v>
      </c>
      <c r="M180" s="49">
        <f>VLOOKUP($A180,'Data shares'!$C:$FB,62)</f>
        <v>12912725</v>
      </c>
      <c r="N180" s="49">
        <f>VLOOKUP($A180,'Data shares'!$C:$FB,63)</f>
        <v>21726525</v>
      </c>
      <c r="O180" s="140">
        <f>VLOOKUP($A180,'Data shares'!$C:$FB,65)*100</f>
        <v>-40.57</v>
      </c>
    </row>
    <row r="181" spans="1:15" x14ac:dyDescent="0.25">
      <c r="A181" s="101" t="str">
        <f>'Data Vlaue (Cr)'!C176</f>
        <v>RECLTD</v>
      </c>
      <c r="B181" s="50">
        <f>VLOOKUP($A181,'Data shares'!$C:$FB,7)</f>
        <v>376.45</v>
      </c>
      <c r="C181" s="50">
        <f>VLOOKUP($A181,'Data shares'!$C:$FB,10)*100</f>
        <v>-1.7999999999999998</v>
      </c>
      <c r="D181" s="49">
        <f>VLOOKUP($A181,'Data shares'!$C:$FB,66)</f>
        <v>60319000</v>
      </c>
      <c r="E181" s="49">
        <f>VLOOKUP($A181,'Data shares'!$C:$FB,67)</f>
        <v>48276200</v>
      </c>
      <c r="F181" s="50">
        <f>VLOOKUP($A181,'Data shares'!$C:$FB,69)*100</f>
        <v>24.95</v>
      </c>
      <c r="G181" s="49">
        <f>VLOOKUP($A181,'Data shares'!$C:$FB,42)</f>
        <v>25893000</v>
      </c>
      <c r="H181" s="49">
        <f>VLOOKUP($A181,'Data shares'!$C:$FB,43)</f>
        <v>7460600</v>
      </c>
      <c r="I181" s="50">
        <f>VLOOKUP($A181,'Data shares'!$C:$FB,45)*100</f>
        <v>247.06</v>
      </c>
      <c r="J181" s="49">
        <f>VLOOKUP($A181,'Data shares'!$C:$FB,58)</f>
        <v>21897400</v>
      </c>
      <c r="K181" s="49">
        <f>VLOOKUP($A181,'Data shares'!$C:$FB,59)</f>
        <v>23655800</v>
      </c>
      <c r="L181" s="50">
        <f>VLOOKUP($A181,'Data shares'!$C:$FB,61)*100</f>
        <v>-7.4300000000000006</v>
      </c>
      <c r="M181" s="49">
        <f>VLOOKUP($A181,'Data shares'!$C:$FB,62)</f>
        <v>12528600</v>
      </c>
      <c r="N181" s="49">
        <f>VLOOKUP($A181,'Data shares'!$C:$FB,63)</f>
        <v>17159800</v>
      </c>
      <c r="O181" s="140">
        <f>VLOOKUP($A181,'Data shares'!$C:$FB,65)*100</f>
        <v>-26.99</v>
      </c>
    </row>
    <row r="182" spans="1:15" x14ac:dyDescent="0.25">
      <c r="A182" s="101" t="str">
        <f>'Data Vlaue (Cr)'!C177</f>
        <v>RELIANCE</v>
      </c>
      <c r="B182" s="50">
        <f>VLOOKUP($A182,'Data shares'!$C:$FB,7)</f>
        <v>1343.4</v>
      </c>
      <c r="C182" s="50">
        <f>VLOOKUP($A182,'Data shares'!$C:$FB,10)*100</f>
        <v>-1.37</v>
      </c>
      <c r="D182" s="49">
        <f>VLOOKUP($A182,'Data shares'!$C:$FB,66)</f>
        <v>166058500</v>
      </c>
      <c r="E182" s="49">
        <f>VLOOKUP($A182,'Data shares'!$C:$FB,67)</f>
        <v>127566500</v>
      </c>
      <c r="F182" s="50">
        <f>VLOOKUP($A182,'Data shares'!$C:$FB,69)*100</f>
        <v>30.17</v>
      </c>
      <c r="G182" s="49">
        <f>VLOOKUP($A182,'Data shares'!$C:$FB,42)</f>
        <v>40056000</v>
      </c>
      <c r="H182" s="49">
        <f>VLOOKUP($A182,'Data shares'!$C:$FB,43)</f>
        <v>17096500</v>
      </c>
      <c r="I182" s="50">
        <f>VLOOKUP($A182,'Data shares'!$C:$FB,45)*100</f>
        <v>134.29</v>
      </c>
      <c r="J182" s="49">
        <f>VLOOKUP($A182,'Data shares'!$C:$FB,58)</f>
        <v>74522500</v>
      </c>
      <c r="K182" s="49">
        <f>VLOOKUP($A182,'Data shares'!$C:$FB,59)</f>
        <v>70010000</v>
      </c>
      <c r="L182" s="50">
        <f>VLOOKUP($A182,'Data shares'!$C:$FB,61)*100</f>
        <v>6.45</v>
      </c>
      <c r="M182" s="49">
        <f>VLOOKUP($A182,'Data shares'!$C:$FB,62)</f>
        <v>51480000</v>
      </c>
      <c r="N182" s="49">
        <f>VLOOKUP($A182,'Data shares'!$C:$FB,63)</f>
        <v>40460000</v>
      </c>
      <c r="O182" s="140">
        <f>VLOOKUP($A182,'Data shares'!$C:$FB,65)*100</f>
        <v>27.24</v>
      </c>
    </row>
    <row r="183" spans="1:15" x14ac:dyDescent="0.25">
      <c r="A183" s="101" t="str">
        <f>'Data Vlaue (Cr)'!C178</f>
        <v>RVNL</v>
      </c>
      <c r="B183" s="50">
        <f>VLOOKUP($A183,'Data shares'!$C:$FB,7)</f>
        <v>307.20999999999998</v>
      </c>
      <c r="C183" s="50">
        <f>VLOOKUP($A183,'Data shares'!$C:$FB,10)*100</f>
        <v>-6.9999999999999993E-2</v>
      </c>
      <c r="D183" s="49">
        <f>VLOOKUP($A183,'Data shares'!$C:$FB,66)</f>
        <v>107050425</v>
      </c>
      <c r="E183" s="49">
        <f>VLOOKUP($A183,'Data shares'!$C:$FB,67)</f>
        <v>77974775</v>
      </c>
      <c r="F183" s="50">
        <f>VLOOKUP($A183,'Data shares'!$C:$FB,69)*100</f>
        <v>37.29</v>
      </c>
      <c r="G183" s="49">
        <f>VLOOKUP($A183,'Data shares'!$C:$FB,42)</f>
        <v>57187500</v>
      </c>
      <c r="H183" s="49">
        <f>VLOOKUP($A183,'Data shares'!$C:$FB,43)</f>
        <v>15850850</v>
      </c>
      <c r="I183" s="50">
        <f>VLOOKUP($A183,'Data shares'!$C:$FB,45)*100</f>
        <v>260.78999999999996</v>
      </c>
      <c r="J183" s="49">
        <f>VLOOKUP($A183,'Data shares'!$C:$FB,58)</f>
        <v>35328150</v>
      </c>
      <c r="K183" s="49">
        <f>VLOOKUP($A183,'Data shares'!$C:$FB,59)</f>
        <v>48527025</v>
      </c>
      <c r="L183" s="50">
        <f>VLOOKUP($A183,'Data shares'!$C:$FB,61)*100</f>
        <v>-27.200000000000003</v>
      </c>
      <c r="M183" s="49">
        <f>VLOOKUP($A183,'Data shares'!$C:$FB,62)</f>
        <v>14534775</v>
      </c>
      <c r="N183" s="49">
        <f>VLOOKUP($A183,'Data shares'!$C:$FB,63)</f>
        <v>13596900</v>
      </c>
      <c r="O183" s="140">
        <f>VLOOKUP($A183,'Data shares'!$C:$FB,65)*100</f>
        <v>6.9</v>
      </c>
    </row>
    <row r="184" spans="1:15" x14ac:dyDescent="0.25">
      <c r="A184" s="101" t="str">
        <f>'Data Vlaue (Cr)'!C179</f>
        <v>SAIL</v>
      </c>
      <c r="B184" s="50">
        <f>VLOOKUP($A184,'Data shares'!$C:$FB,7)</f>
        <v>176.45</v>
      </c>
      <c r="C184" s="50">
        <f>VLOOKUP($A184,'Data shares'!$C:$FB,10)*100</f>
        <v>0.12</v>
      </c>
      <c r="D184" s="49">
        <f>VLOOKUP($A184,'Data shares'!$C:$FB,66)</f>
        <v>11233000</v>
      </c>
      <c r="E184" s="49">
        <f>VLOOKUP($A184,'Data shares'!$C:$FB,67)</f>
        <v>4676500</v>
      </c>
      <c r="F184" s="50">
        <f>VLOOKUP($A184,'Data shares'!$C:$FB,69)*100</f>
        <v>140.19999999999999</v>
      </c>
      <c r="G184" s="49">
        <f>VLOOKUP($A184,'Data shares'!$C:$FB,42)</f>
        <v>9620900</v>
      </c>
      <c r="H184" s="49">
        <f>VLOOKUP($A184,'Data shares'!$C:$FB,43)</f>
        <v>3313500</v>
      </c>
      <c r="I184" s="50">
        <f>VLOOKUP($A184,'Data shares'!$C:$FB,45)*100</f>
        <v>190.35</v>
      </c>
      <c r="J184" s="49">
        <f>VLOOKUP($A184,'Data shares'!$C:$FB,58)</f>
        <v>958800</v>
      </c>
      <c r="K184" s="49">
        <f>VLOOKUP($A184,'Data shares'!$C:$FB,59)</f>
        <v>775500</v>
      </c>
      <c r="L184" s="50">
        <f>VLOOKUP($A184,'Data shares'!$C:$FB,61)*100</f>
        <v>23.64</v>
      </c>
      <c r="M184" s="49">
        <f>VLOOKUP($A184,'Data shares'!$C:$FB,62)</f>
        <v>653300</v>
      </c>
      <c r="N184" s="49">
        <f>VLOOKUP($A184,'Data shares'!$C:$FB,63)</f>
        <v>587500</v>
      </c>
      <c r="O184" s="140">
        <f>VLOOKUP($A184,'Data shares'!$C:$FB,65)*100</f>
        <v>11.200000000000001</v>
      </c>
    </row>
    <row r="185" spans="1:15" x14ac:dyDescent="0.25">
      <c r="A185" s="101" t="str">
        <f>'Data Vlaue (Cr)'!C180</f>
        <v>SAMMAANCAP</v>
      </c>
      <c r="B185" s="50">
        <f>VLOOKUP($A185,'Data shares'!$C:$FB,7)</f>
        <v>144.25</v>
      </c>
      <c r="C185" s="50">
        <f>VLOOKUP($A185,'Data shares'!$C:$FB,10)*100</f>
        <v>-1.7000000000000002</v>
      </c>
      <c r="D185" s="49">
        <f>VLOOKUP($A185,'Data shares'!$C:$FB,66)</f>
        <v>51535500</v>
      </c>
      <c r="E185" s="49">
        <f>VLOOKUP($A185,'Data shares'!$C:$FB,67)</f>
        <v>40639300</v>
      </c>
      <c r="F185" s="50">
        <f>VLOOKUP($A185,'Data shares'!$C:$FB,69)*100</f>
        <v>26.810000000000002</v>
      </c>
      <c r="G185" s="49">
        <f>VLOOKUP($A185,'Data shares'!$C:$FB,42)</f>
        <v>37650800</v>
      </c>
      <c r="H185" s="49">
        <f>VLOOKUP($A185,'Data shares'!$C:$FB,43)</f>
        <v>23297400</v>
      </c>
      <c r="I185" s="50">
        <f>VLOOKUP($A185,'Data shares'!$C:$FB,45)*100</f>
        <v>61.61</v>
      </c>
      <c r="J185" s="49">
        <f>VLOOKUP($A185,'Data shares'!$C:$FB,58)</f>
        <v>9030000</v>
      </c>
      <c r="K185" s="49">
        <f>VLOOKUP($A185,'Data shares'!$C:$FB,59)</f>
        <v>9554600</v>
      </c>
      <c r="L185" s="50">
        <f>VLOOKUP($A185,'Data shares'!$C:$FB,61)*100</f>
        <v>-5.4899999999999993</v>
      </c>
      <c r="M185" s="49">
        <f>VLOOKUP($A185,'Data shares'!$C:$FB,62)</f>
        <v>4854700</v>
      </c>
      <c r="N185" s="49">
        <f>VLOOKUP($A185,'Data shares'!$C:$FB,63)</f>
        <v>7787300</v>
      </c>
      <c r="O185" s="140">
        <f>VLOOKUP($A185,'Data shares'!$C:$FB,65)*100</f>
        <v>-37.659999999999997</v>
      </c>
    </row>
    <row r="186" spans="1:15" x14ac:dyDescent="0.25">
      <c r="A186" s="101" t="str">
        <f>'Data Vlaue (Cr)'!C181</f>
        <v>SBICARD</v>
      </c>
      <c r="B186" s="50">
        <f>VLOOKUP($A186,'Data shares'!$C:$FB,7)</f>
        <v>680.55</v>
      </c>
      <c r="C186" s="50">
        <f>VLOOKUP($A186,'Data shares'!$C:$FB,10)*100</f>
        <v>-0.82000000000000006</v>
      </c>
      <c r="D186" s="49">
        <f>VLOOKUP($A186,'Data shares'!$C:$FB,66)</f>
        <v>28306400</v>
      </c>
      <c r="E186" s="49">
        <f>VLOOKUP($A186,'Data shares'!$C:$FB,67)</f>
        <v>21787200</v>
      </c>
      <c r="F186" s="50">
        <f>VLOOKUP($A186,'Data shares'!$C:$FB,69)*100</f>
        <v>29.92</v>
      </c>
      <c r="G186" s="49">
        <f>VLOOKUP($A186,'Data shares'!$C:$FB,42)</f>
        <v>17814400</v>
      </c>
      <c r="H186" s="49">
        <f>VLOOKUP($A186,'Data shares'!$C:$FB,43)</f>
        <v>6228800</v>
      </c>
      <c r="I186" s="50">
        <f>VLOOKUP($A186,'Data shares'!$C:$FB,45)*100</f>
        <v>186</v>
      </c>
      <c r="J186" s="49">
        <f>VLOOKUP($A186,'Data shares'!$C:$FB,58)</f>
        <v>6524000</v>
      </c>
      <c r="K186" s="49">
        <f>VLOOKUP($A186,'Data shares'!$C:$FB,59)</f>
        <v>10169600</v>
      </c>
      <c r="L186" s="50">
        <f>VLOOKUP($A186,'Data shares'!$C:$FB,61)*100</f>
        <v>-35.85</v>
      </c>
      <c r="M186" s="49">
        <f>VLOOKUP($A186,'Data shares'!$C:$FB,62)</f>
        <v>3968000</v>
      </c>
      <c r="N186" s="49">
        <f>VLOOKUP($A186,'Data shares'!$C:$FB,63)</f>
        <v>5388800</v>
      </c>
      <c r="O186" s="140">
        <f>VLOOKUP($A186,'Data shares'!$C:$FB,65)*100</f>
        <v>-26.369999999999997</v>
      </c>
    </row>
    <row r="187" spans="1:15" x14ac:dyDescent="0.25">
      <c r="A187" s="101" t="str">
        <f>'Data Vlaue (Cr)'!C182</f>
        <v>SBILIFE</v>
      </c>
      <c r="B187" s="50">
        <f>VLOOKUP($A187,'Data shares'!$C:$FB,7)</f>
        <v>1828.1</v>
      </c>
      <c r="C187" s="50">
        <f>VLOOKUP($A187,'Data shares'!$C:$FB,10)*100</f>
        <v>-3.01</v>
      </c>
      <c r="D187" s="49">
        <f>VLOOKUP($A187,'Data shares'!$C:$FB,66)</f>
        <v>51228750</v>
      </c>
      <c r="E187" s="49">
        <f>VLOOKUP($A187,'Data shares'!$C:$FB,67)</f>
        <v>35569125</v>
      </c>
      <c r="F187" s="50">
        <f>VLOOKUP($A187,'Data shares'!$C:$FB,69)*100</f>
        <v>44.03</v>
      </c>
      <c r="G187" s="49">
        <f>VLOOKUP($A187,'Data shares'!$C:$FB,42)</f>
        <v>8632125</v>
      </c>
      <c r="H187" s="49">
        <f>VLOOKUP($A187,'Data shares'!$C:$FB,43)</f>
        <v>5339625</v>
      </c>
      <c r="I187" s="50">
        <f>VLOOKUP($A187,'Data shares'!$C:$FB,45)*100</f>
        <v>61.660000000000004</v>
      </c>
      <c r="J187" s="49">
        <f>VLOOKUP($A187,'Data shares'!$C:$FB,58)</f>
        <v>25723125</v>
      </c>
      <c r="K187" s="49">
        <f>VLOOKUP($A187,'Data shares'!$C:$FB,59)</f>
        <v>20408625</v>
      </c>
      <c r="L187" s="50">
        <f>VLOOKUP($A187,'Data shares'!$C:$FB,61)*100</f>
        <v>26.040000000000003</v>
      </c>
      <c r="M187" s="49">
        <f>VLOOKUP($A187,'Data shares'!$C:$FB,62)</f>
        <v>16873500</v>
      </c>
      <c r="N187" s="49">
        <f>VLOOKUP($A187,'Data shares'!$C:$FB,63)</f>
        <v>9820875</v>
      </c>
      <c r="O187" s="140">
        <f>VLOOKUP($A187,'Data shares'!$C:$FB,65)*100</f>
        <v>71.81</v>
      </c>
    </row>
    <row r="188" spans="1:15" x14ac:dyDescent="0.25">
      <c r="A188" s="101" t="str">
        <f>'Data Vlaue (Cr)'!C183</f>
        <v>SBIN</v>
      </c>
      <c r="B188" s="50">
        <f>VLOOKUP($A188,'Data shares'!$C:$FB,7)</f>
        <v>1094.25</v>
      </c>
      <c r="C188" s="50">
        <f>VLOOKUP($A188,'Data shares'!$C:$FB,10)*100</f>
        <v>-0.82000000000000006</v>
      </c>
      <c r="D188" s="49">
        <f>VLOOKUP($A188,'Data shares'!$C:$FB,66)</f>
        <v>199264500</v>
      </c>
      <c r="E188" s="49">
        <f>VLOOKUP($A188,'Data shares'!$C:$FB,67)</f>
        <v>132126750</v>
      </c>
      <c r="F188" s="50">
        <f>VLOOKUP($A188,'Data shares'!$C:$FB,69)*100</f>
        <v>50.81</v>
      </c>
      <c r="G188" s="49">
        <f>VLOOKUP($A188,'Data shares'!$C:$FB,42)</f>
        <v>38831250</v>
      </c>
      <c r="H188" s="49">
        <f>VLOOKUP($A188,'Data shares'!$C:$FB,43)</f>
        <v>17460750</v>
      </c>
      <c r="I188" s="50">
        <f>VLOOKUP($A188,'Data shares'!$C:$FB,45)*100</f>
        <v>122.39</v>
      </c>
      <c r="J188" s="49">
        <f>VLOOKUP($A188,'Data shares'!$C:$FB,58)</f>
        <v>88773000</v>
      </c>
      <c r="K188" s="49">
        <f>VLOOKUP($A188,'Data shares'!$C:$FB,59)</f>
        <v>69666000</v>
      </c>
      <c r="L188" s="50">
        <f>VLOOKUP($A188,'Data shares'!$C:$FB,61)*100</f>
        <v>27.43</v>
      </c>
      <c r="M188" s="49">
        <f>VLOOKUP($A188,'Data shares'!$C:$FB,62)</f>
        <v>71660250</v>
      </c>
      <c r="N188" s="49">
        <f>VLOOKUP($A188,'Data shares'!$C:$FB,63)</f>
        <v>45000000</v>
      </c>
      <c r="O188" s="140">
        <f>VLOOKUP($A188,'Data shares'!$C:$FB,65)*100</f>
        <v>59.24</v>
      </c>
    </row>
    <row r="189" spans="1:15" x14ac:dyDescent="0.25">
      <c r="A189" s="101" t="str">
        <f>'Data Vlaue (Cr)'!C184</f>
        <v>SHREECEM</v>
      </c>
      <c r="B189" s="50">
        <f>VLOOKUP($A189,'Data shares'!$C:$FB,7)</f>
        <v>25470</v>
      </c>
      <c r="C189" s="50">
        <f>VLOOKUP($A189,'Data shares'!$C:$FB,10)*100</f>
        <v>-1.03</v>
      </c>
      <c r="D189" s="49">
        <f>VLOOKUP($A189,'Data shares'!$C:$FB,66)</f>
        <v>450475</v>
      </c>
      <c r="E189" s="49">
        <f>VLOOKUP($A189,'Data shares'!$C:$FB,67)</f>
        <v>378800</v>
      </c>
      <c r="F189" s="50">
        <f>VLOOKUP($A189,'Data shares'!$C:$FB,69)*100</f>
        <v>18.920000000000002</v>
      </c>
      <c r="G189" s="49">
        <f>VLOOKUP($A189,'Data shares'!$C:$FB,42)</f>
        <v>306150</v>
      </c>
      <c r="H189" s="49">
        <f>VLOOKUP($A189,'Data shares'!$C:$FB,43)</f>
        <v>50125</v>
      </c>
      <c r="I189" s="50">
        <f>VLOOKUP($A189,'Data shares'!$C:$FB,45)*100</f>
        <v>510.77000000000004</v>
      </c>
      <c r="J189" s="49">
        <f>VLOOKUP($A189,'Data shares'!$C:$FB,58)</f>
        <v>61625</v>
      </c>
      <c r="K189" s="49">
        <f>VLOOKUP($A189,'Data shares'!$C:$FB,59)</f>
        <v>58925</v>
      </c>
      <c r="L189" s="50">
        <f>VLOOKUP($A189,'Data shares'!$C:$FB,61)*100</f>
        <v>4.58</v>
      </c>
      <c r="M189" s="49">
        <f>VLOOKUP($A189,'Data shares'!$C:$FB,62)</f>
        <v>82700</v>
      </c>
      <c r="N189" s="49">
        <f>VLOOKUP($A189,'Data shares'!$C:$FB,63)</f>
        <v>269750</v>
      </c>
      <c r="O189" s="140">
        <f>VLOOKUP($A189,'Data shares'!$C:$FB,65)*100</f>
        <v>-69.34</v>
      </c>
    </row>
    <row r="190" spans="1:15" x14ac:dyDescent="0.25">
      <c r="A190" s="101" t="str">
        <f>'Data Vlaue (Cr)'!C185</f>
        <v>SHRIRAMFIN</v>
      </c>
      <c r="B190" s="50">
        <f>VLOOKUP($A190,'Data shares'!$C:$FB,7)</f>
        <v>1009.3</v>
      </c>
      <c r="C190" s="50">
        <f>VLOOKUP($A190,'Data shares'!$C:$FB,10)*100</f>
        <v>-3.37</v>
      </c>
      <c r="D190" s="49">
        <f>VLOOKUP($A190,'Data shares'!$C:$FB,66)</f>
        <v>53351100</v>
      </c>
      <c r="E190" s="49">
        <f>VLOOKUP($A190,'Data shares'!$C:$FB,67)</f>
        <v>31260075</v>
      </c>
      <c r="F190" s="50">
        <f>VLOOKUP($A190,'Data shares'!$C:$FB,69)*100</f>
        <v>70.67</v>
      </c>
      <c r="G190" s="49">
        <f>VLOOKUP($A190,'Data shares'!$C:$FB,42)</f>
        <v>22052250</v>
      </c>
      <c r="H190" s="49">
        <f>VLOOKUP($A190,'Data shares'!$C:$FB,43)</f>
        <v>10319100</v>
      </c>
      <c r="I190" s="50">
        <f>VLOOKUP($A190,'Data shares'!$C:$FB,45)*100</f>
        <v>113.7</v>
      </c>
      <c r="J190" s="49">
        <f>VLOOKUP($A190,'Data shares'!$C:$FB,58)</f>
        <v>19300050</v>
      </c>
      <c r="K190" s="49">
        <f>VLOOKUP($A190,'Data shares'!$C:$FB,59)</f>
        <v>14384700</v>
      </c>
      <c r="L190" s="50">
        <f>VLOOKUP($A190,'Data shares'!$C:$FB,61)*100</f>
        <v>34.17</v>
      </c>
      <c r="M190" s="49">
        <f>VLOOKUP($A190,'Data shares'!$C:$FB,62)</f>
        <v>11998800</v>
      </c>
      <c r="N190" s="49">
        <f>VLOOKUP($A190,'Data shares'!$C:$FB,63)</f>
        <v>6556275</v>
      </c>
      <c r="O190" s="140">
        <f>VLOOKUP($A190,'Data shares'!$C:$FB,65)*100</f>
        <v>83.009999999999991</v>
      </c>
    </row>
    <row r="191" spans="1:15" x14ac:dyDescent="0.25">
      <c r="A191" s="101" t="str">
        <f>'Data Vlaue (Cr)'!C186</f>
        <v>SIEMENS</v>
      </c>
      <c r="B191" s="50">
        <f>VLOOKUP($A191,'Data shares'!$C:$FB,7)</f>
        <v>3864.4</v>
      </c>
      <c r="C191" s="50">
        <f>VLOOKUP($A191,'Data shares'!$C:$FB,10)*100</f>
        <v>0.52</v>
      </c>
      <c r="D191" s="49">
        <f>VLOOKUP($A191,'Data shares'!$C:$FB,66)</f>
        <v>10110100</v>
      </c>
      <c r="E191" s="49">
        <f>VLOOKUP($A191,'Data shares'!$C:$FB,67)</f>
        <v>21792750</v>
      </c>
      <c r="F191" s="50">
        <f>VLOOKUP($A191,'Data shares'!$C:$FB,69)*100</f>
        <v>-53.61</v>
      </c>
      <c r="G191" s="49">
        <f>VLOOKUP($A191,'Data shares'!$C:$FB,42)</f>
        <v>3004400</v>
      </c>
      <c r="H191" s="49">
        <f>VLOOKUP($A191,'Data shares'!$C:$FB,43)</f>
        <v>1741600</v>
      </c>
      <c r="I191" s="50">
        <f>VLOOKUP($A191,'Data shares'!$C:$FB,45)*100</f>
        <v>72.509999999999991</v>
      </c>
      <c r="J191" s="49">
        <f>VLOOKUP($A191,'Data shares'!$C:$FB,58)</f>
        <v>4517975</v>
      </c>
      <c r="K191" s="49">
        <f>VLOOKUP($A191,'Data shares'!$C:$FB,59)</f>
        <v>14458325</v>
      </c>
      <c r="L191" s="50">
        <f>VLOOKUP($A191,'Data shares'!$C:$FB,61)*100</f>
        <v>-68.75</v>
      </c>
      <c r="M191" s="49">
        <f>VLOOKUP($A191,'Data shares'!$C:$FB,62)</f>
        <v>2587725</v>
      </c>
      <c r="N191" s="49">
        <f>VLOOKUP($A191,'Data shares'!$C:$FB,63)</f>
        <v>5592825</v>
      </c>
      <c r="O191" s="140">
        <f>VLOOKUP($A191,'Data shares'!$C:$FB,65)*100</f>
        <v>-53.73</v>
      </c>
    </row>
    <row r="192" spans="1:15" x14ac:dyDescent="0.25">
      <c r="A192" s="101" t="str">
        <f>'Data Vlaue (Cr)'!C187</f>
        <v>SOLARINDS</v>
      </c>
      <c r="B192" s="50">
        <f>VLOOKUP($A192,'Data shares'!$C:$FB,7)</f>
        <v>15747</v>
      </c>
      <c r="C192" s="50">
        <f>VLOOKUP($A192,'Data shares'!$C:$FB,10)*100</f>
        <v>3.11</v>
      </c>
      <c r="D192" s="49">
        <f>VLOOKUP($A192,'Data shares'!$C:$FB,66)</f>
        <v>4066100</v>
      </c>
      <c r="E192" s="49">
        <f>VLOOKUP($A192,'Data shares'!$C:$FB,67)</f>
        <v>1992750</v>
      </c>
      <c r="F192" s="50">
        <f>VLOOKUP($A192,'Data shares'!$C:$FB,69)*100</f>
        <v>104.03999999999999</v>
      </c>
      <c r="G192" s="49">
        <f>VLOOKUP($A192,'Data shares'!$C:$FB,42)</f>
        <v>739850</v>
      </c>
      <c r="H192" s="49">
        <f>VLOOKUP($A192,'Data shares'!$C:$FB,43)</f>
        <v>137750</v>
      </c>
      <c r="I192" s="50">
        <f>VLOOKUP($A192,'Data shares'!$C:$FB,45)*100</f>
        <v>437.1</v>
      </c>
      <c r="J192" s="49">
        <f>VLOOKUP($A192,'Data shares'!$C:$FB,58)</f>
        <v>1961800</v>
      </c>
      <c r="K192" s="49">
        <f>VLOOKUP($A192,'Data shares'!$C:$FB,59)</f>
        <v>827650</v>
      </c>
      <c r="L192" s="50">
        <f>VLOOKUP($A192,'Data shares'!$C:$FB,61)*100</f>
        <v>137.03</v>
      </c>
      <c r="M192" s="49">
        <f>VLOOKUP($A192,'Data shares'!$C:$FB,62)</f>
        <v>1364450</v>
      </c>
      <c r="N192" s="49">
        <f>VLOOKUP($A192,'Data shares'!$C:$FB,63)</f>
        <v>1027350</v>
      </c>
      <c r="O192" s="140">
        <f>VLOOKUP($A192,'Data shares'!$C:$FB,65)*100</f>
        <v>32.81</v>
      </c>
    </row>
    <row r="193" spans="1:15" x14ac:dyDescent="0.25">
      <c r="A193" s="101" t="str">
        <f>'Data Vlaue (Cr)'!C188</f>
        <v>SONACOMS</v>
      </c>
      <c r="B193" s="50">
        <f>VLOOKUP($A193,'Data shares'!$C:$FB,7)</f>
        <v>574.54999999999995</v>
      </c>
      <c r="C193" s="50">
        <f>VLOOKUP($A193,'Data shares'!$C:$FB,10)*100</f>
        <v>-2.36</v>
      </c>
      <c r="D193" s="49">
        <f>VLOOKUP($A193,'Data shares'!$C:$FB,66)</f>
        <v>14924175</v>
      </c>
      <c r="E193" s="49">
        <f>VLOOKUP($A193,'Data shares'!$C:$FB,67)</f>
        <v>9074800</v>
      </c>
      <c r="F193" s="50">
        <f>VLOOKUP($A193,'Data shares'!$C:$FB,69)*100</f>
        <v>64.459999999999994</v>
      </c>
      <c r="G193" s="49">
        <f>VLOOKUP($A193,'Data shares'!$C:$FB,42)</f>
        <v>7956375</v>
      </c>
      <c r="H193" s="49">
        <f>VLOOKUP($A193,'Data shares'!$C:$FB,43)</f>
        <v>3093125</v>
      </c>
      <c r="I193" s="50">
        <f>VLOOKUP($A193,'Data shares'!$C:$FB,45)*100</f>
        <v>157.22999999999999</v>
      </c>
      <c r="J193" s="49">
        <f>VLOOKUP($A193,'Data shares'!$C:$FB,58)</f>
        <v>4484725</v>
      </c>
      <c r="K193" s="49">
        <f>VLOOKUP($A193,'Data shares'!$C:$FB,59)</f>
        <v>4753000</v>
      </c>
      <c r="L193" s="50">
        <f>VLOOKUP($A193,'Data shares'!$C:$FB,61)*100</f>
        <v>-5.64</v>
      </c>
      <c r="M193" s="49">
        <f>VLOOKUP($A193,'Data shares'!$C:$FB,62)</f>
        <v>2483075</v>
      </c>
      <c r="N193" s="49">
        <f>VLOOKUP($A193,'Data shares'!$C:$FB,63)</f>
        <v>1228675</v>
      </c>
      <c r="O193" s="140">
        <f>VLOOKUP($A193,'Data shares'!$C:$FB,65)*100</f>
        <v>102.08999999999999</v>
      </c>
    </row>
    <row r="194" spans="1:15" x14ac:dyDescent="0.25">
      <c r="A194" s="101" t="str">
        <f>'Data Vlaue (Cr)'!C189</f>
        <v>SRF</v>
      </c>
      <c r="B194" s="50">
        <f>VLOOKUP($A194,'Data shares'!$C:$FB,7)</f>
        <v>2542.4</v>
      </c>
      <c r="C194" s="50">
        <f>VLOOKUP($A194,'Data shares'!$C:$FB,10)*100</f>
        <v>1.9900000000000002</v>
      </c>
      <c r="D194" s="49">
        <f>VLOOKUP($A194,'Data shares'!$C:$FB,66)</f>
        <v>12429600</v>
      </c>
      <c r="E194" s="49">
        <f>VLOOKUP($A194,'Data shares'!$C:$FB,67)</f>
        <v>5317000</v>
      </c>
      <c r="F194" s="50">
        <f>VLOOKUP($A194,'Data shares'!$C:$FB,69)*100</f>
        <v>133.76999999999998</v>
      </c>
      <c r="G194" s="49">
        <f>VLOOKUP($A194,'Data shares'!$C:$FB,42)</f>
        <v>3635000</v>
      </c>
      <c r="H194" s="49">
        <f>VLOOKUP($A194,'Data shares'!$C:$FB,43)</f>
        <v>884400</v>
      </c>
      <c r="I194" s="50">
        <f>VLOOKUP($A194,'Data shares'!$C:$FB,45)*100</f>
        <v>311.01</v>
      </c>
      <c r="J194" s="49">
        <f>VLOOKUP($A194,'Data shares'!$C:$FB,58)</f>
        <v>6999200</v>
      </c>
      <c r="K194" s="49">
        <f>VLOOKUP($A194,'Data shares'!$C:$FB,59)</f>
        <v>3196000</v>
      </c>
      <c r="L194" s="50">
        <f>VLOOKUP($A194,'Data shares'!$C:$FB,61)*100</f>
        <v>119</v>
      </c>
      <c r="M194" s="49">
        <f>VLOOKUP($A194,'Data shares'!$C:$FB,62)</f>
        <v>1795400</v>
      </c>
      <c r="N194" s="49">
        <f>VLOOKUP($A194,'Data shares'!$C:$FB,63)</f>
        <v>1236600</v>
      </c>
      <c r="O194" s="140">
        <f>VLOOKUP($A194,'Data shares'!$C:$FB,65)*100</f>
        <v>45.190000000000005</v>
      </c>
    </row>
    <row r="195" spans="1:15" x14ac:dyDescent="0.25">
      <c r="A195" s="101" t="str">
        <f>'Data Vlaue (Cr)'!C190</f>
        <v>SUNPHARMA</v>
      </c>
      <c r="B195" s="50">
        <f>VLOOKUP($A195,'Data shares'!$C:$FB,7)</f>
        <v>1680.1</v>
      </c>
      <c r="C195" s="50">
        <f>VLOOKUP($A195,'Data shares'!$C:$FB,10)*100</f>
        <v>0.62</v>
      </c>
      <c r="D195" s="49">
        <f>VLOOKUP($A195,'Data shares'!$C:$FB,66)</f>
        <v>51832900</v>
      </c>
      <c r="E195" s="49">
        <f>VLOOKUP($A195,'Data shares'!$C:$FB,67)</f>
        <v>16806300</v>
      </c>
      <c r="F195" s="50">
        <f>VLOOKUP($A195,'Data shares'!$C:$FB,69)*100</f>
        <v>208.41</v>
      </c>
      <c r="G195" s="49">
        <f>VLOOKUP($A195,'Data shares'!$C:$FB,42)</f>
        <v>9653700</v>
      </c>
      <c r="H195" s="49">
        <f>VLOOKUP($A195,'Data shares'!$C:$FB,43)</f>
        <v>2814000</v>
      </c>
      <c r="I195" s="50">
        <f>VLOOKUP($A195,'Data shares'!$C:$FB,45)*100</f>
        <v>243.06</v>
      </c>
      <c r="J195" s="49">
        <f>VLOOKUP($A195,'Data shares'!$C:$FB,58)</f>
        <v>30054150</v>
      </c>
      <c r="K195" s="49">
        <f>VLOOKUP($A195,'Data shares'!$C:$FB,59)</f>
        <v>9032450</v>
      </c>
      <c r="L195" s="50">
        <f>VLOOKUP($A195,'Data shares'!$C:$FB,61)*100</f>
        <v>232.73999999999998</v>
      </c>
      <c r="M195" s="49">
        <f>VLOOKUP($A195,'Data shares'!$C:$FB,62)</f>
        <v>12125050</v>
      </c>
      <c r="N195" s="49">
        <f>VLOOKUP($A195,'Data shares'!$C:$FB,63)</f>
        <v>4959850</v>
      </c>
      <c r="O195" s="140">
        <f>VLOOKUP($A195,'Data shares'!$C:$FB,65)*100</f>
        <v>144.46</v>
      </c>
    </row>
    <row r="196" spans="1:15" x14ac:dyDescent="0.25">
      <c r="A196" s="101" t="str">
        <f>'Data Vlaue (Cr)'!C191</f>
        <v>SUPREMEIND</v>
      </c>
      <c r="B196" s="50">
        <f>VLOOKUP($A196,'Data shares'!$C:$FB,7)</f>
        <v>3677.3</v>
      </c>
      <c r="C196" s="50">
        <f>VLOOKUP($A196,'Data shares'!$C:$FB,10)*100</f>
        <v>-0.38</v>
      </c>
      <c r="D196" s="49">
        <f>VLOOKUP($A196,'Data shares'!$C:$FB,66)</f>
        <v>2899575</v>
      </c>
      <c r="E196" s="49">
        <f>VLOOKUP($A196,'Data shares'!$C:$FB,67)</f>
        <v>1429575</v>
      </c>
      <c r="F196" s="50">
        <f>VLOOKUP($A196,'Data shares'!$C:$FB,69)*100</f>
        <v>102.83</v>
      </c>
      <c r="G196" s="49">
        <f>VLOOKUP($A196,'Data shares'!$C:$FB,42)</f>
        <v>1483300</v>
      </c>
      <c r="H196" s="49">
        <f>VLOOKUP($A196,'Data shares'!$C:$FB,43)</f>
        <v>425250</v>
      </c>
      <c r="I196" s="50">
        <f>VLOOKUP($A196,'Data shares'!$C:$FB,45)*100</f>
        <v>248.81000000000003</v>
      </c>
      <c r="J196" s="49">
        <f>VLOOKUP($A196,'Data shares'!$C:$FB,58)</f>
        <v>1118425</v>
      </c>
      <c r="K196" s="49">
        <f>VLOOKUP($A196,'Data shares'!$C:$FB,59)</f>
        <v>760900</v>
      </c>
      <c r="L196" s="50">
        <f>VLOOKUP($A196,'Data shares'!$C:$FB,61)*100</f>
        <v>46.989999999999995</v>
      </c>
      <c r="M196" s="49">
        <f>VLOOKUP($A196,'Data shares'!$C:$FB,62)</f>
        <v>297850</v>
      </c>
      <c r="N196" s="49">
        <f>VLOOKUP($A196,'Data shares'!$C:$FB,63)</f>
        <v>243425</v>
      </c>
      <c r="O196" s="140">
        <f>VLOOKUP($A196,'Data shares'!$C:$FB,65)*100</f>
        <v>22.36</v>
      </c>
    </row>
    <row r="197" spans="1:15" x14ac:dyDescent="0.25">
      <c r="A197" s="101" t="str">
        <f>'Data Vlaue (Cr)'!C192</f>
        <v>SUZLON</v>
      </c>
      <c r="B197" s="50">
        <f>VLOOKUP($A197,'Data shares'!$C:$FB,7)</f>
        <v>53.73</v>
      </c>
      <c r="C197" s="50">
        <f>VLOOKUP($A197,'Data shares'!$C:$FB,10)*100</f>
        <v>-1.54</v>
      </c>
      <c r="D197" s="49">
        <f>VLOOKUP($A197,'Data shares'!$C:$FB,66)</f>
        <v>695601875</v>
      </c>
      <c r="E197" s="49">
        <f>VLOOKUP($A197,'Data shares'!$C:$FB,67)</f>
        <v>641749700</v>
      </c>
      <c r="F197" s="50">
        <f>VLOOKUP($A197,'Data shares'!$C:$FB,69)*100</f>
        <v>8.39</v>
      </c>
      <c r="G197" s="49">
        <f>VLOOKUP($A197,'Data shares'!$C:$FB,42)</f>
        <v>250082750</v>
      </c>
      <c r="H197" s="49">
        <f>VLOOKUP($A197,'Data shares'!$C:$FB,43)</f>
        <v>108679050</v>
      </c>
      <c r="I197" s="50">
        <f>VLOOKUP($A197,'Data shares'!$C:$FB,45)*100</f>
        <v>130.10999999999999</v>
      </c>
      <c r="J197" s="49">
        <f>VLOOKUP($A197,'Data shares'!$C:$FB,58)</f>
        <v>301868200</v>
      </c>
      <c r="K197" s="49">
        <f>VLOOKUP($A197,'Data shares'!$C:$FB,59)</f>
        <v>348229625</v>
      </c>
      <c r="L197" s="50">
        <f>VLOOKUP($A197,'Data shares'!$C:$FB,61)*100</f>
        <v>-13.309999999999999</v>
      </c>
      <c r="M197" s="49">
        <f>VLOOKUP($A197,'Data shares'!$C:$FB,62)</f>
        <v>143650925</v>
      </c>
      <c r="N197" s="49">
        <f>VLOOKUP($A197,'Data shares'!$C:$FB,63)</f>
        <v>184841025</v>
      </c>
      <c r="O197" s="140">
        <f>VLOOKUP($A197,'Data shares'!$C:$FB,65)*100</f>
        <v>-22.28</v>
      </c>
    </row>
    <row r="198" spans="1:15" x14ac:dyDescent="0.25">
      <c r="A198" s="101" t="str">
        <f>'Data Vlaue (Cr)'!C193</f>
        <v>SWIGGY</v>
      </c>
      <c r="B198" s="50">
        <f>VLOOKUP($A198,'Data shares'!$C:$FB,7)</f>
        <v>293.05</v>
      </c>
      <c r="C198" s="50">
        <f>VLOOKUP($A198,'Data shares'!$C:$FB,10)*100</f>
        <v>-0.55999999999999994</v>
      </c>
      <c r="D198" s="49">
        <f>VLOOKUP($A198,'Data shares'!$C:$FB,66)</f>
        <v>80005900</v>
      </c>
      <c r="E198" s="49">
        <f>VLOOKUP($A198,'Data shares'!$C:$FB,67)</f>
        <v>56253600</v>
      </c>
      <c r="F198" s="50">
        <f>VLOOKUP($A198,'Data shares'!$C:$FB,69)*100</f>
        <v>42.22</v>
      </c>
      <c r="G198" s="49">
        <f>VLOOKUP($A198,'Data shares'!$C:$FB,42)</f>
        <v>47985600</v>
      </c>
      <c r="H198" s="49">
        <f>VLOOKUP($A198,'Data shares'!$C:$FB,43)</f>
        <v>12106900</v>
      </c>
      <c r="I198" s="50">
        <f>VLOOKUP($A198,'Data shares'!$C:$FB,45)*100</f>
        <v>296.34999999999997</v>
      </c>
      <c r="J198" s="49">
        <f>VLOOKUP($A198,'Data shares'!$C:$FB,58)</f>
        <v>23692500</v>
      </c>
      <c r="K198" s="49">
        <f>VLOOKUP($A198,'Data shares'!$C:$FB,59)</f>
        <v>32818500</v>
      </c>
      <c r="L198" s="50">
        <f>VLOOKUP($A198,'Data shares'!$C:$FB,61)*100</f>
        <v>-27.810000000000002</v>
      </c>
      <c r="M198" s="49">
        <f>VLOOKUP($A198,'Data shares'!$C:$FB,62)</f>
        <v>8327800</v>
      </c>
      <c r="N198" s="49">
        <f>VLOOKUP($A198,'Data shares'!$C:$FB,63)</f>
        <v>11328200</v>
      </c>
      <c r="O198" s="140">
        <f>VLOOKUP($A198,'Data shares'!$C:$FB,65)*100</f>
        <v>-26.490000000000002</v>
      </c>
    </row>
    <row r="199" spans="1:15" x14ac:dyDescent="0.25">
      <c r="A199" s="101" t="str">
        <f>'Data Vlaue (Cr)'!C194</f>
        <v>TATACONSUM</v>
      </c>
      <c r="B199" s="50">
        <f>VLOOKUP($A199,'Data shares'!$C:$FB,7)</f>
        <v>1184.4000000000001</v>
      </c>
      <c r="C199" s="50">
        <f>VLOOKUP($A199,'Data shares'!$C:$FB,10)*100</f>
        <v>0.49</v>
      </c>
      <c r="D199" s="49">
        <f>VLOOKUP($A199,'Data shares'!$C:$FB,66)</f>
        <v>13362800</v>
      </c>
      <c r="E199" s="49">
        <f>VLOOKUP($A199,'Data shares'!$C:$FB,67)</f>
        <v>36215300</v>
      </c>
      <c r="F199" s="50">
        <f>VLOOKUP($A199,'Data shares'!$C:$FB,69)*100</f>
        <v>-63.1</v>
      </c>
      <c r="G199" s="49">
        <f>VLOOKUP($A199,'Data shares'!$C:$FB,42)</f>
        <v>5133700</v>
      </c>
      <c r="H199" s="49">
        <f>VLOOKUP($A199,'Data shares'!$C:$FB,43)</f>
        <v>4452250</v>
      </c>
      <c r="I199" s="50">
        <f>VLOOKUP($A199,'Data shares'!$C:$FB,45)*100</f>
        <v>15.310000000000002</v>
      </c>
      <c r="J199" s="49">
        <f>VLOOKUP($A199,'Data shares'!$C:$FB,58)</f>
        <v>4744300</v>
      </c>
      <c r="K199" s="49">
        <f>VLOOKUP($A199,'Data shares'!$C:$FB,59)</f>
        <v>22512050</v>
      </c>
      <c r="L199" s="50">
        <f>VLOOKUP($A199,'Data shares'!$C:$FB,61)*100</f>
        <v>-78.930000000000007</v>
      </c>
      <c r="M199" s="49">
        <f>VLOOKUP($A199,'Data shares'!$C:$FB,62)</f>
        <v>3484800</v>
      </c>
      <c r="N199" s="49">
        <f>VLOOKUP($A199,'Data shares'!$C:$FB,63)</f>
        <v>9251000</v>
      </c>
      <c r="O199" s="140">
        <f>VLOOKUP($A199,'Data shares'!$C:$FB,65)*100</f>
        <v>-62.33</v>
      </c>
    </row>
    <row r="200" spans="1:15" x14ac:dyDescent="0.25">
      <c r="A200" s="101" t="str">
        <f>'Data Vlaue (Cr)'!C195</f>
        <v>TATAELXSI</v>
      </c>
      <c r="B200" s="50">
        <f>VLOOKUP($A200,'Data shares'!$C:$FB,7)</f>
        <v>4233.5</v>
      </c>
      <c r="C200" s="50">
        <f>VLOOKUP($A200,'Data shares'!$C:$FB,10)*100</f>
        <v>-2.96</v>
      </c>
      <c r="D200" s="49">
        <f>VLOOKUP($A200,'Data shares'!$C:$FB,66)</f>
        <v>13199900</v>
      </c>
      <c r="E200" s="49">
        <f>VLOOKUP($A200,'Data shares'!$C:$FB,67)</f>
        <v>20738100</v>
      </c>
      <c r="F200" s="50">
        <f>VLOOKUP($A200,'Data shares'!$C:$FB,69)*100</f>
        <v>-36.35</v>
      </c>
      <c r="G200" s="49">
        <f>VLOOKUP($A200,'Data shares'!$C:$FB,42)</f>
        <v>3137900</v>
      </c>
      <c r="H200" s="49">
        <f>VLOOKUP($A200,'Data shares'!$C:$FB,43)</f>
        <v>2627500</v>
      </c>
      <c r="I200" s="50">
        <f>VLOOKUP($A200,'Data shares'!$C:$FB,45)*100</f>
        <v>19.43</v>
      </c>
      <c r="J200" s="49">
        <f>VLOOKUP($A200,'Data shares'!$C:$FB,58)</f>
        <v>7061100</v>
      </c>
      <c r="K200" s="49">
        <f>VLOOKUP($A200,'Data shares'!$C:$FB,59)</f>
        <v>11489600</v>
      </c>
      <c r="L200" s="50">
        <f>VLOOKUP($A200,'Data shares'!$C:$FB,61)*100</f>
        <v>-38.54</v>
      </c>
      <c r="M200" s="49">
        <f>VLOOKUP($A200,'Data shares'!$C:$FB,62)</f>
        <v>3000900</v>
      </c>
      <c r="N200" s="49">
        <f>VLOOKUP($A200,'Data shares'!$C:$FB,63)</f>
        <v>6621000</v>
      </c>
      <c r="O200" s="140">
        <f>VLOOKUP($A200,'Data shares'!$C:$FB,65)*100</f>
        <v>-54.679999999999993</v>
      </c>
    </row>
    <row r="201" spans="1:15" x14ac:dyDescent="0.25">
      <c r="A201" s="101" t="str">
        <f>'Data Vlaue (Cr)'!C196</f>
        <v>TATAPOWER</v>
      </c>
      <c r="B201" s="50">
        <f>VLOOKUP($A201,'Data shares'!$C:$FB,7)</f>
        <v>430.3</v>
      </c>
      <c r="C201" s="50">
        <f>VLOOKUP($A201,'Data shares'!$C:$FB,10)*100</f>
        <v>-1.32</v>
      </c>
      <c r="D201" s="49">
        <f>VLOOKUP($A201,'Data shares'!$C:$FB,66)</f>
        <v>109696850</v>
      </c>
      <c r="E201" s="49">
        <f>VLOOKUP($A201,'Data shares'!$C:$FB,67)</f>
        <v>92842050</v>
      </c>
      <c r="F201" s="50">
        <f>VLOOKUP($A201,'Data shares'!$C:$FB,69)*100</f>
        <v>18.149999999999999</v>
      </c>
      <c r="G201" s="49">
        <f>VLOOKUP($A201,'Data shares'!$C:$FB,42)</f>
        <v>30558750</v>
      </c>
      <c r="H201" s="49">
        <f>VLOOKUP($A201,'Data shares'!$C:$FB,43)</f>
        <v>10397950</v>
      </c>
      <c r="I201" s="50">
        <f>VLOOKUP($A201,'Data shares'!$C:$FB,45)*100</f>
        <v>193.89000000000001</v>
      </c>
      <c r="J201" s="49">
        <f>VLOOKUP($A201,'Data shares'!$C:$FB,58)</f>
        <v>48263250</v>
      </c>
      <c r="K201" s="49">
        <f>VLOOKUP($A201,'Data shares'!$C:$FB,59)</f>
        <v>52536400</v>
      </c>
      <c r="L201" s="50">
        <f>VLOOKUP($A201,'Data shares'!$C:$FB,61)*100</f>
        <v>-8.129999999999999</v>
      </c>
      <c r="M201" s="49">
        <f>VLOOKUP($A201,'Data shares'!$C:$FB,62)</f>
        <v>30874850</v>
      </c>
      <c r="N201" s="49">
        <f>VLOOKUP($A201,'Data shares'!$C:$FB,63)</f>
        <v>29907700</v>
      </c>
      <c r="O201" s="140">
        <f>VLOOKUP($A201,'Data shares'!$C:$FB,65)*100</f>
        <v>3.2300000000000004</v>
      </c>
    </row>
    <row r="202" spans="1:15" x14ac:dyDescent="0.25">
      <c r="A202" s="101" t="str">
        <f>'Data Vlaue (Cr)'!C197</f>
        <v>TATASTEEL</v>
      </c>
      <c r="B202" s="50">
        <f>VLOOKUP($A202,'Data shares'!$C:$FB,7)</f>
        <v>210.91</v>
      </c>
      <c r="C202" s="50">
        <f>VLOOKUP($A202,'Data shares'!$C:$FB,10)*100</f>
        <v>-1</v>
      </c>
      <c r="D202" s="49">
        <f>VLOOKUP($A202,'Data shares'!$C:$FB,66)</f>
        <v>216166500</v>
      </c>
      <c r="E202" s="49">
        <f>VLOOKUP($A202,'Data shares'!$C:$FB,67)</f>
        <v>227832000</v>
      </c>
      <c r="F202" s="50">
        <f>VLOOKUP($A202,'Data shares'!$C:$FB,69)*100</f>
        <v>-5.12</v>
      </c>
      <c r="G202" s="49">
        <f>VLOOKUP($A202,'Data shares'!$C:$FB,42)</f>
        <v>75641500</v>
      </c>
      <c r="H202" s="49">
        <f>VLOOKUP($A202,'Data shares'!$C:$FB,43)</f>
        <v>37933500</v>
      </c>
      <c r="I202" s="50">
        <f>VLOOKUP($A202,'Data shares'!$C:$FB,45)*100</f>
        <v>99.41</v>
      </c>
      <c r="J202" s="49">
        <f>VLOOKUP($A202,'Data shares'!$C:$FB,58)</f>
        <v>86894500</v>
      </c>
      <c r="K202" s="49">
        <f>VLOOKUP($A202,'Data shares'!$C:$FB,59)</f>
        <v>118096000</v>
      </c>
      <c r="L202" s="50">
        <f>VLOOKUP($A202,'Data shares'!$C:$FB,61)*100</f>
        <v>-26.419999999999998</v>
      </c>
      <c r="M202" s="49">
        <f>VLOOKUP($A202,'Data shares'!$C:$FB,62)</f>
        <v>53630500</v>
      </c>
      <c r="N202" s="49">
        <f>VLOOKUP($A202,'Data shares'!$C:$FB,63)</f>
        <v>71802500</v>
      </c>
      <c r="O202" s="140">
        <f>VLOOKUP($A202,'Data shares'!$C:$FB,65)*100</f>
        <v>-25.31</v>
      </c>
    </row>
    <row r="203" spans="1:15" x14ac:dyDescent="0.25">
      <c r="A203" s="101" t="str">
        <f>'Data Vlaue (Cr)'!C198</f>
        <v>TATATECH</v>
      </c>
      <c r="B203" s="50">
        <f>VLOOKUP($A203,'Data shares'!$C:$FB,7)</f>
        <v>563.5</v>
      </c>
      <c r="C203" s="50">
        <f>VLOOKUP($A203,'Data shares'!$C:$FB,10)*100</f>
        <v>-2.0500000000000003</v>
      </c>
      <c r="D203" s="49">
        <f>VLOOKUP($A203,'Data shares'!$C:$FB,66)</f>
        <v>6268800</v>
      </c>
      <c r="E203" s="49">
        <f>VLOOKUP($A203,'Data shares'!$C:$FB,67)</f>
        <v>3782400</v>
      </c>
      <c r="F203" s="50">
        <f>VLOOKUP($A203,'Data shares'!$C:$FB,69)*100</f>
        <v>65.739999999999995</v>
      </c>
      <c r="G203" s="49">
        <f>VLOOKUP($A203,'Data shares'!$C:$FB,42)</f>
        <v>1877600</v>
      </c>
      <c r="H203" s="49">
        <f>VLOOKUP($A203,'Data shares'!$C:$FB,43)</f>
        <v>628800</v>
      </c>
      <c r="I203" s="50">
        <f>VLOOKUP($A203,'Data shares'!$C:$FB,45)*100</f>
        <v>198.6</v>
      </c>
      <c r="J203" s="49">
        <f>VLOOKUP($A203,'Data shares'!$C:$FB,58)</f>
        <v>2521600</v>
      </c>
      <c r="K203" s="49">
        <f>VLOOKUP($A203,'Data shares'!$C:$FB,59)</f>
        <v>2056000</v>
      </c>
      <c r="L203" s="50">
        <f>VLOOKUP($A203,'Data shares'!$C:$FB,61)*100</f>
        <v>22.650000000000002</v>
      </c>
      <c r="M203" s="49">
        <f>VLOOKUP($A203,'Data shares'!$C:$FB,62)</f>
        <v>1869600</v>
      </c>
      <c r="N203" s="49">
        <f>VLOOKUP($A203,'Data shares'!$C:$FB,63)</f>
        <v>1097600</v>
      </c>
      <c r="O203" s="140">
        <f>VLOOKUP($A203,'Data shares'!$C:$FB,65)*100</f>
        <v>70.34</v>
      </c>
    </row>
    <row r="204" spans="1:15" x14ac:dyDescent="0.25">
      <c r="A204" s="101" t="str">
        <f>'Data Vlaue (Cr)'!C199</f>
        <v>TCS</v>
      </c>
      <c r="B204" s="50">
        <f>VLOOKUP($A204,'Data shares'!$C:$FB,7)</f>
        <v>2521.8000000000002</v>
      </c>
      <c r="C204" s="50">
        <f>VLOOKUP($A204,'Data shares'!$C:$FB,10)*100</f>
        <v>-0.66</v>
      </c>
      <c r="D204" s="49">
        <f>VLOOKUP($A204,'Data shares'!$C:$FB,66)</f>
        <v>59013850</v>
      </c>
      <c r="E204" s="49">
        <f>VLOOKUP($A204,'Data shares'!$C:$FB,67)</f>
        <v>75469625</v>
      </c>
      <c r="F204" s="50">
        <f>VLOOKUP($A204,'Data shares'!$C:$FB,69)*100</f>
        <v>-21.8</v>
      </c>
      <c r="G204" s="49">
        <f>VLOOKUP($A204,'Data shares'!$C:$FB,42)</f>
        <v>21437850</v>
      </c>
      <c r="H204" s="49">
        <f>VLOOKUP($A204,'Data shares'!$C:$FB,43)</f>
        <v>8652175</v>
      </c>
      <c r="I204" s="50">
        <f>VLOOKUP($A204,'Data shares'!$C:$FB,45)*100</f>
        <v>147.77000000000001</v>
      </c>
      <c r="J204" s="49">
        <f>VLOOKUP($A204,'Data shares'!$C:$FB,58)</f>
        <v>23879275</v>
      </c>
      <c r="K204" s="49">
        <f>VLOOKUP($A204,'Data shares'!$C:$FB,59)</f>
        <v>41686750</v>
      </c>
      <c r="L204" s="50">
        <f>VLOOKUP($A204,'Data shares'!$C:$FB,61)*100</f>
        <v>-42.72</v>
      </c>
      <c r="M204" s="49">
        <f>VLOOKUP($A204,'Data shares'!$C:$FB,62)</f>
        <v>13696725</v>
      </c>
      <c r="N204" s="49">
        <f>VLOOKUP($A204,'Data shares'!$C:$FB,63)</f>
        <v>25130700</v>
      </c>
      <c r="O204" s="140">
        <f>VLOOKUP($A204,'Data shares'!$C:$FB,65)*100</f>
        <v>-45.5</v>
      </c>
    </row>
    <row r="205" spans="1:15" x14ac:dyDescent="0.25">
      <c r="A205" s="101" t="str">
        <f>'Data Vlaue (Cr)'!C200</f>
        <v>TECHM</v>
      </c>
      <c r="B205" s="50">
        <f>VLOOKUP($A205,'Data shares'!$C:$FB,7)</f>
        <v>1421.5</v>
      </c>
      <c r="C205" s="50">
        <f>VLOOKUP($A205,'Data shares'!$C:$FB,10)*100</f>
        <v>-2.81</v>
      </c>
      <c r="D205" s="49">
        <f>VLOOKUP($A205,'Data shares'!$C:$FB,66)</f>
        <v>90592200</v>
      </c>
      <c r="E205" s="49">
        <f>VLOOKUP($A205,'Data shares'!$C:$FB,67)</f>
        <v>213557400</v>
      </c>
      <c r="F205" s="50">
        <f>VLOOKUP($A205,'Data shares'!$C:$FB,69)*100</f>
        <v>-57.58</v>
      </c>
      <c r="G205" s="49">
        <f>VLOOKUP($A205,'Data shares'!$C:$FB,42)</f>
        <v>19875600</v>
      </c>
      <c r="H205" s="49">
        <f>VLOOKUP($A205,'Data shares'!$C:$FB,43)</f>
        <v>21679200</v>
      </c>
      <c r="I205" s="50">
        <f>VLOOKUP($A205,'Data shares'!$C:$FB,45)*100</f>
        <v>-8.32</v>
      </c>
      <c r="J205" s="49">
        <f>VLOOKUP($A205,'Data shares'!$C:$FB,58)</f>
        <v>46210800</v>
      </c>
      <c r="K205" s="49">
        <f>VLOOKUP($A205,'Data shares'!$C:$FB,59)</f>
        <v>115022400</v>
      </c>
      <c r="L205" s="50">
        <f>VLOOKUP($A205,'Data shares'!$C:$FB,61)*100</f>
        <v>-59.819999999999993</v>
      </c>
      <c r="M205" s="49">
        <f>VLOOKUP($A205,'Data shares'!$C:$FB,62)</f>
        <v>24505800</v>
      </c>
      <c r="N205" s="49">
        <f>VLOOKUP($A205,'Data shares'!$C:$FB,63)</f>
        <v>76855800</v>
      </c>
      <c r="O205" s="140">
        <f>VLOOKUP($A205,'Data shares'!$C:$FB,65)*100</f>
        <v>-68.11</v>
      </c>
    </row>
    <row r="206" spans="1:15" x14ac:dyDescent="0.25">
      <c r="A206" s="101" t="str">
        <f>'Data Vlaue (Cr)'!C201</f>
        <v>TIINDIA</v>
      </c>
      <c r="B206" s="50">
        <f>VLOOKUP($A206,'Data shares'!$C:$FB,7)</f>
        <v>3086.8</v>
      </c>
      <c r="C206" s="50">
        <f>VLOOKUP($A206,'Data shares'!$C:$FB,10)*100</f>
        <v>2.06</v>
      </c>
      <c r="D206" s="49">
        <f>VLOOKUP($A206,'Data shares'!$C:$FB,66)</f>
        <v>7366400</v>
      </c>
      <c r="E206" s="49">
        <f>VLOOKUP($A206,'Data shares'!$C:$FB,67)</f>
        <v>6210200</v>
      </c>
      <c r="F206" s="50">
        <f>VLOOKUP($A206,'Data shares'!$C:$FB,69)*100</f>
        <v>18.62</v>
      </c>
      <c r="G206" s="49">
        <f>VLOOKUP($A206,'Data shares'!$C:$FB,42)</f>
        <v>2432800</v>
      </c>
      <c r="H206" s="49">
        <f>VLOOKUP($A206,'Data shares'!$C:$FB,43)</f>
        <v>571800</v>
      </c>
      <c r="I206" s="50">
        <f>VLOOKUP($A206,'Data shares'!$C:$FB,45)*100</f>
        <v>325.45999999999998</v>
      </c>
      <c r="J206" s="49">
        <f>VLOOKUP($A206,'Data shares'!$C:$FB,58)</f>
        <v>3463600</v>
      </c>
      <c r="K206" s="49">
        <f>VLOOKUP($A206,'Data shares'!$C:$FB,59)</f>
        <v>4131400</v>
      </c>
      <c r="L206" s="50">
        <f>VLOOKUP($A206,'Data shares'!$C:$FB,61)*100</f>
        <v>-16.16</v>
      </c>
      <c r="M206" s="49">
        <f>VLOOKUP($A206,'Data shares'!$C:$FB,62)</f>
        <v>1470000</v>
      </c>
      <c r="N206" s="49">
        <f>VLOOKUP($A206,'Data shares'!$C:$FB,63)</f>
        <v>1507000</v>
      </c>
      <c r="O206" s="140">
        <f>VLOOKUP($A206,'Data shares'!$C:$FB,65)*100</f>
        <v>-2.46</v>
      </c>
    </row>
    <row r="207" spans="1:15" x14ac:dyDescent="0.25">
      <c r="A207" s="101" t="str">
        <f>'Data Vlaue (Cr)'!C202</f>
        <v>TITAN</v>
      </c>
      <c r="B207" s="50">
        <f>VLOOKUP($A207,'Data shares'!$C:$FB,7)</f>
        <v>4456.5</v>
      </c>
      <c r="C207" s="50">
        <f>VLOOKUP($A207,'Data shares'!$C:$FB,10)*100</f>
        <v>0.04</v>
      </c>
      <c r="D207" s="49">
        <f>VLOOKUP($A207,'Data shares'!$C:$FB,66)</f>
        <v>10882200</v>
      </c>
      <c r="E207" s="49">
        <f>VLOOKUP($A207,'Data shares'!$C:$FB,67)</f>
        <v>6830775</v>
      </c>
      <c r="F207" s="50">
        <f>VLOOKUP($A207,'Data shares'!$C:$FB,69)*100</f>
        <v>59.309999999999995</v>
      </c>
      <c r="G207" s="49">
        <f>VLOOKUP($A207,'Data shares'!$C:$FB,42)</f>
        <v>3889200</v>
      </c>
      <c r="H207" s="49">
        <f>VLOOKUP($A207,'Data shares'!$C:$FB,43)</f>
        <v>1040900</v>
      </c>
      <c r="I207" s="50">
        <f>VLOOKUP($A207,'Data shares'!$C:$FB,45)*100</f>
        <v>273.64000000000004</v>
      </c>
      <c r="J207" s="49">
        <f>VLOOKUP($A207,'Data shares'!$C:$FB,58)</f>
        <v>3846325</v>
      </c>
      <c r="K207" s="49">
        <f>VLOOKUP($A207,'Data shares'!$C:$FB,59)</f>
        <v>3285275</v>
      </c>
      <c r="L207" s="50">
        <f>VLOOKUP($A207,'Data shares'!$C:$FB,61)*100</f>
        <v>17.080000000000002</v>
      </c>
      <c r="M207" s="49">
        <f>VLOOKUP($A207,'Data shares'!$C:$FB,62)</f>
        <v>3146675</v>
      </c>
      <c r="N207" s="49">
        <f>VLOOKUP($A207,'Data shares'!$C:$FB,63)</f>
        <v>2504600</v>
      </c>
      <c r="O207" s="140">
        <f>VLOOKUP($A207,'Data shares'!$C:$FB,65)*100</f>
        <v>25.64</v>
      </c>
    </row>
    <row r="208" spans="1:15" x14ac:dyDescent="0.25">
      <c r="A208" s="101" t="str">
        <f>'Data Vlaue (Cr)'!C203</f>
        <v>TMPV</v>
      </c>
      <c r="B208" s="50">
        <f>VLOOKUP($A208,'Data shares'!$C:$FB,7)</f>
        <v>351.95</v>
      </c>
      <c r="C208" s="50">
        <f>VLOOKUP($A208,'Data shares'!$C:$FB,10)*100</f>
        <v>-2.74</v>
      </c>
      <c r="D208" s="49">
        <f>VLOOKUP($A208,'Data shares'!$C:$FB,66)</f>
        <v>159694400</v>
      </c>
      <c r="E208" s="49">
        <f>VLOOKUP($A208,'Data shares'!$C:$FB,67)</f>
        <v>162506400</v>
      </c>
      <c r="F208" s="50">
        <f>VLOOKUP($A208,'Data shares'!$C:$FB,69)*100</f>
        <v>-1.73</v>
      </c>
      <c r="G208" s="49">
        <f>VLOOKUP($A208,'Data shares'!$C:$FB,42)</f>
        <v>52783200</v>
      </c>
      <c r="H208" s="49">
        <f>VLOOKUP($A208,'Data shares'!$C:$FB,43)</f>
        <v>19218400</v>
      </c>
      <c r="I208" s="50">
        <f>VLOOKUP($A208,'Data shares'!$C:$FB,45)*100</f>
        <v>174.65</v>
      </c>
      <c r="J208" s="49">
        <f>VLOOKUP($A208,'Data shares'!$C:$FB,58)</f>
        <v>61634400</v>
      </c>
      <c r="K208" s="49">
        <f>VLOOKUP($A208,'Data shares'!$C:$FB,59)</f>
        <v>89810400</v>
      </c>
      <c r="L208" s="50">
        <f>VLOOKUP($A208,'Data shares'!$C:$FB,61)*100</f>
        <v>-31.369999999999997</v>
      </c>
      <c r="M208" s="49">
        <f>VLOOKUP($A208,'Data shares'!$C:$FB,62)</f>
        <v>45276800</v>
      </c>
      <c r="N208" s="49">
        <f>VLOOKUP($A208,'Data shares'!$C:$FB,63)</f>
        <v>53477600</v>
      </c>
      <c r="O208" s="140">
        <f>VLOOKUP($A208,'Data shares'!$C:$FB,65)*100</f>
        <v>-15.340000000000002</v>
      </c>
    </row>
    <row r="209" spans="1:15" x14ac:dyDescent="0.25">
      <c r="A209" s="101" t="str">
        <f>'Data Vlaue (Cr)'!C204</f>
        <v>TORNTPHARM</v>
      </c>
      <c r="B209" s="50">
        <f>VLOOKUP($A209,'Data shares'!$C:$FB,7)</f>
        <v>4147.2</v>
      </c>
      <c r="C209" s="50">
        <f>VLOOKUP($A209,'Data shares'!$C:$FB,10)*100</f>
        <v>1.53</v>
      </c>
      <c r="D209" s="49">
        <f>VLOOKUP($A209,'Data shares'!$C:$FB,66)</f>
        <v>6022500</v>
      </c>
      <c r="E209" s="49">
        <f>VLOOKUP($A209,'Data shares'!$C:$FB,67)</f>
        <v>2213500</v>
      </c>
      <c r="F209" s="50">
        <f>VLOOKUP($A209,'Data shares'!$C:$FB,69)*100</f>
        <v>172.08</v>
      </c>
      <c r="G209" s="49">
        <f>VLOOKUP($A209,'Data shares'!$C:$FB,42)</f>
        <v>2807750</v>
      </c>
      <c r="H209" s="49">
        <f>VLOOKUP($A209,'Data shares'!$C:$FB,43)</f>
        <v>1009250</v>
      </c>
      <c r="I209" s="50">
        <f>VLOOKUP($A209,'Data shares'!$C:$FB,45)*100</f>
        <v>178.2</v>
      </c>
      <c r="J209" s="49">
        <f>VLOOKUP($A209,'Data shares'!$C:$FB,58)</f>
        <v>2419750</v>
      </c>
      <c r="K209" s="49">
        <f>VLOOKUP($A209,'Data shares'!$C:$FB,59)</f>
        <v>689750</v>
      </c>
      <c r="L209" s="50">
        <f>VLOOKUP($A209,'Data shares'!$C:$FB,61)*100</f>
        <v>250.82</v>
      </c>
      <c r="M209" s="49">
        <f>VLOOKUP($A209,'Data shares'!$C:$FB,62)</f>
        <v>795000</v>
      </c>
      <c r="N209" s="49">
        <f>VLOOKUP($A209,'Data shares'!$C:$FB,63)</f>
        <v>514500</v>
      </c>
      <c r="O209" s="140">
        <f>VLOOKUP($A209,'Data shares'!$C:$FB,65)*100</f>
        <v>54.52</v>
      </c>
    </row>
    <row r="210" spans="1:15" x14ac:dyDescent="0.25">
      <c r="A210" s="101" t="str">
        <f>'Data Vlaue (Cr)'!C205</f>
        <v>TORNTPOWER</v>
      </c>
      <c r="B210" s="50">
        <f>VLOOKUP($A210,'Data shares'!$C:$FB,7)</f>
        <v>1737</v>
      </c>
      <c r="C210" s="50">
        <f>VLOOKUP($A210,'Data shares'!$C:$FB,10)*100</f>
        <v>4.8</v>
      </c>
      <c r="D210" s="49">
        <f>VLOOKUP($A210,'Data shares'!$C:$FB,66)</f>
        <v>11896175</v>
      </c>
      <c r="E210" s="49">
        <f>VLOOKUP($A210,'Data shares'!$C:$FB,67)</f>
        <v>8576500</v>
      </c>
      <c r="F210" s="50">
        <f>VLOOKUP($A210,'Data shares'!$C:$FB,69)*100</f>
        <v>38.71</v>
      </c>
      <c r="G210" s="49">
        <f>VLOOKUP($A210,'Data shares'!$C:$FB,42)</f>
        <v>732275</v>
      </c>
      <c r="H210" s="49">
        <f>VLOOKUP($A210,'Data shares'!$C:$FB,43)</f>
        <v>469200</v>
      </c>
      <c r="I210" s="50">
        <f>VLOOKUP($A210,'Data shares'!$C:$FB,45)*100</f>
        <v>56.07</v>
      </c>
      <c r="J210" s="49">
        <f>VLOOKUP($A210,'Data shares'!$C:$FB,58)</f>
        <v>7452375</v>
      </c>
      <c r="K210" s="49">
        <f>VLOOKUP($A210,'Data shares'!$C:$FB,59)</f>
        <v>6362675</v>
      </c>
      <c r="L210" s="50">
        <f>VLOOKUP($A210,'Data shares'!$C:$FB,61)*100</f>
        <v>17.130000000000003</v>
      </c>
      <c r="M210" s="49">
        <f>VLOOKUP($A210,'Data shares'!$C:$FB,62)</f>
        <v>3711525</v>
      </c>
      <c r="N210" s="49">
        <f>VLOOKUP($A210,'Data shares'!$C:$FB,63)</f>
        <v>1744625</v>
      </c>
      <c r="O210" s="140">
        <f>VLOOKUP($A210,'Data shares'!$C:$FB,65)*100</f>
        <v>112.74</v>
      </c>
    </row>
    <row r="211" spans="1:15" x14ac:dyDescent="0.25">
      <c r="A211" s="101" t="str">
        <f>'Data Vlaue (Cr)'!C206</f>
        <v>TRENT</v>
      </c>
      <c r="B211" s="50">
        <f>VLOOKUP($A211,'Data shares'!$C:$FB,7)</f>
        <v>4251.3999999999996</v>
      </c>
      <c r="C211" s="50">
        <f>VLOOKUP($A211,'Data shares'!$C:$FB,10)*100</f>
        <v>-4.1300000000000008</v>
      </c>
      <c r="D211" s="49">
        <f>VLOOKUP($A211,'Data shares'!$C:$FB,66)</f>
        <v>57851800</v>
      </c>
      <c r="E211" s="49">
        <f>VLOOKUP($A211,'Data shares'!$C:$FB,67)</f>
        <v>31410900</v>
      </c>
      <c r="F211" s="50">
        <f>VLOOKUP($A211,'Data shares'!$C:$FB,69)*100</f>
        <v>84.179999999999993</v>
      </c>
      <c r="G211" s="49">
        <f>VLOOKUP($A211,'Data shares'!$C:$FB,42)</f>
        <v>10374400</v>
      </c>
      <c r="H211" s="49">
        <f>VLOOKUP($A211,'Data shares'!$C:$FB,43)</f>
        <v>3206700</v>
      </c>
      <c r="I211" s="50">
        <f>VLOOKUP($A211,'Data shares'!$C:$FB,45)*100</f>
        <v>223.51999999999998</v>
      </c>
      <c r="J211" s="49">
        <f>VLOOKUP($A211,'Data shares'!$C:$FB,58)</f>
        <v>30354000</v>
      </c>
      <c r="K211" s="49">
        <f>VLOOKUP($A211,'Data shares'!$C:$FB,59)</f>
        <v>19020800</v>
      </c>
      <c r="L211" s="50">
        <f>VLOOKUP($A211,'Data shares'!$C:$FB,61)*100</f>
        <v>59.58</v>
      </c>
      <c r="M211" s="49">
        <f>VLOOKUP($A211,'Data shares'!$C:$FB,62)</f>
        <v>17123400</v>
      </c>
      <c r="N211" s="49">
        <f>VLOOKUP($A211,'Data shares'!$C:$FB,63)</f>
        <v>9183400</v>
      </c>
      <c r="O211" s="140">
        <f>VLOOKUP($A211,'Data shares'!$C:$FB,65)*100</f>
        <v>86.460000000000008</v>
      </c>
    </row>
    <row r="212" spans="1:15" x14ac:dyDescent="0.25">
      <c r="A212" s="101" t="str">
        <f>'Data Vlaue (Cr)'!C207</f>
        <v>TVSMOTOR</v>
      </c>
      <c r="B212" s="50">
        <f>VLOOKUP($A212,'Data shares'!$C:$FB,7)</f>
        <v>3513</v>
      </c>
      <c r="C212" s="50">
        <f>VLOOKUP($A212,'Data shares'!$C:$FB,10)*100</f>
        <v>-4.03</v>
      </c>
      <c r="D212" s="49">
        <f>VLOOKUP($A212,'Data shares'!$C:$FB,66)</f>
        <v>14502425</v>
      </c>
      <c r="E212" s="49">
        <f>VLOOKUP($A212,'Data shares'!$C:$FB,67)</f>
        <v>4904200</v>
      </c>
      <c r="F212" s="50">
        <f>VLOOKUP($A212,'Data shares'!$C:$FB,69)*100</f>
        <v>195.71</v>
      </c>
      <c r="G212" s="49">
        <f>VLOOKUP($A212,'Data shares'!$C:$FB,42)</f>
        <v>4879350</v>
      </c>
      <c r="H212" s="49">
        <f>VLOOKUP($A212,'Data shares'!$C:$FB,43)</f>
        <v>1035650</v>
      </c>
      <c r="I212" s="50">
        <f>VLOOKUP($A212,'Data shares'!$C:$FB,45)*100</f>
        <v>371.14</v>
      </c>
      <c r="J212" s="49">
        <f>VLOOKUP($A212,'Data shares'!$C:$FB,58)</f>
        <v>5644975</v>
      </c>
      <c r="K212" s="49">
        <f>VLOOKUP($A212,'Data shares'!$C:$FB,59)</f>
        <v>2815225</v>
      </c>
      <c r="L212" s="50">
        <f>VLOOKUP($A212,'Data shares'!$C:$FB,61)*100</f>
        <v>100.52000000000001</v>
      </c>
      <c r="M212" s="49">
        <f>VLOOKUP($A212,'Data shares'!$C:$FB,62)</f>
        <v>3978100</v>
      </c>
      <c r="N212" s="49">
        <f>VLOOKUP($A212,'Data shares'!$C:$FB,63)</f>
        <v>1053325</v>
      </c>
      <c r="O212" s="140">
        <f>VLOOKUP($A212,'Data shares'!$C:$FB,65)*100</f>
        <v>277.67</v>
      </c>
    </row>
    <row r="213" spans="1:15" x14ac:dyDescent="0.25">
      <c r="A213" s="101" t="str">
        <f>'Data Vlaue (Cr)'!C208</f>
        <v>ULTRACEMCO</v>
      </c>
      <c r="B213" s="50">
        <f>VLOOKUP($A213,'Data shares'!$C:$FB,7)</f>
        <v>12167</v>
      </c>
      <c r="C213" s="50">
        <f>VLOOKUP($A213,'Data shares'!$C:$FB,10)*100</f>
        <v>-0.21</v>
      </c>
      <c r="D213" s="49">
        <f>VLOOKUP($A213,'Data shares'!$C:$FB,66)</f>
        <v>4624650</v>
      </c>
      <c r="E213" s="49">
        <f>VLOOKUP($A213,'Data shares'!$C:$FB,67)</f>
        <v>2796100</v>
      </c>
      <c r="F213" s="50">
        <f>VLOOKUP($A213,'Data shares'!$C:$FB,69)*100</f>
        <v>65.400000000000006</v>
      </c>
      <c r="G213" s="49">
        <f>VLOOKUP($A213,'Data shares'!$C:$FB,42)</f>
        <v>1752500</v>
      </c>
      <c r="H213" s="49">
        <f>VLOOKUP($A213,'Data shares'!$C:$FB,43)</f>
        <v>535800</v>
      </c>
      <c r="I213" s="50">
        <f>VLOOKUP($A213,'Data shares'!$C:$FB,45)*100</f>
        <v>227.07999999999998</v>
      </c>
      <c r="J213" s="49">
        <f>VLOOKUP($A213,'Data shares'!$C:$FB,58)</f>
        <v>1509800</v>
      </c>
      <c r="K213" s="49">
        <f>VLOOKUP($A213,'Data shares'!$C:$FB,59)</f>
        <v>1463350</v>
      </c>
      <c r="L213" s="50">
        <f>VLOOKUP($A213,'Data shares'!$C:$FB,61)*100</f>
        <v>3.17</v>
      </c>
      <c r="M213" s="49">
        <f>VLOOKUP($A213,'Data shares'!$C:$FB,62)</f>
        <v>1362350</v>
      </c>
      <c r="N213" s="49">
        <f>VLOOKUP($A213,'Data shares'!$C:$FB,63)</f>
        <v>796950</v>
      </c>
      <c r="O213" s="140">
        <f>VLOOKUP($A213,'Data shares'!$C:$FB,65)*100</f>
        <v>70.95</v>
      </c>
    </row>
    <row r="214" spans="1:15" x14ac:dyDescent="0.25">
      <c r="A214" s="101" t="str">
        <f>'Data Vlaue (Cr)'!C209</f>
        <v>UNIONBANK</v>
      </c>
      <c r="B214" s="50">
        <f>VLOOKUP($A214,'Data shares'!$C:$FB,7)</f>
        <v>179.71</v>
      </c>
      <c r="C214" s="50">
        <f>VLOOKUP($A214,'Data shares'!$C:$FB,10)*100</f>
        <v>-7.39</v>
      </c>
      <c r="D214" s="49">
        <f>VLOOKUP($A214,'Data shares'!$C:$FB,66)</f>
        <v>853494000</v>
      </c>
      <c r="E214" s="49">
        <f>VLOOKUP($A214,'Data shares'!$C:$FB,67)</f>
        <v>236768475</v>
      </c>
      <c r="F214" s="50">
        <f>VLOOKUP($A214,'Data shares'!$C:$FB,69)*100</f>
        <v>260.48</v>
      </c>
      <c r="G214" s="49">
        <f>VLOOKUP($A214,'Data shares'!$C:$FB,42)</f>
        <v>214546125</v>
      </c>
      <c r="H214" s="49">
        <f>VLOOKUP($A214,'Data shares'!$C:$FB,43)</f>
        <v>47409450</v>
      </c>
      <c r="I214" s="50">
        <f>VLOOKUP($A214,'Data shares'!$C:$FB,45)*100</f>
        <v>352.53999999999996</v>
      </c>
      <c r="J214" s="49">
        <f>VLOOKUP($A214,'Data shares'!$C:$FB,58)</f>
        <v>386506050</v>
      </c>
      <c r="K214" s="49">
        <f>VLOOKUP($A214,'Data shares'!$C:$FB,59)</f>
        <v>126134625</v>
      </c>
      <c r="L214" s="50">
        <f>VLOOKUP($A214,'Data shares'!$C:$FB,61)*100</f>
        <v>206.42000000000002</v>
      </c>
      <c r="M214" s="49">
        <f>VLOOKUP($A214,'Data shares'!$C:$FB,62)</f>
        <v>252441825</v>
      </c>
      <c r="N214" s="49">
        <f>VLOOKUP($A214,'Data shares'!$C:$FB,63)</f>
        <v>63224400</v>
      </c>
      <c r="O214" s="140">
        <f>VLOOKUP($A214,'Data shares'!$C:$FB,65)*100</f>
        <v>299.27999999999997</v>
      </c>
    </row>
    <row r="215" spans="1:15" x14ac:dyDescent="0.25">
      <c r="A215" s="101" t="str">
        <f>'Data Vlaue (Cr)'!C210</f>
        <v>UNITDSPR</v>
      </c>
      <c r="B215" s="50">
        <f>VLOOKUP($A215,'Data shares'!$C:$FB,7)</f>
        <v>1382.3</v>
      </c>
      <c r="C215" s="50">
        <f>VLOOKUP($A215,'Data shares'!$C:$FB,10)*100</f>
        <v>-0.75</v>
      </c>
      <c r="D215" s="49">
        <f>VLOOKUP($A215,'Data shares'!$C:$FB,66)</f>
        <v>11164800</v>
      </c>
      <c r="E215" s="49">
        <f>VLOOKUP($A215,'Data shares'!$C:$FB,67)</f>
        <v>18447600</v>
      </c>
      <c r="F215" s="50">
        <f>VLOOKUP($A215,'Data shares'!$C:$FB,69)*100</f>
        <v>-39.479999999999997</v>
      </c>
      <c r="G215" s="49">
        <f>VLOOKUP($A215,'Data shares'!$C:$FB,42)</f>
        <v>7112000</v>
      </c>
      <c r="H215" s="49">
        <f>VLOOKUP($A215,'Data shares'!$C:$FB,43)</f>
        <v>3472000</v>
      </c>
      <c r="I215" s="50">
        <f>VLOOKUP($A215,'Data shares'!$C:$FB,45)*100</f>
        <v>104.84</v>
      </c>
      <c r="J215" s="49">
        <f>VLOOKUP($A215,'Data shares'!$C:$FB,58)</f>
        <v>2658800</v>
      </c>
      <c r="K215" s="49">
        <f>VLOOKUP($A215,'Data shares'!$C:$FB,59)</f>
        <v>9812400</v>
      </c>
      <c r="L215" s="50">
        <f>VLOOKUP($A215,'Data shares'!$C:$FB,61)*100</f>
        <v>-72.899999999999991</v>
      </c>
      <c r="M215" s="49">
        <f>VLOOKUP($A215,'Data shares'!$C:$FB,62)</f>
        <v>1394000</v>
      </c>
      <c r="N215" s="49">
        <f>VLOOKUP($A215,'Data shares'!$C:$FB,63)</f>
        <v>5163200</v>
      </c>
      <c r="O215" s="140">
        <f>VLOOKUP($A215,'Data shares'!$C:$FB,65)*100</f>
        <v>-73</v>
      </c>
    </row>
    <row r="216" spans="1:15" x14ac:dyDescent="0.25">
      <c r="A216" s="101" t="str">
        <f>'Data Vlaue (Cr)'!C211</f>
        <v>UNOMINDA</v>
      </c>
      <c r="B216" s="50">
        <f>VLOOKUP($A216,'Data shares'!$C:$FB,7)</f>
        <v>1130.0999999999999</v>
      </c>
      <c r="C216" s="50">
        <f>VLOOKUP($A216,'Data shares'!$C:$FB,10)*100</f>
        <v>-1.8399999999999999</v>
      </c>
      <c r="D216" s="49">
        <f>VLOOKUP($A216,'Data shares'!$C:$FB,66)</f>
        <v>5902600</v>
      </c>
      <c r="E216" s="49">
        <f>VLOOKUP($A216,'Data shares'!$C:$FB,67)</f>
        <v>2721950</v>
      </c>
      <c r="F216" s="50">
        <f>VLOOKUP($A216,'Data shares'!$C:$FB,69)*100</f>
        <v>116.85000000000001</v>
      </c>
      <c r="G216" s="49">
        <f>VLOOKUP($A216,'Data shares'!$C:$FB,42)</f>
        <v>3843400</v>
      </c>
      <c r="H216" s="49">
        <f>VLOOKUP($A216,'Data shares'!$C:$FB,43)</f>
        <v>671550</v>
      </c>
      <c r="I216" s="50">
        <f>VLOOKUP($A216,'Data shares'!$C:$FB,45)*100</f>
        <v>472.32000000000005</v>
      </c>
      <c r="J216" s="49">
        <f>VLOOKUP($A216,'Data shares'!$C:$FB,58)</f>
        <v>1441550</v>
      </c>
      <c r="K216" s="49">
        <f>VLOOKUP($A216,'Data shares'!$C:$FB,59)</f>
        <v>1629650</v>
      </c>
      <c r="L216" s="50">
        <f>VLOOKUP($A216,'Data shares'!$C:$FB,61)*100</f>
        <v>-11.540000000000001</v>
      </c>
      <c r="M216" s="49">
        <f>VLOOKUP($A216,'Data shares'!$C:$FB,62)</f>
        <v>617650</v>
      </c>
      <c r="N216" s="49">
        <f>VLOOKUP($A216,'Data shares'!$C:$FB,63)</f>
        <v>420750</v>
      </c>
      <c r="O216" s="140">
        <f>VLOOKUP($A216,'Data shares'!$C:$FB,65)*100</f>
        <v>46.800000000000004</v>
      </c>
    </row>
    <row r="217" spans="1:15" x14ac:dyDescent="0.25">
      <c r="A217" s="101" t="str">
        <f>'Data Vlaue (Cr)'!C212</f>
        <v>UPL</v>
      </c>
      <c r="B217" s="50">
        <f>VLOOKUP($A217,'Data shares'!$C:$FB,7)</f>
        <v>642.04999999999995</v>
      </c>
      <c r="C217" s="50">
        <f>VLOOKUP($A217,'Data shares'!$C:$FB,10)*100</f>
        <v>-1.7999999999999998</v>
      </c>
      <c r="D217" s="49">
        <f>VLOOKUP($A217,'Data shares'!$C:$FB,66)</f>
        <v>32941405</v>
      </c>
      <c r="E217" s="49">
        <f>VLOOKUP($A217,'Data shares'!$C:$FB,67)</f>
        <v>16261355</v>
      </c>
      <c r="F217" s="50">
        <f>VLOOKUP($A217,'Data shares'!$C:$FB,69)*100</f>
        <v>102.57000000000001</v>
      </c>
      <c r="G217" s="49">
        <f>VLOOKUP($A217,'Data shares'!$C:$FB,42)</f>
        <v>18558080</v>
      </c>
      <c r="H217" s="49">
        <f>VLOOKUP($A217,'Data shares'!$C:$FB,43)</f>
        <v>5350895</v>
      </c>
      <c r="I217" s="50">
        <f>VLOOKUP($A217,'Data shares'!$C:$FB,45)*100</f>
        <v>246.82</v>
      </c>
      <c r="J217" s="49">
        <f>VLOOKUP($A217,'Data shares'!$C:$FB,58)</f>
        <v>8975520</v>
      </c>
      <c r="K217" s="49">
        <f>VLOOKUP($A217,'Data shares'!$C:$FB,59)</f>
        <v>6789905</v>
      </c>
      <c r="L217" s="50">
        <f>VLOOKUP($A217,'Data shares'!$C:$FB,61)*100</f>
        <v>32.190000000000005</v>
      </c>
      <c r="M217" s="49">
        <f>VLOOKUP($A217,'Data shares'!$C:$FB,62)</f>
        <v>5407805</v>
      </c>
      <c r="N217" s="49">
        <f>VLOOKUP($A217,'Data shares'!$C:$FB,63)</f>
        <v>4120555</v>
      </c>
      <c r="O217" s="140">
        <f>VLOOKUP($A217,'Data shares'!$C:$FB,65)*100</f>
        <v>31.240000000000002</v>
      </c>
    </row>
    <row r="218" spans="1:15" x14ac:dyDescent="0.25">
      <c r="A218" s="101" t="str">
        <f>'Data Vlaue (Cr)'!C213</f>
        <v>VBL</v>
      </c>
      <c r="B218" s="50">
        <f>VLOOKUP($A218,'Data shares'!$C:$FB,7)</f>
        <v>484.25</v>
      </c>
      <c r="C218" s="50">
        <f>VLOOKUP($A218,'Data shares'!$C:$FB,10)*100</f>
        <v>-2.16</v>
      </c>
      <c r="D218" s="49">
        <f>VLOOKUP($A218,'Data shares'!$C:$FB,66)</f>
        <v>79039125</v>
      </c>
      <c r="E218" s="49">
        <f>VLOOKUP($A218,'Data shares'!$C:$FB,67)</f>
        <v>71820000</v>
      </c>
      <c r="F218" s="50">
        <f>VLOOKUP($A218,'Data shares'!$C:$FB,69)*100</f>
        <v>10.050000000000001</v>
      </c>
      <c r="G218" s="49">
        <f>VLOOKUP($A218,'Data shares'!$C:$FB,42)</f>
        <v>39258000</v>
      </c>
      <c r="H218" s="49">
        <f>VLOOKUP($A218,'Data shares'!$C:$FB,43)</f>
        <v>12760875</v>
      </c>
      <c r="I218" s="50">
        <f>VLOOKUP($A218,'Data shares'!$C:$FB,45)*100</f>
        <v>207.64000000000001</v>
      </c>
      <c r="J218" s="49">
        <f>VLOOKUP($A218,'Data shares'!$C:$FB,58)</f>
        <v>25497000</v>
      </c>
      <c r="K218" s="49">
        <f>VLOOKUP($A218,'Data shares'!$C:$FB,59)</f>
        <v>40271625</v>
      </c>
      <c r="L218" s="50">
        <f>VLOOKUP($A218,'Data shares'!$C:$FB,61)*100</f>
        <v>-36.69</v>
      </c>
      <c r="M218" s="49">
        <f>VLOOKUP($A218,'Data shares'!$C:$FB,62)</f>
        <v>14284125</v>
      </c>
      <c r="N218" s="49">
        <f>VLOOKUP($A218,'Data shares'!$C:$FB,63)</f>
        <v>18787500</v>
      </c>
      <c r="O218" s="140">
        <f>VLOOKUP($A218,'Data shares'!$C:$FB,65)*100</f>
        <v>-23.97</v>
      </c>
    </row>
    <row r="219" spans="1:15" x14ac:dyDescent="0.25">
      <c r="A219" s="101" t="str">
        <f>'Data Vlaue (Cr)'!C214</f>
        <v>VEDL</v>
      </c>
      <c r="B219" s="50">
        <f>VLOOKUP($A219,'Data shares'!$C:$FB,7)</f>
        <v>735.6</v>
      </c>
      <c r="C219" s="50">
        <f>VLOOKUP($A219,'Data shares'!$C:$FB,10)*100</f>
        <v>-2.83</v>
      </c>
      <c r="D219" s="49">
        <f>VLOOKUP($A219,'Data shares'!$C:$FB,66)</f>
        <v>170455300</v>
      </c>
      <c r="E219" s="49">
        <f>VLOOKUP($A219,'Data shares'!$C:$FB,67)</f>
        <v>148534000</v>
      </c>
      <c r="F219" s="50">
        <f>VLOOKUP($A219,'Data shares'!$C:$FB,69)*100</f>
        <v>14.760000000000002</v>
      </c>
      <c r="G219" s="49">
        <f>VLOOKUP($A219,'Data shares'!$C:$FB,42)</f>
        <v>24589300</v>
      </c>
      <c r="H219" s="49">
        <f>VLOOKUP($A219,'Data shares'!$C:$FB,43)</f>
        <v>15283500</v>
      </c>
      <c r="I219" s="50">
        <f>VLOOKUP($A219,'Data shares'!$C:$FB,45)*100</f>
        <v>60.89</v>
      </c>
      <c r="J219" s="49">
        <f>VLOOKUP($A219,'Data shares'!$C:$FB,58)</f>
        <v>96913950</v>
      </c>
      <c r="K219" s="49">
        <f>VLOOKUP($A219,'Data shares'!$C:$FB,59)</f>
        <v>84642300</v>
      </c>
      <c r="L219" s="50">
        <f>VLOOKUP($A219,'Data shares'!$C:$FB,61)*100</f>
        <v>14.499999999999998</v>
      </c>
      <c r="M219" s="49">
        <f>VLOOKUP($A219,'Data shares'!$C:$FB,62)</f>
        <v>48952050</v>
      </c>
      <c r="N219" s="49">
        <f>VLOOKUP($A219,'Data shares'!$C:$FB,63)</f>
        <v>48608200</v>
      </c>
      <c r="O219" s="140">
        <f>VLOOKUP($A219,'Data shares'!$C:$FB,65)*100</f>
        <v>0.71000000000000008</v>
      </c>
    </row>
    <row r="220" spans="1:15" x14ac:dyDescent="0.25">
      <c r="A220" s="101" t="str">
        <f>'Data Vlaue (Cr)'!C215</f>
        <v>VMM</v>
      </c>
      <c r="B220" s="50">
        <f>VLOOKUP($A220,'Data shares'!$C:$FB,7)</f>
        <v>126.16</v>
      </c>
      <c r="C220" s="50">
        <f>VLOOKUP($A220,'Data shares'!$C:$FB,10)*100</f>
        <v>1.28</v>
      </c>
      <c r="D220" s="49">
        <f>VLOOKUP($A220,'Data shares'!$C:$FB,66)</f>
        <v>37248000</v>
      </c>
      <c r="E220" s="49">
        <f>VLOOKUP($A220,'Data shares'!$C:$FB,67)</f>
        <v>12469350</v>
      </c>
      <c r="F220" s="50">
        <f>VLOOKUP($A220,'Data shares'!$C:$FB,69)*100</f>
        <v>198.72</v>
      </c>
      <c r="G220" s="49">
        <f>VLOOKUP($A220,'Data shares'!$C:$FB,42)</f>
        <v>25879600</v>
      </c>
      <c r="H220" s="49">
        <f>VLOOKUP($A220,'Data shares'!$C:$FB,43)</f>
        <v>5126450</v>
      </c>
      <c r="I220" s="50">
        <f>VLOOKUP($A220,'Data shares'!$C:$FB,45)*100</f>
        <v>404.81999999999994</v>
      </c>
      <c r="J220" s="49">
        <f>VLOOKUP($A220,'Data shares'!$C:$FB,58)</f>
        <v>9544800</v>
      </c>
      <c r="K220" s="49">
        <f>VLOOKUP($A220,'Data shares'!$C:$FB,59)</f>
        <v>5150700</v>
      </c>
      <c r="L220" s="50">
        <f>VLOOKUP($A220,'Data shares'!$C:$FB,61)*100</f>
        <v>85.31</v>
      </c>
      <c r="M220" s="49">
        <f>VLOOKUP($A220,'Data shares'!$C:$FB,62)</f>
        <v>1823600</v>
      </c>
      <c r="N220" s="49">
        <f>VLOOKUP($A220,'Data shares'!$C:$FB,63)</f>
        <v>2192200</v>
      </c>
      <c r="O220" s="140">
        <f>VLOOKUP($A220,'Data shares'!$C:$FB,65)*100</f>
        <v>-16.809999999999999</v>
      </c>
    </row>
    <row r="221" spans="1:15" x14ac:dyDescent="0.25">
      <c r="A221" s="101" t="str">
        <f>'Data Vlaue (Cr)'!C216</f>
        <v>VOLTAS</v>
      </c>
      <c r="B221" s="50">
        <f>VLOOKUP($A221,'Data shares'!$C:$FB,7)</f>
        <v>1445.5</v>
      </c>
      <c r="C221" s="50">
        <f>VLOOKUP($A221,'Data shares'!$C:$FB,10)*100</f>
        <v>-2.44</v>
      </c>
      <c r="D221" s="49">
        <f>VLOOKUP($A221,'Data shares'!$C:$FB,66)</f>
        <v>22330875</v>
      </c>
      <c r="E221" s="49">
        <f>VLOOKUP($A221,'Data shares'!$C:$FB,67)</f>
        <v>20867625</v>
      </c>
      <c r="F221" s="50">
        <f>VLOOKUP($A221,'Data shares'!$C:$FB,69)*100</f>
        <v>7.01</v>
      </c>
      <c r="G221" s="49">
        <f>VLOOKUP($A221,'Data shares'!$C:$FB,42)</f>
        <v>7502625</v>
      </c>
      <c r="H221" s="49">
        <f>VLOOKUP($A221,'Data shares'!$C:$FB,43)</f>
        <v>3313125</v>
      </c>
      <c r="I221" s="50">
        <f>VLOOKUP($A221,'Data shares'!$C:$FB,45)*100</f>
        <v>126.44999999999999</v>
      </c>
      <c r="J221" s="49">
        <f>VLOOKUP($A221,'Data shares'!$C:$FB,58)</f>
        <v>8062500</v>
      </c>
      <c r="K221" s="49">
        <f>VLOOKUP($A221,'Data shares'!$C:$FB,59)</f>
        <v>10996875</v>
      </c>
      <c r="L221" s="50">
        <f>VLOOKUP($A221,'Data shares'!$C:$FB,61)*100</f>
        <v>-26.68</v>
      </c>
      <c r="M221" s="49">
        <f>VLOOKUP($A221,'Data shares'!$C:$FB,62)</f>
        <v>6765750</v>
      </c>
      <c r="N221" s="49">
        <f>VLOOKUP($A221,'Data shares'!$C:$FB,63)</f>
        <v>6557625</v>
      </c>
      <c r="O221" s="140">
        <f>VLOOKUP($A221,'Data shares'!$C:$FB,65)*100</f>
        <v>3.17</v>
      </c>
    </row>
    <row r="222" spans="1:15" x14ac:dyDescent="0.25">
      <c r="A222" s="101" t="str">
        <f>'Data Vlaue (Cr)'!C217</f>
        <v>WAAREEENER</v>
      </c>
      <c r="B222" s="50">
        <f>VLOOKUP($A222,'Data shares'!$C:$FB,7)</f>
        <v>3413</v>
      </c>
      <c r="C222" s="50">
        <f>VLOOKUP($A222,'Data shares'!$C:$FB,10)*100</f>
        <v>-0.43</v>
      </c>
      <c r="D222" s="49">
        <f>VLOOKUP($A222,'Data shares'!$C:$FB,66)</f>
        <v>9905875</v>
      </c>
      <c r="E222" s="49">
        <f>VLOOKUP($A222,'Data shares'!$C:$FB,67)</f>
        <v>8952650</v>
      </c>
      <c r="F222" s="50">
        <f>VLOOKUP($A222,'Data shares'!$C:$FB,69)*100</f>
        <v>10.65</v>
      </c>
      <c r="G222" s="49">
        <f>VLOOKUP($A222,'Data shares'!$C:$FB,42)</f>
        <v>2926525</v>
      </c>
      <c r="H222" s="49">
        <f>VLOOKUP($A222,'Data shares'!$C:$FB,43)</f>
        <v>1209950</v>
      </c>
      <c r="I222" s="50">
        <f>VLOOKUP($A222,'Data shares'!$C:$FB,45)*100</f>
        <v>141.87</v>
      </c>
      <c r="J222" s="49">
        <f>VLOOKUP($A222,'Data shares'!$C:$FB,58)</f>
        <v>4330900</v>
      </c>
      <c r="K222" s="49">
        <f>VLOOKUP($A222,'Data shares'!$C:$FB,59)</f>
        <v>4903850</v>
      </c>
      <c r="L222" s="50">
        <f>VLOOKUP($A222,'Data shares'!$C:$FB,61)*100</f>
        <v>-11.68</v>
      </c>
      <c r="M222" s="49">
        <f>VLOOKUP($A222,'Data shares'!$C:$FB,62)</f>
        <v>2648450</v>
      </c>
      <c r="N222" s="49">
        <f>VLOOKUP($A222,'Data shares'!$C:$FB,63)</f>
        <v>2838850</v>
      </c>
      <c r="O222" s="140">
        <f>VLOOKUP($A222,'Data shares'!$C:$FB,65)*100</f>
        <v>-6.7100000000000009</v>
      </c>
    </row>
    <row r="223" spans="1:15" x14ac:dyDescent="0.25">
      <c r="A223" s="101" t="str">
        <f>'Data Vlaue (Cr)'!C218</f>
        <v>WIPRO</v>
      </c>
      <c r="B223" s="50">
        <f>VLOOKUP($A223,'Data shares'!$C:$FB,7)</f>
        <v>202.76</v>
      </c>
      <c r="C223" s="50">
        <f>VLOOKUP($A223,'Data shares'!$C:$FB,10)*100</f>
        <v>-0.61</v>
      </c>
      <c r="D223" s="49">
        <f>VLOOKUP($A223,'Data shares'!$C:$FB,66)</f>
        <v>401520000</v>
      </c>
      <c r="E223" s="49">
        <f>VLOOKUP($A223,'Data shares'!$C:$FB,67)</f>
        <v>376407000</v>
      </c>
      <c r="F223" s="50">
        <f>VLOOKUP($A223,'Data shares'!$C:$FB,69)*100</f>
        <v>6.67</v>
      </c>
      <c r="G223" s="49">
        <f>VLOOKUP($A223,'Data shares'!$C:$FB,42)</f>
        <v>195012000</v>
      </c>
      <c r="H223" s="49">
        <f>VLOOKUP($A223,'Data shares'!$C:$FB,43)</f>
        <v>75111000</v>
      </c>
      <c r="I223" s="50">
        <f>VLOOKUP($A223,'Data shares'!$C:$FB,45)*100</f>
        <v>159.63</v>
      </c>
      <c r="J223" s="49">
        <f>VLOOKUP($A223,'Data shares'!$C:$FB,58)</f>
        <v>129831000</v>
      </c>
      <c r="K223" s="49">
        <f>VLOOKUP($A223,'Data shares'!$C:$FB,59)</f>
        <v>190410000</v>
      </c>
      <c r="L223" s="50">
        <f>VLOOKUP($A223,'Data shares'!$C:$FB,61)*100</f>
        <v>-31.819999999999997</v>
      </c>
      <c r="M223" s="49">
        <f>VLOOKUP($A223,'Data shares'!$C:$FB,62)</f>
        <v>76677000</v>
      </c>
      <c r="N223" s="49">
        <f>VLOOKUP($A223,'Data shares'!$C:$FB,63)</f>
        <v>110886000</v>
      </c>
      <c r="O223" s="140">
        <f>VLOOKUP($A223,'Data shares'!$C:$FB,65)*100</f>
        <v>-30.85</v>
      </c>
    </row>
    <row r="224" spans="1:15" x14ac:dyDescent="0.25">
      <c r="A224" s="101" t="str">
        <f>'Data Vlaue (Cr)'!C219</f>
        <v>YESBANK</v>
      </c>
      <c r="B224" s="50">
        <f>VLOOKUP($A224,'Data shares'!$C:$FB,7)</f>
        <v>20.03</v>
      </c>
      <c r="C224" s="50">
        <f>VLOOKUP($A224,'Data shares'!$C:$FB,10)*100</f>
        <v>0.2</v>
      </c>
      <c r="D224" s="49">
        <f>VLOOKUP($A224,'Data shares'!$C:$FB,66)</f>
        <v>1221203700</v>
      </c>
      <c r="E224" s="49">
        <f>VLOOKUP($A224,'Data shares'!$C:$FB,67)</f>
        <v>1078392500</v>
      </c>
      <c r="F224" s="50">
        <f>VLOOKUP($A224,'Data shares'!$C:$FB,69)*100</f>
        <v>13.239999999999998</v>
      </c>
      <c r="G224" s="49">
        <f>VLOOKUP($A224,'Data shares'!$C:$FB,42)</f>
        <v>622466500</v>
      </c>
      <c r="H224" s="49">
        <f>VLOOKUP($A224,'Data shares'!$C:$FB,43)</f>
        <v>207748000</v>
      </c>
      <c r="I224" s="50">
        <f>VLOOKUP($A224,'Data shares'!$C:$FB,45)*100</f>
        <v>199.63</v>
      </c>
      <c r="J224" s="49">
        <f>VLOOKUP($A224,'Data shares'!$C:$FB,58)</f>
        <v>413536700</v>
      </c>
      <c r="K224" s="49">
        <f>VLOOKUP($A224,'Data shares'!$C:$FB,59)</f>
        <v>663985000</v>
      </c>
      <c r="L224" s="50">
        <f>VLOOKUP($A224,'Data shares'!$C:$FB,61)*100</f>
        <v>-37.72</v>
      </c>
      <c r="M224" s="49">
        <f>VLOOKUP($A224,'Data shares'!$C:$FB,62)</f>
        <v>185200500</v>
      </c>
      <c r="N224" s="49">
        <f>VLOOKUP($A224,'Data shares'!$C:$FB,63)</f>
        <v>206659500</v>
      </c>
      <c r="O224" s="140">
        <f>VLOOKUP($A224,'Data shares'!$C:$FB,65)*100</f>
        <v>-10.38</v>
      </c>
    </row>
    <row r="225" spans="1:15" x14ac:dyDescent="0.25">
      <c r="A225" s="101" t="str">
        <f>'Data Vlaue (Cr)'!C220</f>
        <v>ZYDUSLIFE</v>
      </c>
      <c r="B225" s="50">
        <f>VLOOKUP($A225,'Data shares'!$C:$FB,7)</f>
        <v>946.35</v>
      </c>
      <c r="C225" s="50">
        <f>VLOOKUP($A225,'Data shares'!$C:$FB,10)*100</f>
        <v>1.77</v>
      </c>
      <c r="D225" s="49">
        <f>VLOOKUP($A225,'Data shares'!$C:$FB,66)</f>
        <v>31648500</v>
      </c>
      <c r="E225" s="49">
        <f>VLOOKUP($A225,'Data shares'!$C:$FB,67)</f>
        <v>5025600</v>
      </c>
      <c r="F225" s="50">
        <f>VLOOKUP($A225,'Data shares'!$C:$FB,69)*100</f>
        <v>529.75</v>
      </c>
      <c r="G225" s="49">
        <f>VLOOKUP($A225,'Data shares'!$C:$FB,42)</f>
        <v>9601200</v>
      </c>
      <c r="H225" s="49">
        <f>VLOOKUP($A225,'Data shares'!$C:$FB,43)</f>
        <v>1432800</v>
      </c>
      <c r="I225" s="50">
        <f>VLOOKUP($A225,'Data shares'!$C:$FB,45)*100</f>
        <v>570.09999999999991</v>
      </c>
      <c r="J225" s="49">
        <f>VLOOKUP($A225,'Data shares'!$C:$FB,58)</f>
        <v>17605800</v>
      </c>
      <c r="K225" s="49">
        <f>VLOOKUP($A225,'Data shares'!$C:$FB,59)</f>
        <v>2847600</v>
      </c>
      <c r="L225" s="50">
        <f>VLOOKUP($A225,'Data shares'!$C:$FB,61)*100</f>
        <v>518.27</v>
      </c>
      <c r="M225" s="49">
        <f>VLOOKUP($A225,'Data shares'!$C:$FB,62)</f>
        <v>4441500</v>
      </c>
      <c r="N225" s="49">
        <f>VLOOKUP($A225,'Data shares'!$C:$FB,63)</f>
        <v>745200</v>
      </c>
      <c r="O225" s="140">
        <f>VLOOKUP($A225,'Data shares'!$C:$FB,65)*100</f>
        <v>496.01</v>
      </c>
    </row>
    <row r="226" spans="1:15" x14ac:dyDescent="0.25">
      <c r="A226" s="101"/>
      <c r="B226" s="50"/>
      <c r="C226" s="50"/>
      <c r="D226" s="49"/>
      <c r="E226" s="49"/>
      <c r="F226" s="50"/>
      <c r="G226" s="49"/>
      <c r="H226" s="49"/>
      <c r="I226" s="50"/>
      <c r="J226" s="49"/>
      <c r="K226" s="49"/>
      <c r="L226" s="50"/>
      <c r="M226" s="49"/>
      <c r="N226" s="49"/>
      <c r="O226" s="140"/>
    </row>
    <row r="227" spans="1:15" x14ac:dyDescent="0.25">
      <c r="A227" s="101"/>
      <c r="B227" s="50"/>
      <c r="C227" s="50"/>
      <c r="D227" s="49"/>
      <c r="E227" s="49"/>
      <c r="F227" s="50"/>
      <c r="G227" s="49"/>
      <c r="H227" s="49"/>
      <c r="I227" s="50"/>
      <c r="J227" s="49"/>
      <c r="K227" s="49"/>
      <c r="L227" s="50"/>
      <c r="M227" s="49"/>
      <c r="N227" s="49"/>
      <c r="O227" s="140"/>
    </row>
    <row r="228" spans="1:15" x14ac:dyDescent="0.25">
      <c r="A228" s="101"/>
      <c r="B228" s="50"/>
      <c r="C228" s="50"/>
      <c r="D228" s="49"/>
      <c r="E228" s="49"/>
      <c r="F228" s="50"/>
      <c r="G228" s="49"/>
      <c r="H228" s="49"/>
      <c r="I228" s="50"/>
      <c r="J228" s="49"/>
      <c r="K228" s="49"/>
      <c r="L228" s="50"/>
      <c r="M228" s="49"/>
      <c r="N228" s="49"/>
      <c r="O228" s="140"/>
    </row>
    <row r="229" spans="1:15" x14ac:dyDescent="0.25">
      <c r="A229" s="101"/>
      <c r="B229" s="17"/>
      <c r="C229" s="17"/>
      <c r="D229" s="17"/>
      <c r="E229" s="17"/>
      <c r="F229" s="17"/>
      <c r="G229" s="17"/>
      <c r="H229" s="17"/>
      <c r="I229" s="17"/>
      <c r="J229" s="17"/>
      <c r="K229" s="17"/>
      <c r="L229" s="17"/>
      <c r="M229" s="17"/>
      <c r="N229" s="17"/>
      <c r="O229" s="17"/>
    </row>
    <row r="230" spans="1:15" x14ac:dyDescent="0.25">
      <c r="A230" s="102"/>
      <c r="B230" s="17"/>
      <c r="C230" s="17"/>
      <c r="D230" s="17"/>
      <c r="E230" s="17"/>
      <c r="F230" s="17"/>
      <c r="G230" s="17"/>
      <c r="H230" s="17"/>
      <c r="I230" s="17"/>
      <c r="J230" s="17"/>
      <c r="K230" s="17"/>
      <c r="L230" s="17"/>
      <c r="M230" s="17"/>
      <c r="N230" s="17"/>
      <c r="O230" s="17"/>
    </row>
    <row r="231" spans="1:15" x14ac:dyDescent="0.25">
      <c r="A231" s="133" t="s">
        <v>391</v>
      </c>
      <c r="B231" s="133"/>
      <c r="C231" s="133"/>
      <c r="D231" s="133">
        <f>SUM(D7:D225)</f>
        <v>21950168459</v>
      </c>
      <c r="E231" s="133">
        <f>SUM(E7:E225)</f>
        <v>18426539280</v>
      </c>
      <c r="F231" s="134">
        <f>(D231-E231)/E231</f>
        <v>0.19122577090883883</v>
      </c>
      <c r="G231" s="133">
        <f>SUM(G7:G225)</f>
        <v>8118275437</v>
      </c>
      <c r="H231" s="133">
        <f>SUM(H7:H225)</f>
        <v>4356466458</v>
      </c>
      <c r="I231" s="134">
        <f>(G231-H231)/H231</f>
        <v>0.86350004419108972</v>
      </c>
      <c r="J231" s="133">
        <f>SUM(J7:J225)</f>
        <v>8753279086</v>
      </c>
      <c r="K231" s="133">
        <f>SUM(K7:K225)</f>
        <v>9073761292</v>
      </c>
      <c r="L231" s="134">
        <f>(J231-K231)/K231</f>
        <v>-3.5319664655775913E-2</v>
      </c>
      <c r="M231" s="133">
        <f>SUM(M7:M225)</f>
        <v>5078613936</v>
      </c>
      <c r="N231" s="133">
        <f>SUM(N7:N225)</f>
        <v>4996311530</v>
      </c>
      <c r="O231" s="134">
        <f>(M231-N231)/N231</f>
        <v>1.6472632962500639E-2</v>
      </c>
    </row>
    <row r="232" spans="1:15" x14ac:dyDescent="0.25">
      <c r="A232" s="133" t="s">
        <v>398</v>
      </c>
      <c r="B232" s="133"/>
      <c r="C232" s="133"/>
      <c r="D232" s="133">
        <f>D231/10000000</f>
        <v>2195.0168459000001</v>
      </c>
      <c r="E232" s="133">
        <f>E231/10000000</f>
        <v>1842.653928</v>
      </c>
      <c r="F232" s="134">
        <f>(D232-E232)/E232</f>
        <v>0.19122577090883894</v>
      </c>
      <c r="G232" s="133">
        <f>G231/10000000</f>
        <v>811.82754369999998</v>
      </c>
      <c r="H232" s="133">
        <f>H231/10000000</f>
        <v>435.64664579999999</v>
      </c>
      <c r="I232" s="134">
        <f>(G232-H232)/H232</f>
        <v>0.86350004419108972</v>
      </c>
      <c r="J232" s="133">
        <f>J231/10000000</f>
        <v>875.3279086</v>
      </c>
      <c r="K232" s="133">
        <f>K231/10000000</f>
        <v>907.37612920000004</v>
      </c>
      <c r="L232" s="134">
        <f>(J232-K232)/K232</f>
        <v>-3.5319664655775955E-2</v>
      </c>
      <c r="M232" s="133">
        <f>M231/10000000</f>
        <v>507.86139359999999</v>
      </c>
      <c r="N232" s="133">
        <f>N231/10000000</f>
        <v>499.63115299999998</v>
      </c>
      <c r="O232" s="134">
        <f>(M232-N232)/N232</f>
        <v>1.6472632962500643E-2</v>
      </c>
    </row>
    <row r="233" spans="1:15" x14ac:dyDescent="0.25">
      <c r="A233" s="17"/>
      <c r="B233" s="17"/>
      <c r="C233" s="17"/>
      <c r="D233" s="17"/>
      <c r="E233" s="17"/>
      <c r="F233" s="17"/>
      <c r="G233" s="17"/>
      <c r="H233" s="17"/>
      <c r="I233" s="17"/>
      <c r="J233" s="17"/>
      <c r="K233" s="17"/>
      <c r="L233" s="17"/>
      <c r="M233" s="17"/>
      <c r="N233" s="17"/>
      <c r="O233"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7" activePane="bottomLeft" state="frozen"/>
      <selection pane="bottomLeft" activeCell="A7" sqref="A7:A225"/>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7" t="s">
        <v>311</v>
      </c>
      <c r="B3" s="308"/>
      <c r="C3" s="308"/>
      <c r="D3" s="308"/>
      <c r="E3" s="308"/>
      <c r="F3" s="308"/>
      <c r="G3" s="308"/>
      <c r="H3" s="308"/>
      <c r="I3" s="308"/>
      <c r="J3" s="308"/>
      <c r="K3" s="308"/>
      <c r="L3" s="267"/>
      <c r="M3" s="267"/>
      <c r="N3" s="267"/>
      <c r="O3" s="309"/>
    </row>
    <row r="4" spans="1:19" s="104" customFormat="1" x14ac:dyDescent="0.25">
      <c r="A4" s="286" t="s">
        <v>330</v>
      </c>
      <c r="B4" s="286" t="s">
        <v>311</v>
      </c>
      <c r="C4" s="286"/>
      <c r="D4" s="286"/>
      <c r="E4" s="286"/>
      <c r="F4" s="286"/>
      <c r="G4" s="286"/>
      <c r="H4" s="286" t="s">
        <v>365</v>
      </c>
      <c r="I4" s="286"/>
      <c r="J4" s="286"/>
      <c r="K4" s="286"/>
      <c r="L4" s="286" t="s">
        <v>309</v>
      </c>
      <c r="M4" s="286"/>
      <c r="N4" s="286"/>
      <c r="O4" s="286"/>
    </row>
    <row r="5" spans="1:19" s="104" customFormat="1" x14ac:dyDescent="0.25">
      <c r="A5" s="305"/>
      <c r="B5" s="305" t="s">
        <v>316</v>
      </c>
      <c r="C5" s="305"/>
      <c r="D5" s="305"/>
      <c r="E5" s="305" t="s">
        <v>317</v>
      </c>
      <c r="F5" s="305"/>
      <c r="G5" s="305"/>
      <c r="H5" s="305" t="s">
        <v>336</v>
      </c>
      <c r="I5" s="305"/>
      <c r="J5" s="305" t="s">
        <v>342</v>
      </c>
      <c r="K5" s="305"/>
      <c r="L5" s="305" t="s">
        <v>336</v>
      </c>
      <c r="M5" s="305"/>
      <c r="N5" s="305" t="s">
        <v>342</v>
      </c>
      <c r="O5" s="306"/>
    </row>
    <row r="6" spans="1:19" s="104" customFormat="1" x14ac:dyDescent="0.25">
      <c r="A6" s="76" t="s">
        <v>318</v>
      </c>
      <c r="B6" s="3">
        <f>'Total Valume'!B6</f>
        <v>46135</v>
      </c>
      <c r="C6" s="76" t="s">
        <v>322</v>
      </c>
      <c r="D6" s="76" t="s">
        <v>328</v>
      </c>
      <c r="E6" s="3">
        <f>B6</f>
        <v>46135</v>
      </c>
      <c r="F6" s="76" t="s">
        <v>322</v>
      </c>
      <c r="G6" s="76" t="s">
        <v>328</v>
      </c>
      <c r="H6" s="3">
        <f>E6</f>
        <v>46135</v>
      </c>
      <c r="I6" s="76" t="s">
        <v>333</v>
      </c>
      <c r="J6" s="3">
        <f>E6</f>
        <v>46135</v>
      </c>
      <c r="K6" s="76" t="s">
        <v>333</v>
      </c>
      <c r="L6" s="3">
        <f>E6</f>
        <v>46135</v>
      </c>
      <c r="M6" s="76" t="s">
        <v>333</v>
      </c>
      <c r="N6" s="3">
        <f>E6</f>
        <v>46135</v>
      </c>
      <c r="O6" s="76" t="s">
        <v>333</v>
      </c>
    </row>
    <row r="7" spans="1:19" x14ac:dyDescent="0.25">
      <c r="A7" s="105" t="str">
        <f>'Data Vlaue (Cr)'!C2</f>
        <v>360ONE</v>
      </c>
      <c r="B7" s="143">
        <f>VLOOKUP($A7,'Data shares'!$C:$FA,118)</f>
        <v>0.42</v>
      </c>
      <c r="C7" s="143">
        <f>VLOOKUP($A7,'Data shares'!$C:$FA,119)</f>
        <v>0.43</v>
      </c>
      <c r="D7" s="143">
        <f>VLOOKUP($A7,'Data shares'!$C:$FA,121)*100</f>
        <v>-2.33</v>
      </c>
      <c r="E7" s="143">
        <f>VLOOKUP($A7,'Data shares'!$C:$FA,124)</f>
        <v>0.3</v>
      </c>
      <c r="F7" s="143">
        <f>VLOOKUP($A7,'Data shares'!$C:$FA,125)</f>
        <v>0.53</v>
      </c>
      <c r="G7" s="143">
        <f>VLOOKUP($A7,'Data shares'!$C:$FA,127)*100</f>
        <v>-43.4</v>
      </c>
      <c r="H7" s="103">
        <f>VLOOKUP($A7,'OI(Volume)'!$A$7:$O$445,8)</f>
        <v>5435000</v>
      </c>
      <c r="I7" s="103">
        <f>VLOOKUP($A7,'OI(Volume)'!$A$7:$O$445,9)</f>
        <v>-862000</v>
      </c>
      <c r="J7" s="103">
        <f>VLOOKUP($A7,'OI(Volume)'!$A$7:$O$445,11)</f>
        <v>2275500</v>
      </c>
      <c r="K7" s="103">
        <f>VLOOKUP($A7,'OI(Volume)'!$A$7:$O$445,12)</f>
        <v>-431500</v>
      </c>
      <c r="L7" s="103">
        <f>VLOOKUP($A7,'OI(Value)'!$A$7:$O$329,8,0)</f>
        <v>568</v>
      </c>
      <c r="M7" s="103">
        <f>VLOOKUP($A7,'OI(Value)'!$A$7:$O$329,9,0)</f>
        <v>-90</v>
      </c>
      <c r="N7" s="103">
        <f>VLOOKUP($A7,'OI(Value)'!$A$7:$O$329,11,0)</f>
        <v>238</v>
      </c>
      <c r="O7" s="103">
        <f>VLOOKUP($A7,'OI(Value)'!$A$7:$O$329,12,0)</f>
        <v>-45</v>
      </c>
      <c r="P7" s="179">
        <f>VLOOKUP(A7,'OI(Value)'!A7:O182,8,0)</f>
        <v>568</v>
      </c>
      <c r="Q7" s="179">
        <f>VLOOKUP(A7,'OI(Value)'!A7:O182,9,0)</f>
        <v>-90</v>
      </c>
      <c r="R7" s="179">
        <f>VLOOKUP(A7,'OI(Value)'!A7:O182,11,0)</f>
        <v>238</v>
      </c>
      <c r="S7" s="179">
        <f>VLOOKUP(A7,'OI(Value)'!A7:O182,12,0)</f>
        <v>-45</v>
      </c>
    </row>
    <row r="8" spans="1:19" x14ac:dyDescent="0.25">
      <c r="A8" s="105" t="str">
        <f>'Data Vlaue (Cr)'!C3</f>
        <v>ABB</v>
      </c>
      <c r="B8" s="143">
        <f>VLOOKUP($A8,'Data shares'!$C:$FA,118)</f>
        <v>0.82</v>
      </c>
      <c r="C8" s="143">
        <f>VLOOKUP($A8,'Data shares'!$C:$FA,119)</f>
        <v>0.86</v>
      </c>
      <c r="D8" s="143">
        <f>VLOOKUP($A8,'Data shares'!$C:$FA,121)*100</f>
        <v>-4.6500000000000004</v>
      </c>
      <c r="E8" s="143">
        <f>VLOOKUP($A8,'Data shares'!$C:$FA,124)</f>
        <v>0.52</v>
      </c>
      <c r="F8" s="143">
        <f>VLOOKUP($A8,'Data shares'!$C:$FA,125)</f>
        <v>0.49</v>
      </c>
      <c r="G8" s="143">
        <f>VLOOKUP($A8,'Data shares'!$C:$FA,127)*100</f>
        <v>6.12</v>
      </c>
      <c r="H8" s="103">
        <f>VLOOKUP($A8,'OI(Volume)'!$A$7:$O$445,8)</f>
        <v>1998625</v>
      </c>
      <c r="I8" s="103">
        <f>VLOOKUP($A8,'OI(Volume)'!$A$7:$O$445,9)</f>
        <v>-32375</v>
      </c>
      <c r="J8" s="103">
        <f>VLOOKUP($A8,'OI(Volume)'!$A$7:$O$445,11)</f>
        <v>1636000</v>
      </c>
      <c r="K8" s="103">
        <f>VLOOKUP($A8,'OI(Volume)'!$A$7:$O$445,12)</f>
        <v>-106625</v>
      </c>
      <c r="L8" s="103">
        <f>VLOOKUP($A8,'OI(Value)'!$A$7:$O$329,8,0)</f>
        <v>1517</v>
      </c>
      <c r="M8" s="103">
        <f>VLOOKUP($A8,'OI(Value)'!$A$7:$O$329,9,0)</f>
        <v>-25</v>
      </c>
      <c r="N8" s="103">
        <f>VLOOKUP($A8,'OI(Value)'!$A$7:$O$329,11,0)</f>
        <v>1242</v>
      </c>
      <c r="O8" s="103">
        <f>VLOOKUP($A8,'OI(Value)'!$A$7:$O$329,12,0)</f>
        <v>-81</v>
      </c>
      <c r="P8" s="179">
        <f>VLOOKUP(A8,'OI(Value)'!A8:O232,8,0)</f>
        <v>1517</v>
      </c>
      <c r="Q8" s="179">
        <f>VLOOKUP(A8,'OI(Value)'!A8:O232,9,0)</f>
        <v>-25</v>
      </c>
      <c r="R8" s="179">
        <f>VLOOKUP(A8,'OI(Value)'!A8:O232,11,0)</f>
        <v>1242</v>
      </c>
      <c r="S8" s="179">
        <f>VLOOKUP(A8,'OI(Value)'!A8:O232,11,0)</f>
        <v>1242</v>
      </c>
    </row>
    <row r="9" spans="1:19" x14ac:dyDescent="0.25">
      <c r="A9" s="105" t="str">
        <f>'Data Vlaue (Cr)'!C4</f>
        <v>ABCAPITAL</v>
      </c>
      <c r="B9" s="143">
        <f>VLOOKUP($A9,'Data shares'!$C:$FA,118)</f>
        <v>0.81</v>
      </c>
      <c r="C9" s="143">
        <f>VLOOKUP($A9,'Data shares'!$C:$FA,119)</f>
        <v>0.82</v>
      </c>
      <c r="D9" s="143">
        <f>VLOOKUP($A9,'Data shares'!$C:$FA,121)*100</f>
        <v>-1.22</v>
      </c>
      <c r="E9" s="143">
        <f>VLOOKUP($A9,'Data shares'!$C:$FA,124)</f>
        <v>0.53</v>
      </c>
      <c r="F9" s="143">
        <f>VLOOKUP($A9,'Data shares'!$C:$FA,125)</f>
        <v>0.56999999999999995</v>
      </c>
      <c r="G9" s="143">
        <f>VLOOKUP($A9,'Data shares'!$C:$FA,127)*100</f>
        <v>-7.02</v>
      </c>
      <c r="H9" s="103">
        <f>VLOOKUP($A9,'OI(Volume)'!$A$7:$O$445,8)</f>
        <v>13007600</v>
      </c>
      <c r="I9" s="103">
        <f>VLOOKUP($A9,'OI(Volume)'!$A$7:$O$445,9)</f>
        <v>-139500</v>
      </c>
      <c r="J9" s="103">
        <f>VLOOKUP($A9,'OI(Volume)'!$A$7:$O$445,11)</f>
        <v>10493500</v>
      </c>
      <c r="K9" s="103">
        <f>VLOOKUP($A9,'OI(Volume)'!$A$7:$O$445,12)</f>
        <v>-328600</v>
      </c>
      <c r="L9" s="103">
        <f>VLOOKUP($A9,'OI(Value)'!$A$7:$O$329,8,0)</f>
        <v>455</v>
      </c>
      <c r="M9" s="103">
        <f>VLOOKUP($A9,'OI(Value)'!$A$7:$O$329,9,0)</f>
        <v>-5</v>
      </c>
      <c r="N9" s="103">
        <f>VLOOKUP($A9,'OI(Value)'!$A$7:$O$329,11,0)</f>
        <v>367</v>
      </c>
      <c r="O9" s="103">
        <f>VLOOKUP($A9,'OI(Value)'!$A$7:$O$329,12,0)</f>
        <v>-11</v>
      </c>
      <c r="P9" s="179">
        <f>VLOOKUP(A9,'OI(Value)'!A9:O233,8,0)</f>
        <v>455</v>
      </c>
      <c r="Q9" s="179">
        <f>VLOOKUP(A9,'OI(Value)'!A9:O233,9,0)</f>
        <v>-5</v>
      </c>
      <c r="R9" s="179">
        <f>VLOOKUP(A9,'OI(Value)'!A9:O233,11,0)</f>
        <v>367</v>
      </c>
      <c r="S9" s="179">
        <f>VLOOKUP(A9,'OI(Value)'!A9:O233,11,0)</f>
        <v>367</v>
      </c>
    </row>
    <row r="10" spans="1:19" x14ac:dyDescent="0.25">
      <c r="A10" s="105" t="str">
        <f>'Data Vlaue (Cr)'!C5</f>
        <v>ADANIENSOL</v>
      </c>
      <c r="B10" s="143">
        <f>VLOOKUP($A10,'Data shares'!$C:$FA,118)</f>
        <v>0.65</v>
      </c>
      <c r="C10" s="143">
        <f>VLOOKUP($A10,'Data shares'!$C:$FA,119)</f>
        <v>0.71</v>
      </c>
      <c r="D10" s="143">
        <f>VLOOKUP($A10,'Data shares'!$C:$FA,121)*100</f>
        <v>-8.4500000000000011</v>
      </c>
      <c r="E10" s="143">
        <f>VLOOKUP($A10,'Data shares'!$C:$FA,124)</f>
        <v>0.34</v>
      </c>
      <c r="F10" s="143">
        <f>VLOOKUP($A10,'Data shares'!$C:$FA,125)</f>
        <v>0.32</v>
      </c>
      <c r="G10" s="143">
        <f>VLOOKUP($A10,'Data shares'!$C:$FA,127)*100</f>
        <v>6.25</v>
      </c>
      <c r="H10" s="103">
        <f>VLOOKUP($A10,'OI(Volume)'!$A$7:$O$445,8)</f>
        <v>7618725</v>
      </c>
      <c r="I10" s="103">
        <f>VLOOKUP($A10,'OI(Volume)'!$A$7:$O$445,9)</f>
        <v>1891350</v>
      </c>
      <c r="J10" s="103">
        <f>VLOOKUP($A10,'OI(Volume)'!$A$7:$O$445,11)</f>
        <v>4922100</v>
      </c>
      <c r="K10" s="103">
        <f>VLOOKUP($A10,'OI(Volume)'!$A$7:$O$445,12)</f>
        <v>867375</v>
      </c>
      <c r="L10" s="103">
        <f>VLOOKUP($A10,'OI(Value)'!$A$7:$O$329,8,0)</f>
        <v>1040</v>
      </c>
      <c r="M10" s="103">
        <f>VLOOKUP($A10,'OI(Value)'!$A$7:$O$329,9,0)</f>
        <v>258</v>
      </c>
      <c r="N10" s="103">
        <f>VLOOKUP($A10,'OI(Value)'!$A$7:$O$329,11,0)</f>
        <v>672</v>
      </c>
      <c r="O10" s="103">
        <f>VLOOKUP($A10,'OI(Value)'!$A$7:$O$329,12,0)</f>
        <v>118</v>
      </c>
      <c r="P10" s="179">
        <f>VLOOKUP(A10,'OI(Value)'!A10:O234,8,0)</f>
        <v>1040</v>
      </c>
      <c r="Q10" s="179">
        <f>VLOOKUP(A10,'OI(Value)'!A10:O234,9,0)</f>
        <v>258</v>
      </c>
      <c r="R10" s="179">
        <f>VLOOKUP(A10,'OI(Value)'!A10:O234,11,0)</f>
        <v>672</v>
      </c>
      <c r="S10" s="179">
        <f>VLOOKUP(A10,'OI(Value)'!A10:O234,11,0)</f>
        <v>672</v>
      </c>
    </row>
    <row r="11" spans="1:19" x14ac:dyDescent="0.25">
      <c r="A11" s="105" t="str">
        <f>'Data Vlaue (Cr)'!C6</f>
        <v>ADANIENT</v>
      </c>
      <c r="B11" s="143">
        <f>VLOOKUP($A11,'Data shares'!$C:$FA,118)</f>
        <v>0.88</v>
      </c>
      <c r="C11" s="143">
        <f>VLOOKUP($A11,'Data shares'!$C:$FA,119)</f>
        <v>0.95</v>
      </c>
      <c r="D11" s="143">
        <f>VLOOKUP($A11,'Data shares'!$C:$FA,121)*100</f>
        <v>-7.37</v>
      </c>
      <c r="E11" s="143">
        <f>VLOOKUP($A11,'Data shares'!$C:$FA,124)</f>
        <v>0.38</v>
      </c>
      <c r="F11" s="143">
        <f>VLOOKUP($A11,'Data shares'!$C:$FA,125)</f>
        <v>0.55000000000000004</v>
      </c>
      <c r="G11" s="143">
        <f>VLOOKUP($A11,'Data shares'!$C:$FA,127)*100</f>
        <v>-30.91</v>
      </c>
      <c r="H11" s="103">
        <f>VLOOKUP($A11,'OI(Volume)'!$A$7:$O$445,8)</f>
        <v>8326932</v>
      </c>
      <c r="I11" s="103">
        <f>VLOOKUP($A11,'OI(Volume)'!$A$7:$O$445,9)</f>
        <v>798456</v>
      </c>
      <c r="J11" s="103">
        <f>VLOOKUP($A11,'OI(Volume)'!$A$7:$O$445,11)</f>
        <v>7291473</v>
      </c>
      <c r="K11" s="103">
        <f>VLOOKUP($A11,'OI(Volume)'!$A$7:$O$445,12)</f>
        <v>102897</v>
      </c>
      <c r="L11" s="103">
        <f>VLOOKUP($A11,'OI(Value)'!$A$7:$O$329,8,0)</f>
        <v>1921</v>
      </c>
      <c r="M11" s="103">
        <f>VLOOKUP($A11,'OI(Value)'!$A$7:$O$329,9,0)</f>
        <v>184</v>
      </c>
      <c r="N11" s="103">
        <f>VLOOKUP($A11,'OI(Value)'!$A$7:$O$329,11,0)</f>
        <v>1682</v>
      </c>
      <c r="O11" s="103">
        <f>VLOOKUP($A11,'OI(Value)'!$A$7:$O$329,12,0)</f>
        <v>24</v>
      </c>
      <c r="P11" s="179">
        <f>VLOOKUP(A11,'OI(Value)'!A11:O235,8,0)</f>
        <v>1921</v>
      </c>
      <c r="Q11" s="179">
        <f>VLOOKUP(A11,'OI(Value)'!A11:O235,9,0)</f>
        <v>184</v>
      </c>
      <c r="R11" s="179">
        <f>VLOOKUP(A11,'OI(Value)'!A11:O235,11,0)</f>
        <v>1682</v>
      </c>
      <c r="S11" s="179">
        <f>VLOOKUP(A11,'OI(Value)'!A11:O235,11,0)</f>
        <v>1682</v>
      </c>
    </row>
    <row r="12" spans="1:19" x14ac:dyDescent="0.25">
      <c r="A12" s="105" t="str">
        <f>'Data Vlaue (Cr)'!C7</f>
        <v>ADANIGREEN</v>
      </c>
      <c r="B12" s="143">
        <f>VLOOKUP($A12,'Data shares'!$C:$FA,118)</f>
        <v>0.67</v>
      </c>
      <c r="C12" s="143">
        <f>VLOOKUP($A12,'Data shares'!$C:$FA,119)</f>
        <v>0.74</v>
      </c>
      <c r="D12" s="143">
        <f>VLOOKUP($A12,'Data shares'!$C:$FA,121)*100</f>
        <v>-9.4600000000000009</v>
      </c>
      <c r="E12" s="143">
        <f>VLOOKUP($A12,'Data shares'!$C:$FA,124)</f>
        <v>0.31</v>
      </c>
      <c r="F12" s="143">
        <f>VLOOKUP($A12,'Data shares'!$C:$FA,125)</f>
        <v>0.33</v>
      </c>
      <c r="G12" s="143">
        <f>VLOOKUP($A12,'Data shares'!$C:$FA,127)*100</f>
        <v>-6.0600000000000005</v>
      </c>
      <c r="H12" s="103">
        <f>VLOOKUP($A12,'OI(Volume)'!$A$7:$O$445,8)</f>
        <v>12267600</v>
      </c>
      <c r="I12" s="103">
        <f>VLOOKUP($A12,'OI(Volume)'!$A$7:$O$445,9)</f>
        <v>2058600</v>
      </c>
      <c r="J12" s="103">
        <f>VLOOKUP($A12,'OI(Volume)'!$A$7:$O$445,11)</f>
        <v>8233200</v>
      </c>
      <c r="K12" s="103">
        <f>VLOOKUP($A12,'OI(Volume)'!$A$7:$O$445,12)</f>
        <v>723600</v>
      </c>
      <c r="L12" s="103">
        <f>VLOOKUP($A12,'OI(Value)'!$A$7:$O$329,8,0)</f>
        <v>1488</v>
      </c>
      <c r="M12" s="103">
        <f>VLOOKUP($A12,'OI(Value)'!$A$7:$O$329,9,0)</f>
        <v>250</v>
      </c>
      <c r="N12" s="103">
        <f>VLOOKUP($A12,'OI(Value)'!$A$7:$O$329,11,0)</f>
        <v>999</v>
      </c>
      <c r="O12" s="103">
        <f>VLOOKUP($A12,'OI(Value)'!$A$7:$O$329,12,0)</f>
        <v>88</v>
      </c>
      <c r="P12" s="179">
        <f>VLOOKUP(A12,'OI(Value)'!A12:O236,8,0)</f>
        <v>1488</v>
      </c>
      <c r="Q12" s="179">
        <f>VLOOKUP(A12,'OI(Value)'!A12:O236,9,0)</f>
        <v>250</v>
      </c>
      <c r="R12" s="179">
        <f>VLOOKUP(A12,'OI(Value)'!A12:O236,11,0)</f>
        <v>999</v>
      </c>
      <c r="S12" s="179">
        <f>VLOOKUP(A12,'OI(Value)'!A12:O236,11,0)</f>
        <v>999</v>
      </c>
    </row>
    <row r="13" spans="1:19" x14ac:dyDescent="0.25">
      <c r="A13" s="105" t="str">
        <f>'Data Vlaue (Cr)'!C8</f>
        <v>ADANIPORTS</v>
      </c>
      <c r="B13" s="143">
        <f>VLOOKUP($A13,'Data shares'!$C:$FA,118)</f>
        <v>0.85</v>
      </c>
      <c r="C13" s="143">
        <f>VLOOKUP($A13,'Data shares'!$C:$FA,119)</f>
        <v>0.87</v>
      </c>
      <c r="D13" s="143">
        <f>VLOOKUP($A13,'Data shares'!$C:$FA,121)*100</f>
        <v>-2.2999999999999998</v>
      </c>
      <c r="E13" s="143">
        <f>VLOOKUP($A13,'Data shares'!$C:$FA,124)</f>
        <v>0.57999999999999996</v>
      </c>
      <c r="F13" s="143">
        <f>VLOOKUP($A13,'Data shares'!$C:$FA,125)</f>
        <v>0.6</v>
      </c>
      <c r="G13" s="143">
        <f>VLOOKUP($A13,'Data shares'!$C:$FA,127)*100</f>
        <v>-3.3300000000000005</v>
      </c>
      <c r="H13" s="103">
        <f>VLOOKUP($A13,'OI(Volume)'!$A$7:$O$445,8)</f>
        <v>10317950</v>
      </c>
      <c r="I13" s="103">
        <f>VLOOKUP($A13,'OI(Volume)'!$A$7:$O$445,9)</f>
        <v>-107825</v>
      </c>
      <c r="J13" s="103">
        <f>VLOOKUP($A13,'OI(Volume)'!$A$7:$O$445,11)</f>
        <v>8778475</v>
      </c>
      <c r="K13" s="103">
        <f>VLOOKUP($A13,'OI(Volume)'!$A$7:$O$445,12)</f>
        <v>-330125</v>
      </c>
      <c r="L13" s="103">
        <f>VLOOKUP($A13,'OI(Value)'!$A$7:$O$329,8,0)</f>
        <v>1651</v>
      </c>
      <c r="M13" s="103">
        <f>VLOOKUP($A13,'OI(Value)'!$A$7:$O$329,9,0)</f>
        <v>-17</v>
      </c>
      <c r="N13" s="103">
        <f>VLOOKUP($A13,'OI(Value)'!$A$7:$O$329,11,0)</f>
        <v>1404</v>
      </c>
      <c r="O13" s="103">
        <f>VLOOKUP($A13,'OI(Value)'!$A$7:$O$329,12,0)</f>
        <v>-53</v>
      </c>
      <c r="P13" s="179">
        <f>VLOOKUP(A13,'OI(Value)'!A13:O237,8,0)</f>
        <v>1651</v>
      </c>
      <c r="Q13" s="179">
        <f>VLOOKUP(A13,'OI(Value)'!A13:O237,9,0)</f>
        <v>-17</v>
      </c>
      <c r="R13" s="179">
        <f>VLOOKUP(A13,'OI(Value)'!A13:O237,11,0)</f>
        <v>1404</v>
      </c>
      <c r="S13" s="179">
        <f>VLOOKUP(A13,'OI(Value)'!A13:O237,11,0)</f>
        <v>1404</v>
      </c>
    </row>
    <row r="14" spans="1:19" x14ac:dyDescent="0.25">
      <c r="A14" s="105" t="str">
        <f>'Data Vlaue (Cr)'!C9</f>
        <v>ADANIPOWER</v>
      </c>
      <c r="B14" s="143">
        <f>VLOOKUP($A14,'Data shares'!$C:$FA,118)</f>
        <v>0.79</v>
      </c>
      <c r="C14" s="143">
        <f>VLOOKUP($A14,'Data shares'!$C:$FA,119)</f>
        <v>0.86</v>
      </c>
      <c r="D14" s="143">
        <f>VLOOKUP($A14,'Data shares'!$C:$FA,121)*100</f>
        <v>-8.14</v>
      </c>
      <c r="E14" s="143">
        <f>VLOOKUP($A14,'Data shares'!$C:$FA,124)</f>
        <v>0.48</v>
      </c>
      <c r="F14" s="143">
        <f>VLOOKUP($A14,'Data shares'!$C:$FA,125)</f>
        <v>0.33</v>
      </c>
      <c r="G14" s="143">
        <f>VLOOKUP($A14,'Data shares'!$C:$FA,127)*100</f>
        <v>45.45</v>
      </c>
      <c r="H14" s="103">
        <f>VLOOKUP($A14,'OI(Volume)'!$A$7:$O$445,8)</f>
        <v>40047550</v>
      </c>
      <c r="I14" s="103">
        <f>VLOOKUP($A14,'OI(Volume)'!$A$7:$O$445,9)</f>
        <v>2907450</v>
      </c>
      <c r="J14" s="103">
        <f>VLOOKUP($A14,'OI(Volume)'!$A$7:$O$445,11)</f>
        <v>31541750</v>
      </c>
      <c r="K14" s="103">
        <f>VLOOKUP($A14,'OI(Volume)'!$A$7:$O$445,12)</f>
        <v>-553800</v>
      </c>
      <c r="L14" s="103">
        <f>VLOOKUP($A14,'OI(Value)'!$A$7:$O$329,8,0)</f>
        <v>858</v>
      </c>
      <c r="M14" s="103">
        <f>VLOOKUP($A14,'OI(Value)'!$A$7:$O$329,9,0)</f>
        <v>62</v>
      </c>
      <c r="N14" s="103">
        <f>VLOOKUP($A14,'OI(Value)'!$A$7:$O$329,11,0)</f>
        <v>676</v>
      </c>
      <c r="O14" s="103">
        <f>VLOOKUP($A14,'OI(Value)'!$A$7:$O$329,12,0)</f>
        <v>-12</v>
      </c>
      <c r="P14" s="179">
        <f>VLOOKUP(A14,'OI(Value)'!A14:O238,8,0)</f>
        <v>858</v>
      </c>
      <c r="Q14" s="179">
        <f>VLOOKUP(A14,'OI(Value)'!A14:O238,9,0)</f>
        <v>62</v>
      </c>
      <c r="R14" s="179">
        <f>VLOOKUP(A14,'OI(Value)'!A14:O238,11,0)</f>
        <v>676</v>
      </c>
      <c r="S14" s="179">
        <f>VLOOKUP(A14,'OI(Value)'!A14:O238,11,0)</f>
        <v>676</v>
      </c>
    </row>
    <row r="15" spans="1:19" x14ac:dyDescent="0.25">
      <c r="A15" s="105" t="str">
        <f>'Data Vlaue (Cr)'!C10</f>
        <v>ALKEM</v>
      </c>
      <c r="B15" s="143">
        <f>VLOOKUP($A15,'Data shares'!$C:$FA,118)</f>
        <v>0.69</v>
      </c>
      <c r="C15" s="143">
        <f>VLOOKUP($A15,'Data shares'!$C:$FA,119)</f>
        <v>0.75</v>
      </c>
      <c r="D15" s="143">
        <f>VLOOKUP($A15,'Data shares'!$C:$FA,121)*100</f>
        <v>-8</v>
      </c>
      <c r="E15" s="143">
        <f>VLOOKUP($A15,'Data shares'!$C:$FA,124)</f>
        <v>0.54</v>
      </c>
      <c r="F15" s="143">
        <f>VLOOKUP($A15,'Data shares'!$C:$FA,125)</f>
        <v>0.55000000000000004</v>
      </c>
      <c r="G15" s="143">
        <f>VLOOKUP($A15,'Data shares'!$C:$FA,127)*100</f>
        <v>-1.82</v>
      </c>
      <c r="H15" s="103">
        <f>VLOOKUP($A15,'OI(Volume)'!$A$7:$O$445,8)</f>
        <v>325000</v>
      </c>
      <c r="I15" s="103">
        <f>VLOOKUP($A15,'OI(Volume)'!$A$7:$O$445,9)</f>
        <v>-3250</v>
      </c>
      <c r="J15" s="103">
        <f>VLOOKUP($A15,'OI(Volume)'!$A$7:$O$445,11)</f>
        <v>225125</v>
      </c>
      <c r="K15" s="103">
        <f>VLOOKUP($A15,'OI(Volume)'!$A$7:$O$445,12)</f>
        <v>-22250</v>
      </c>
      <c r="L15" s="103">
        <f>VLOOKUP($A15,'OI(Value)'!$A$7:$O$329,8,0)</f>
        <v>179</v>
      </c>
      <c r="M15" s="103">
        <f>VLOOKUP($A15,'OI(Value)'!$A$7:$O$329,9,0)</f>
        <v>-2</v>
      </c>
      <c r="N15" s="103">
        <f>VLOOKUP($A15,'OI(Value)'!$A$7:$O$329,11,0)</f>
        <v>124</v>
      </c>
      <c r="O15" s="103">
        <f>VLOOKUP($A15,'OI(Value)'!$A$7:$O$329,12,0)</f>
        <v>-12</v>
      </c>
      <c r="P15" s="179">
        <f>VLOOKUP(A15,'OI(Value)'!A15:O239,8,0)</f>
        <v>179</v>
      </c>
      <c r="Q15" s="179">
        <f>VLOOKUP(A15,'OI(Value)'!A15:O239,9,0)</f>
        <v>-2</v>
      </c>
      <c r="R15" s="179">
        <f>VLOOKUP(A15,'OI(Value)'!A15:O239,11,0)</f>
        <v>124</v>
      </c>
      <c r="S15" s="179">
        <f>VLOOKUP(A15,'OI(Value)'!A15:O239,11,0)</f>
        <v>124</v>
      </c>
    </row>
    <row r="16" spans="1:19" x14ac:dyDescent="0.25">
      <c r="A16" s="105" t="str">
        <f>'Data Vlaue (Cr)'!C11</f>
        <v>AMBER</v>
      </c>
      <c r="B16" s="143">
        <f>VLOOKUP($A16,'Data shares'!$C:$FA,118)</f>
        <v>0.78</v>
      </c>
      <c r="C16" s="143">
        <f>VLOOKUP($A16,'Data shares'!$C:$FA,119)</f>
        <v>0.74</v>
      </c>
      <c r="D16" s="143">
        <f>VLOOKUP($A16,'Data shares'!$C:$FA,121)*100</f>
        <v>5.41</v>
      </c>
      <c r="E16" s="143">
        <f>VLOOKUP($A16,'Data shares'!$C:$FA,124)</f>
        <v>0.63</v>
      </c>
      <c r="F16" s="143">
        <f>VLOOKUP($A16,'Data shares'!$C:$FA,125)</f>
        <v>0.52</v>
      </c>
      <c r="G16" s="143">
        <f>VLOOKUP($A16,'Data shares'!$C:$FA,127)*100</f>
        <v>21.15</v>
      </c>
      <c r="H16" s="103">
        <f>VLOOKUP($A16,'OI(Volume)'!$A$7:$O$445,8)</f>
        <v>883400</v>
      </c>
      <c r="I16" s="103">
        <f>VLOOKUP($A16,'OI(Volume)'!$A$7:$O$445,9)</f>
        <v>-29700</v>
      </c>
      <c r="J16" s="103">
        <f>VLOOKUP($A16,'OI(Volume)'!$A$7:$O$445,11)</f>
        <v>686700</v>
      </c>
      <c r="K16" s="103">
        <f>VLOOKUP($A16,'OI(Volume)'!$A$7:$O$445,12)</f>
        <v>6900</v>
      </c>
      <c r="L16" s="103">
        <f>VLOOKUP($A16,'OI(Value)'!$A$7:$O$329,8,0)</f>
        <v>691</v>
      </c>
      <c r="M16" s="103">
        <f>VLOOKUP($A16,'OI(Value)'!$A$7:$O$329,9,0)</f>
        <v>-23</v>
      </c>
      <c r="N16" s="103">
        <f>VLOOKUP($A16,'OI(Value)'!$A$7:$O$329,11,0)</f>
        <v>537</v>
      </c>
      <c r="O16" s="103">
        <f>VLOOKUP($A16,'OI(Value)'!$A$7:$O$329,12,0)</f>
        <v>5</v>
      </c>
      <c r="P16" s="179">
        <f>VLOOKUP(A16,'OI(Value)'!A16:O240,8,0)</f>
        <v>691</v>
      </c>
      <c r="Q16" s="179">
        <f>VLOOKUP(A16,'OI(Value)'!A16:O240,9,0)</f>
        <v>-23</v>
      </c>
      <c r="R16" s="179">
        <f>VLOOKUP(A16,'OI(Value)'!A16:O240,11,0)</f>
        <v>537</v>
      </c>
      <c r="S16" s="179">
        <f>VLOOKUP(A16,'OI(Value)'!A16:O240,11,0)</f>
        <v>537</v>
      </c>
    </row>
    <row r="17" spans="1:19" x14ac:dyDescent="0.25">
      <c r="A17" s="105" t="str">
        <f>'Data Vlaue (Cr)'!C12</f>
        <v>AMBUJACEM</v>
      </c>
      <c r="B17" s="143">
        <f>VLOOKUP($A17,'Data shares'!$C:$FA,118)</f>
        <v>0.84</v>
      </c>
      <c r="C17" s="143">
        <f>VLOOKUP($A17,'Data shares'!$C:$FA,119)</f>
        <v>0.93</v>
      </c>
      <c r="D17" s="143">
        <f>VLOOKUP($A17,'Data shares'!$C:$FA,121)*100</f>
        <v>-9.68</v>
      </c>
      <c r="E17" s="143">
        <f>VLOOKUP($A17,'Data shares'!$C:$FA,124)</f>
        <v>0.36</v>
      </c>
      <c r="F17" s="143">
        <f>VLOOKUP($A17,'Data shares'!$C:$FA,125)</f>
        <v>0.48</v>
      </c>
      <c r="G17" s="143">
        <f>VLOOKUP($A17,'Data shares'!$C:$FA,127)*100</f>
        <v>-25</v>
      </c>
      <c r="H17" s="103">
        <f>VLOOKUP($A17,'OI(Volume)'!$A$7:$O$445,8)</f>
        <v>10616550</v>
      </c>
      <c r="I17" s="103">
        <f>VLOOKUP($A17,'OI(Volume)'!$A$7:$O$445,9)</f>
        <v>796950</v>
      </c>
      <c r="J17" s="103">
        <f>VLOOKUP($A17,'OI(Volume)'!$A$7:$O$445,11)</f>
        <v>8897700</v>
      </c>
      <c r="K17" s="103">
        <f>VLOOKUP($A17,'OI(Volume)'!$A$7:$O$445,12)</f>
        <v>-193200</v>
      </c>
      <c r="L17" s="103">
        <f>VLOOKUP($A17,'OI(Value)'!$A$7:$O$329,8,0)</f>
        <v>477</v>
      </c>
      <c r="M17" s="103">
        <f>VLOOKUP($A17,'OI(Value)'!$A$7:$O$329,9,0)</f>
        <v>36</v>
      </c>
      <c r="N17" s="103">
        <f>VLOOKUP($A17,'OI(Value)'!$A$7:$O$329,11,0)</f>
        <v>400</v>
      </c>
      <c r="O17" s="103">
        <f>VLOOKUP($A17,'OI(Value)'!$A$7:$O$329,12,0)</f>
        <v>-9</v>
      </c>
      <c r="P17" s="179">
        <f>VLOOKUP(A17,'OI(Value)'!A17:O241,8,0)</f>
        <v>477</v>
      </c>
      <c r="Q17" s="179">
        <f>VLOOKUP(A17,'OI(Value)'!A17:O241,9,0)</f>
        <v>36</v>
      </c>
      <c r="R17" s="179">
        <f>VLOOKUP(A17,'OI(Value)'!A17:O241,11,0)</f>
        <v>400</v>
      </c>
      <c r="S17" s="179">
        <f>VLOOKUP(A17,'OI(Value)'!A17:O241,11,0)</f>
        <v>400</v>
      </c>
    </row>
    <row r="18" spans="1:19" x14ac:dyDescent="0.25">
      <c r="A18" s="105" t="str">
        <f>'Data Vlaue (Cr)'!C13</f>
        <v>ANGELONE</v>
      </c>
      <c r="B18" s="143">
        <f>VLOOKUP($A18,'Data shares'!$C:$FA,118)</f>
        <v>1.02</v>
      </c>
      <c r="C18" s="143">
        <f>VLOOKUP($A18,'Data shares'!$C:$FA,119)</f>
        <v>1.1299999999999999</v>
      </c>
      <c r="D18" s="143">
        <f>VLOOKUP($A18,'Data shares'!$C:$FA,121)*100</f>
        <v>-9.73</v>
      </c>
      <c r="E18" s="143">
        <f>VLOOKUP($A18,'Data shares'!$C:$FA,124)</f>
        <v>0.97</v>
      </c>
      <c r="F18" s="143">
        <f>VLOOKUP($A18,'Data shares'!$C:$FA,125)</f>
        <v>0.69</v>
      </c>
      <c r="G18" s="143">
        <f>VLOOKUP($A18,'Data shares'!$C:$FA,127)*100</f>
        <v>40.58</v>
      </c>
      <c r="H18" s="103">
        <f>VLOOKUP($A18,'OI(Volume)'!$A$7:$O$445,8)</f>
        <v>29945000</v>
      </c>
      <c r="I18" s="103">
        <f>VLOOKUP($A18,'OI(Volume)'!$A$7:$O$445,9)</f>
        <v>-1012500</v>
      </c>
      <c r="J18" s="103">
        <f>VLOOKUP($A18,'OI(Volume)'!$A$7:$O$445,11)</f>
        <v>30617500</v>
      </c>
      <c r="K18" s="103">
        <f>VLOOKUP($A18,'OI(Volume)'!$A$7:$O$445,12)</f>
        <v>-4302500</v>
      </c>
      <c r="L18" s="103">
        <f>VLOOKUP($A18,'OI(Value)'!$A$7:$O$329,8,0)</f>
        <v>964</v>
      </c>
      <c r="M18" s="103">
        <f>VLOOKUP($A18,'OI(Value)'!$A$7:$O$329,9,0)</f>
        <v>-33</v>
      </c>
      <c r="N18" s="103">
        <f>VLOOKUP($A18,'OI(Value)'!$A$7:$O$329,11,0)</f>
        <v>985</v>
      </c>
      <c r="O18" s="103">
        <f>VLOOKUP($A18,'OI(Value)'!$A$7:$O$329,12,0)</f>
        <v>-138</v>
      </c>
      <c r="P18" s="179">
        <f>VLOOKUP(A18,'OI(Value)'!A18:O242,8,0)</f>
        <v>964</v>
      </c>
      <c r="Q18" s="179">
        <f>VLOOKUP(A18,'OI(Value)'!A18:O242,9,0)</f>
        <v>-33</v>
      </c>
      <c r="R18" s="179">
        <f>VLOOKUP(A18,'OI(Value)'!A18:O242,11,0)</f>
        <v>985</v>
      </c>
      <c r="S18" s="179">
        <f>VLOOKUP(A18,'OI(Value)'!A18:O242,11,0)</f>
        <v>985</v>
      </c>
    </row>
    <row r="19" spans="1:19" x14ac:dyDescent="0.25">
      <c r="A19" s="105" t="str">
        <f>'Data Vlaue (Cr)'!C14</f>
        <v>APLAPOLLO</v>
      </c>
      <c r="B19" s="143">
        <f>VLOOKUP($A19,'Data shares'!$C:$FA,118)</f>
        <v>0.75</v>
      </c>
      <c r="C19" s="143">
        <f>VLOOKUP($A19,'Data shares'!$C:$FA,119)</f>
        <v>0.67</v>
      </c>
      <c r="D19" s="143">
        <f>VLOOKUP($A19,'Data shares'!$C:$FA,121)*100</f>
        <v>11.940000000000001</v>
      </c>
      <c r="E19" s="143">
        <f>VLOOKUP($A19,'Data shares'!$C:$FA,124)</f>
        <v>1.22</v>
      </c>
      <c r="F19" s="143">
        <f>VLOOKUP($A19,'Data shares'!$C:$FA,125)</f>
        <v>0.28999999999999998</v>
      </c>
      <c r="G19" s="143">
        <f>VLOOKUP($A19,'Data shares'!$C:$FA,127)*100</f>
        <v>320.69</v>
      </c>
      <c r="H19" s="103">
        <f>VLOOKUP($A19,'OI(Volume)'!$A$7:$O$445,8)</f>
        <v>1395100</v>
      </c>
      <c r="I19" s="103">
        <f>VLOOKUP($A19,'OI(Volume)'!$A$7:$O$445,9)</f>
        <v>102200</v>
      </c>
      <c r="J19" s="103">
        <f>VLOOKUP($A19,'OI(Volume)'!$A$7:$O$445,11)</f>
        <v>1051750</v>
      </c>
      <c r="K19" s="103">
        <f>VLOOKUP($A19,'OI(Volume)'!$A$7:$O$445,12)</f>
        <v>187250</v>
      </c>
      <c r="L19" s="103">
        <f>VLOOKUP($A19,'OI(Value)'!$A$7:$O$329,8,0)</f>
        <v>283</v>
      </c>
      <c r="M19" s="103">
        <f>VLOOKUP($A19,'OI(Value)'!$A$7:$O$329,9,0)</f>
        <v>21</v>
      </c>
      <c r="N19" s="103">
        <f>VLOOKUP($A19,'OI(Value)'!$A$7:$O$329,11,0)</f>
        <v>213</v>
      </c>
      <c r="O19" s="103">
        <f>VLOOKUP($A19,'OI(Value)'!$A$7:$O$329,12,0)</f>
        <v>38</v>
      </c>
      <c r="P19" s="179">
        <f>VLOOKUP(A19,'OI(Value)'!A19:O243,8,0)</f>
        <v>283</v>
      </c>
      <c r="Q19" s="179">
        <f>VLOOKUP(A19,'OI(Value)'!A19:O243,9,0)</f>
        <v>21</v>
      </c>
      <c r="R19" s="179">
        <f>VLOOKUP(A19,'OI(Value)'!A19:O243,11,0)</f>
        <v>213</v>
      </c>
      <c r="S19" s="179">
        <f>VLOOKUP(A19,'OI(Value)'!A19:O243,11,0)</f>
        <v>213</v>
      </c>
    </row>
    <row r="20" spans="1:19" x14ac:dyDescent="0.25">
      <c r="A20" s="105" t="str">
        <f>'Data Vlaue (Cr)'!C15</f>
        <v>APOLLOHOSP</v>
      </c>
      <c r="B20" s="143">
        <f>VLOOKUP($A20,'Data shares'!$C:$FA,118)</f>
        <v>1.1299999999999999</v>
      </c>
      <c r="C20" s="143">
        <f>VLOOKUP($A20,'Data shares'!$C:$FA,119)</f>
        <v>0.94</v>
      </c>
      <c r="D20" s="143">
        <f>VLOOKUP($A20,'Data shares'!$C:$FA,121)*100</f>
        <v>20.21</v>
      </c>
      <c r="E20" s="143">
        <f>VLOOKUP($A20,'Data shares'!$C:$FA,124)</f>
        <v>0.55000000000000004</v>
      </c>
      <c r="F20" s="143">
        <f>VLOOKUP($A20,'Data shares'!$C:$FA,125)</f>
        <v>1.0900000000000001</v>
      </c>
      <c r="G20" s="143">
        <f>VLOOKUP($A20,'Data shares'!$C:$FA,127)*100</f>
        <v>-49.54</v>
      </c>
      <c r="H20" s="103">
        <f>VLOOKUP($A20,'OI(Volume)'!$A$7:$O$445,8)</f>
        <v>840000</v>
      </c>
      <c r="I20" s="103">
        <f>VLOOKUP($A20,'OI(Volume)'!$A$7:$O$445,9)</f>
        <v>-80875</v>
      </c>
      <c r="J20" s="103">
        <f>VLOOKUP($A20,'OI(Volume)'!$A$7:$O$445,11)</f>
        <v>951125</v>
      </c>
      <c r="K20" s="103">
        <f>VLOOKUP($A20,'OI(Volume)'!$A$7:$O$445,12)</f>
        <v>84000</v>
      </c>
      <c r="L20" s="103">
        <f>VLOOKUP($A20,'OI(Value)'!$A$7:$O$329,8,0)</f>
        <v>652</v>
      </c>
      <c r="M20" s="103">
        <f>VLOOKUP($A20,'OI(Value)'!$A$7:$O$329,9,0)</f>
        <v>-63</v>
      </c>
      <c r="N20" s="103">
        <f>VLOOKUP($A20,'OI(Value)'!$A$7:$O$329,11,0)</f>
        <v>739</v>
      </c>
      <c r="O20" s="103">
        <f>VLOOKUP($A20,'OI(Value)'!$A$7:$O$329,12,0)</f>
        <v>65</v>
      </c>
      <c r="P20" s="179">
        <f>VLOOKUP(A20,'OI(Value)'!A20:O244,8,0)</f>
        <v>652</v>
      </c>
      <c r="Q20" s="179">
        <f>VLOOKUP(A20,'OI(Value)'!A20:O244,9,0)</f>
        <v>-63</v>
      </c>
      <c r="R20" s="179">
        <f>VLOOKUP(A20,'OI(Value)'!A20:O244,11,0)</f>
        <v>739</v>
      </c>
      <c r="S20" s="179">
        <f>VLOOKUP(A20,'OI(Value)'!A20:O244,11,0)</f>
        <v>739</v>
      </c>
    </row>
    <row r="21" spans="1:19" x14ac:dyDescent="0.25">
      <c r="A21" s="105" t="str">
        <f>'Data Vlaue (Cr)'!C16</f>
        <v>ASHOKLEY</v>
      </c>
      <c r="B21" s="143">
        <f>VLOOKUP($A21,'Data shares'!$C:$FA,118)</f>
        <v>0.63</v>
      </c>
      <c r="C21" s="143">
        <f>VLOOKUP($A21,'Data shares'!$C:$FA,119)</f>
        <v>0.69</v>
      </c>
      <c r="D21" s="143">
        <f>VLOOKUP($A21,'Data shares'!$C:$FA,121)*100</f>
        <v>-8.6999999999999993</v>
      </c>
      <c r="E21" s="143">
        <f>VLOOKUP($A21,'Data shares'!$C:$FA,124)</f>
        <v>0.6</v>
      </c>
      <c r="F21" s="143">
        <f>VLOOKUP($A21,'Data shares'!$C:$FA,125)</f>
        <v>0.44</v>
      </c>
      <c r="G21" s="143">
        <f>VLOOKUP($A21,'Data shares'!$C:$FA,127)*100</f>
        <v>36.36</v>
      </c>
      <c r="H21" s="103">
        <f>VLOOKUP($A21,'OI(Volume)'!$A$7:$O$445,8)</f>
        <v>111885000</v>
      </c>
      <c r="I21" s="103">
        <f>VLOOKUP($A21,'OI(Volume)'!$A$7:$O$445,9)</f>
        <v>12420000</v>
      </c>
      <c r="J21" s="103">
        <f>VLOOKUP($A21,'OI(Volume)'!$A$7:$O$445,11)</f>
        <v>70555000</v>
      </c>
      <c r="K21" s="103">
        <f>VLOOKUP($A21,'OI(Volume)'!$A$7:$O$445,12)</f>
        <v>1735000</v>
      </c>
      <c r="L21" s="103">
        <f>VLOOKUP($A21,'OI(Value)'!$A$7:$O$329,8,0)</f>
        <v>1912</v>
      </c>
      <c r="M21" s="103">
        <f>VLOOKUP($A21,'OI(Value)'!$A$7:$O$329,9,0)</f>
        <v>212</v>
      </c>
      <c r="N21" s="103">
        <f>VLOOKUP($A21,'OI(Value)'!$A$7:$O$329,11,0)</f>
        <v>1206</v>
      </c>
      <c r="O21" s="103">
        <f>VLOOKUP($A21,'OI(Value)'!$A$7:$O$329,12,0)</f>
        <v>30</v>
      </c>
      <c r="P21" s="179">
        <f>VLOOKUP(A21,'OI(Value)'!A21:O245,8,0)</f>
        <v>1912</v>
      </c>
      <c r="Q21" s="179">
        <f>VLOOKUP(A21,'OI(Value)'!A21:O245,9,0)</f>
        <v>212</v>
      </c>
      <c r="R21" s="179">
        <f>VLOOKUP(A21,'OI(Value)'!A21:O245,11,0)</f>
        <v>1206</v>
      </c>
      <c r="S21" s="179">
        <f>VLOOKUP(A21,'OI(Value)'!A21:O245,11,0)</f>
        <v>1206</v>
      </c>
    </row>
    <row r="22" spans="1:19" x14ac:dyDescent="0.25">
      <c r="A22" s="105" t="str">
        <f>'Data Vlaue (Cr)'!C17</f>
        <v>ASIANPAINT</v>
      </c>
      <c r="B22" s="143">
        <f>VLOOKUP($A22,'Data shares'!$C:$FA,118)</f>
        <v>1.1399999999999999</v>
      </c>
      <c r="C22" s="143">
        <f>VLOOKUP($A22,'Data shares'!$C:$FA,119)</f>
        <v>1.25</v>
      </c>
      <c r="D22" s="143">
        <f>VLOOKUP($A22,'Data shares'!$C:$FA,121)*100</f>
        <v>-8.7999999999999989</v>
      </c>
      <c r="E22" s="143">
        <f>VLOOKUP($A22,'Data shares'!$C:$FA,124)</f>
        <v>1.1399999999999999</v>
      </c>
      <c r="F22" s="143">
        <f>VLOOKUP($A22,'Data shares'!$C:$FA,125)</f>
        <v>0.83</v>
      </c>
      <c r="G22" s="143">
        <f>VLOOKUP($A22,'Data shares'!$C:$FA,127)*100</f>
        <v>37.35</v>
      </c>
      <c r="H22" s="103">
        <f>VLOOKUP($A22,'OI(Volume)'!$A$7:$O$445,8)</f>
        <v>5094000</v>
      </c>
      <c r="I22" s="103">
        <f>VLOOKUP($A22,'OI(Volume)'!$A$7:$O$445,9)</f>
        <v>24000</v>
      </c>
      <c r="J22" s="103">
        <f>VLOOKUP($A22,'OI(Volume)'!$A$7:$O$445,11)</f>
        <v>5790250</v>
      </c>
      <c r="K22" s="103">
        <f>VLOOKUP($A22,'OI(Volume)'!$A$7:$O$445,12)</f>
        <v>-536500</v>
      </c>
      <c r="L22" s="103">
        <f>VLOOKUP($A22,'OI(Value)'!$A$7:$O$329,8,0)</f>
        <v>1282</v>
      </c>
      <c r="M22" s="103">
        <f>VLOOKUP($A22,'OI(Value)'!$A$7:$O$329,9,0)</f>
        <v>6</v>
      </c>
      <c r="N22" s="103">
        <f>VLOOKUP($A22,'OI(Value)'!$A$7:$O$329,11,0)</f>
        <v>1457</v>
      </c>
      <c r="O22" s="103">
        <f>VLOOKUP($A22,'OI(Value)'!$A$7:$O$329,12,0)</f>
        <v>-135</v>
      </c>
      <c r="P22" s="179">
        <f>VLOOKUP(A22,'OI(Value)'!A22:O246,8,0)</f>
        <v>1282</v>
      </c>
      <c r="Q22" s="179">
        <f>VLOOKUP(A22,'OI(Value)'!A22:O246,9,0)</f>
        <v>6</v>
      </c>
      <c r="R22" s="179">
        <f>VLOOKUP(A22,'OI(Value)'!A22:O246,11,0)</f>
        <v>1457</v>
      </c>
      <c r="S22" s="179">
        <f>VLOOKUP(A22,'OI(Value)'!A22:O246,11,0)</f>
        <v>1457</v>
      </c>
    </row>
    <row r="23" spans="1:19" x14ac:dyDescent="0.25">
      <c r="A23" s="105" t="str">
        <f>'Data Vlaue (Cr)'!C18</f>
        <v>ASTRAL</v>
      </c>
      <c r="B23" s="143">
        <f>VLOOKUP($A23,'Data shares'!$C:$FA,118)</f>
        <v>0.69</v>
      </c>
      <c r="C23" s="143">
        <f>VLOOKUP($A23,'Data shares'!$C:$FA,119)</f>
        <v>0.62</v>
      </c>
      <c r="D23" s="143">
        <f>VLOOKUP($A23,'Data shares'!$C:$FA,121)*100</f>
        <v>11.29</v>
      </c>
      <c r="E23" s="143">
        <f>VLOOKUP($A23,'Data shares'!$C:$FA,124)</f>
        <v>0.43</v>
      </c>
      <c r="F23" s="143">
        <f>VLOOKUP($A23,'Data shares'!$C:$FA,125)</f>
        <v>0.51</v>
      </c>
      <c r="G23" s="143">
        <f>VLOOKUP($A23,'Data shares'!$C:$FA,127)*100</f>
        <v>-15.690000000000001</v>
      </c>
      <c r="H23" s="103">
        <f>VLOOKUP($A23,'OI(Volume)'!$A$7:$O$445,8)</f>
        <v>3057025</v>
      </c>
      <c r="I23" s="103">
        <f>VLOOKUP($A23,'OI(Volume)'!$A$7:$O$445,9)</f>
        <v>-460700</v>
      </c>
      <c r="J23" s="103">
        <f>VLOOKUP($A23,'OI(Volume)'!$A$7:$O$445,11)</f>
        <v>2117350</v>
      </c>
      <c r="K23" s="103">
        <f>VLOOKUP($A23,'OI(Volume)'!$A$7:$O$445,12)</f>
        <v>-70125</v>
      </c>
      <c r="L23" s="103">
        <f>VLOOKUP($A23,'OI(Value)'!$A$7:$O$329,8,0)</f>
        <v>482</v>
      </c>
      <c r="M23" s="103">
        <f>VLOOKUP($A23,'OI(Value)'!$A$7:$O$329,9,0)</f>
        <v>-73</v>
      </c>
      <c r="N23" s="103">
        <f>VLOOKUP($A23,'OI(Value)'!$A$7:$O$329,11,0)</f>
        <v>334</v>
      </c>
      <c r="O23" s="103">
        <f>VLOOKUP($A23,'OI(Value)'!$A$7:$O$329,12,0)</f>
        <v>-11</v>
      </c>
      <c r="P23" s="179">
        <f>VLOOKUP(A23,'OI(Value)'!A23:O247,8,0)</f>
        <v>482</v>
      </c>
      <c r="Q23" s="179">
        <f>VLOOKUP(A23,'OI(Value)'!A23:O247,9,0)</f>
        <v>-73</v>
      </c>
      <c r="R23" s="179">
        <f>VLOOKUP(A23,'OI(Value)'!A23:O247,11,0)</f>
        <v>334</v>
      </c>
      <c r="S23" s="179">
        <f>VLOOKUP(A23,'OI(Value)'!A23:O247,11,0)</f>
        <v>334</v>
      </c>
    </row>
    <row r="24" spans="1:19" x14ac:dyDescent="0.25">
      <c r="A24" s="105" t="str">
        <f>'Data Vlaue (Cr)'!C19</f>
        <v>AUBANK</v>
      </c>
      <c r="B24" s="143">
        <f>VLOOKUP($A24,'Data shares'!$C:$FA,118)</f>
        <v>0.83</v>
      </c>
      <c r="C24" s="143">
        <f>VLOOKUP($A24,'Data shares'!$C:$FA,119)</f>
        <v>0.89</v>
      </c>
      <c r="D24" s="143">
        <f>VLOOKUP($A24,'Data shares'!$C:$FA,121)*100</f>
        <v>-6.74</v>
      </c>
      <c r="E24" s="143">
        <f>VLOOKUP($A24,'Data shares'!$C:$FA,124)</f>
        <v>0.54</v>
      </c>
      <c r="F24" s="143">
        <f>VLOOKUP($A24,'Data shares'!$C:$FA,125)</f>
        <v>0.55000000000000004</v>
      </c>
      <c r="G24" s="143">
        <f>VLOOKUP($A24,'Data shares'!$C:$FA,127)*100</f>
        <v>-1.82</v>
      </c>
      <c r="H24" s="103">
        <f>VLOOKUP($A24,'OI(Volume)'!$A$7:$O$445,8)</f>
        <v>10007000</v>
      </c>
      <c r="I24" s="103">
        <f>VLOOKUP($A24,'OI(Volume)'!$A$7:$O$445,9)</f>
        <v>1228000</v>
      </c>
      <c r="J24" s="103">
        <f>VLOOKUP($A24,'OI(Volume)'!$A$7:$O$445,11)</f>
        <v>8270000</v>
      </c>
      <c r="K24" s="103">
        <f>VLOOKUP($A24,'OI(Volume)'!$A$7:$O$445,12)</f>
        <v>488000</v>
      </c>
      <c r="L24" s="103">
        <f>VLOOKUP($A24,'OI(Value)'!$A$7:$O$329,8,0)</f>
        <v>1058</v>
      </c>
      <c r="M24" s="103">
        <f>VLOOKUP($A24,'OI(Value)'!$A$7:$O$329,9,0)</f>
        <v>130</v>
      </c>
      <c r="N24" s="103">
        <f>VLOOKUP($A24,'OI(Value)'!$A$7:$O$329,11,0)</f>
        <v>875</v>
      </c>
      <c r="O24" s="103">
        <f>VLOOKUP($A24,'OI(Value)'!$A$7:$O$329,12,0)</f>
        <v>52</v>
      </c>
      <c r="P24" s="179">
        <f>VLOOKUP(A24,'OI(Value)'!A24:O248,8,0)</f>
        <v>1058</v>
      </c>
      <c r="Q24" s="179">
        <f>VLOOKUP(A24,'OI(Value)'!A24:O248,9,0)</f>
        <v>130</v>
      </c>
      <c r="R24" s="179">
        <f>VLOOKUP(A24,'OI(Value)'!A24:O248,11,0)</f>
        <v>875</v>
      </c>
      <c r="S24" s="179">
        <f>VLOOKUP(A24,'OI(Value)'!A24:O248,11,0)</f>
        <v>875</v>
      </c>
    </row>
    <row r="25" spans="1:19" x14ac:dyDescent="0.25">
      <c r="A25" s="105" t="str">
        <f>'Data Vlaue (Cr)'!C20</f>
        <v>AUROPHARMA</v>
      </c>
      <c r="B25" s="143">
        <f>VLOOKUP($A25,'Data shares'!$C:$FA,118)</f>
        <v>0.76</v>
      </c>
      <c r="C25" s="143">
        <f>VLOOKUP($A25,'Data shares'!$C:$FA,119)</f>
        <v>0.67</v>
      </c>
      <c r="D25" s="143">
        <f>VLOOKUP($A25,'Data shares'!$C:$FA,121)*100</f>
        <v>13.43</v>
      </c>
      <c r="E25" s="143">
        <f>VLOOKUP($A25,'Data shares'!$C:$FA,124)</f>
        <v>0.41</v>
      </c>
      <c r="F25" s="143">
        <f>VLOOKUP($A25,'Data shares'!$C:$FA,125)</f>
        <v>0.55000000000000004</v>
      </c>
      <c r="G25" s="143">
        <f>VLOOKUP($A25,'Data shares'!$C:$FA,127)*100</f>
        <v>-25.45</v>
      </c>
      <c r="H25" s="103">
        <f>VLOOKUP($A25,'OI(Volume)'!$A$7:$O$445,8)</f>
        <v>4470400</v>
      </c>
      <c r="I25" s="103">
        <f>VLOOKUP($A25,'OI(Volume)'!$A$7:$O$445,9)</f>
        <v>17050</v>
      </c>
      <c r="J25" s="103">
        <f>VLOOKUP($A25,'OI(Volume)'!$A$7:$O$445,11)</f>
        <v>3375350</v>
      </c>
      <c r="K25" s="103">
        <f>VLOOKUP($A25,'OI(Volume)'!$A$7:$O$445,12)</f>
        <v>394900</v>
      </c>
      <c r="L25" s="103">
        <f>VLOOKUP($A25,'OI(Value)'!$A$7:$O$329,8,0)</f>
        <v>643</v>
      </c>
      <c r="M25" s="103">
        <f>VLOOKUP($A25,'OI(Value)'!$A$7:$O$329,9,0)</f>
        <v>2</v>
      </c>
      <c r="N25" s="103">
        <f>VLOOKUP($A25,'OI(Value)'!$A$7:$O$329,11,0)</f>
        <v>485</v>
      </c>
      <c r="O25" s="103">
        <f>VLOOKUP($A25,'OI(Value)'!$A$7:$O$329,12,0)</f>
        <v>57</v>
      </c>
      <c r="P25" s="179">
        <f>VLOOKUP(A25,'OI(Value)'!A25:O249,8,0)</f>
        <v>643</v>
      </c>
      <c r="Q25" s="179">
        <f>VLOOKUP(A25,'OI(Value)'!A25:O249,9,0)</f>
        <v>2</v>
      </c>
      <c r="R25" s="179">
        <f>VLOOKUP(A25,'OI(Value)'!A25:O249,11,0)</f>
        <v>485</v>
      </c>
      <c r="S25" s="179">
        <f>VLOOKUP(A25,'OI(Value)'!A25:O249,11,0)</f>
        <v>485</v>
      </c>
    </row>
    <row r="26" spans="1:19" x14ac:dyDescent="0.25">
      <c r="A26" s="105" t="str">
        <f>'Data Vlaue (Cr)'!C21</f>
        <v>AXISBANK</v>
      </c>
      <c r="B26" s="143">
        <f>VLOOKUP($A26,'Data shares'!$C:$FA,118)</f>
        <v>0.76</v>
      </c>
      <c r="C26" s="143">
        <f>VLOOKUP($A26,'Data shares'!$C:$FA,119)</f>
        <v>0.83</v>
      </c>
      <c r="D26" s="143">
        <f>VLOOKUP($A26,'Data shares'!$C:$FA,121)*100</f>
        <v>-8.43</v>
      </c>
      <c r="E26" s="143">
        <f>VLOOKUP($A26,'Data shares'!$C:$FA,124)</f>
        <v>0.79</v>
      </c>
      <c r="F26" s="143">
        <f>VLOOKUP($A26,'Data shares'!$C:$FA,125)</f>
        <v>0.68</v>
      </c>
      <c r="G26" s="143">
        <f>VLOOKUP($A26,'Data shares'!$C:$FA,127)*100</f>
        <v>16.18</v>
      </c>
      <c r="H26" s="103">
        <f>VLOOKUP($A26,'OI(Volume)'!$A$7:$O$445,8)</f>
        <v>18750625</v>
      </c>
      <c r="I26" s="103">
        <f>VLOOKUP($A26,'OI(Volume)'!$A$7:$O$445,9)</f>
        <v>1511250</v>
      </c>
      <c r="J26" s="103">
        <f>VLOOKUP($A26,'OI(Volume)'!$A$7:$O$445,11)</f>
        <v>14307500</v>
      </c>
      <c r="K26" s="103">
        <f>VLOOKUP($A26,'OI(Volume)'!$A$7:$O$445,12)</f>
        <v>-40000</v>
      </c>
      <c r="L26" s="103">
        <f>VLOOKUP($A26,'OI(Value)'!$A$7:$O$329,8,0)</f>
        <v>2564</v>
      </c>
      <c r="M26" s="103">
        <f>VLOOKUP($A26,'OI(Value)'!$A$7:$O$329,9,0)</f>
        <v>207</v>
      </c>
      <c r="N26" s="103">
        <f>VLOOKUP($A26,'OI(Value)'!$A$7:$O$329,11,0)</f>
        <v>1956</v>
      </c>
      <c r="O26" s="103">
        <f>VLOOKUP($A26,'OI(Value)'!$A$7:$O$329,12,0)</f>
        <v>-5</v>
      </c>
      <c r="P26" s="179">
        <f>VLOOKUP(A26,'OI(Value)'!A26:O250,8,0)</f>
        <v>2564</v>
      </c>
      <c r="Q26" s="179">
        <f>VLOOKUP(A26,'OI(Value)'!A26:O250,9,0)</f>
        <v>207</v>
      </c>
      <c r="R26" s="179">
        <f>VLOOKUP(A26,'OI(Value)'!A26:O250,11,0)</f>
        <v>1956</v>
      </c>
      <c r="S26" s="179">
        <f>VLOOKUP(A26,'OI(Value)'!A26:O250,11,0)</f>
        <v>1956</v>
      </c>
    </row>
    <row r="27" spans="1:19" x14ac:dyDescent="0.25">
      <c r="A27" s="105" t="str">
        <f>'Data Vlaue (Cr)'!C22</f>
        <v>BAJAJ-AUTO</v>
      </c>
      <c r="B27" s="143">
        <f>VLOOKUP($A27,'Data shares'!$C:$FA,118)</f>
        <v>0.93</v>
      </c>
      <c r="C27" s="143">
        <f>VLOOKUP($A27,'Data shares'!$C:$FA,119)</f>
        <v>0.86</v>
      </c>
      <c r="D27" s="143">
        <f>VLOOKUP($A27,'Data shares'!$C:$FA,121)*100</f>
        <v>8.14</v>
      </c>
      <c r="E27" s="143">
        <f>VLOOKUP($A27,'Data shares'!$C:$FA,124)</f>
        <v>0.74</v>
      </c>
      <c r="F27" s="143">
        <f>VLOOKUP($A27,'Data shares'!$C:$FA,125)</f>
        <v>0.62</v>
      </c>
      <c r="G27" s="143">
        <f>VLOOKUP($A27,'Data shares'!$C:$FA,127)*100</f>
        <v>19.350000000000001</v>
      </c>
      <c r="H27" s="103">
        <f>VLOOKUP($A27,'OI(Volume)'!$A$7:$O$445,8)</f>
        <v>1306200</v>
      </c>
      <c r="I27" s="103">
        <f>VLOOKUP($A27,'OI(Volume)'!$A$7:$O$445,9)</f>
        <v>-10800</v>
      </c>
      <c r="J27" s="103">
        <f>VLOOKUP($A27,'OI(Volume)'!$A$7:$O$445,11)</f>
        <v>1212075</v>
      </c>
      <c r="K27" s="103">
        <f>VLOOKUP($A27,'OI(Volume)'!$A$7:$O$445,12)</f>
        <v>77550</v>
      </c>
      <c r="L27" s="103">
        <f>VLOOKUP($A27,'OI(Value)'!$A$7:$O$329,8,0)</f>
        <v>1251</v>
      </c>
      <c r="M27" s="103">
        <f>VLOOKUP($A27,'OI(Value)'!$A$7:$O$329,9,0)</f>
        <v>-10</v>
      </c>
      <c r="N27" s="103">
        <f>VLOOKUP($A27,'OI(Value)'!$A$7:$O$329,11,0)</f>
        <v>1160</v>
      </c>
      <c r="O27" s="103">
        <f>VLOOKUP($A27,'OI(Value)'!$A$7:$O$329,12,0)</f>
        <v>74</v>
      </c>
      <c r="P27" s="179">
        <f>VLOOKUP(A27,'OI(Value)'!A27:O251,8,0)</f>
        <v>1251</v>
      </c>
      <c r="Q27" s="179">
        <f>VLOOKUP(A27,'OI(Value)'!A27:O251,9,0)</f>
        <v>-10</v>
      </c>
      <c r="R27" s="179">
        <f>VLOOKUP(A27,'OI(Value)'!A27:O251,11,0)</f>
        <v>1160</v>
      </c>
      <c r="S27" s="179">
        <f>VLOOKUP(A27,'OI(Value)'!A27:O251,11,0)</f>
        <v>1160</v>
      </c>
    </row>
    <row r="28" spans="1:19" x14ac:dyDescent="0.25">
      <c r="A28" s="105" t="str">
        <f>'Data Vlaue (Cr)'!C23</f>
        <v>BAJAJFINSV</v>
      </c>
      <c r="B28" s="143">
        <f>VLOOKUP($A28,'Data shares'!$C:$FA,118)</f>
        <v>0.88</v>
      </c>
      <c r="C28" s="143">
        <f>VLOOKUP($A28,'Data shares'!$C:$FA,119)</f>
        <v>0.98</v>
      </c>
      <c r="D28" s="143">
        <f>VLOOKUP($A28,'Data shares'!$C:$FA,121)*100</f>
        <v>-10.199999999999999</v>
      </c>
      <c r="E28" s="143">
        <f>VLOOKUP($A28,'Data shares'!$C:$FA,124)</f>
        <v>0.68</v>
      </c>
      <c r="F28" s="143">
        <f>VLOOKUP($A28,'Data shares'!$C:$FA,125)</f>
        <v>0.88</v>
      </c>
      <c r="G28" s="143">
        <f>VLOOKUP($A28,'Data shares'!$C:$FA,127)*100</f>
        <v>-22.73</v>
      </c>
      <c r="H28" s="103">
        <f>VLOOKUP($A28,'OI(Volume)'!$A$7:$O$445,8)</f>
        <v>4157750</v>
      </c>
      <c r="I28" s="103">
        <f>VLOOKUP($A28,'OI(Volume)'!$A$7:$O$445,9)</f>
        <v>466000</v>
      </c>
      <c r="J28" s="103">
        <f>VLOOKUP($A28,'OI(Volume)'!$A$7:$O$445,11)</f>
        <v>3673000</v>
      </c>
      <c r="K28" s="103">
        <f>VLOOKUP($A28,'OI(Volume)'!$A$7:$O$445,12)</f>
        <v>53000</v>
      </c>
      <c r="L28" s="103">
        <f>VLOOKUP($A28,'OI(Value)'!$A$7:$O$329,8,0)</f>
        <v>744</v>
      </c>
      <c r="M28" s="103">
        <f>VLOOKUP($A28,'OI(Value)'!$A$7:$O$329,9,0)</f>
        <v>83</v>
      </c>
      <c r="N28" s="103">
        <f>VLOOKUP($A28,'OI(Value)'!$A$7:$O$329,11,0)</f>
        <v>657</v>
      </c>
      <c r="O28" s="103">
        <f>VLOOKUP($A28,'OI(Value)'!$A$7:$O$329,12,0)</f>
        <v>9</v>
      </c>
      <c r="P28" s="179">
        <f>VLOOKUP(A28,'OI(Value)'!A28:O252,8,0)</f>
        <v>744</v>
      </c>
      <c r="Q28" s="179">
        <f>VLOOKUP(A28,'OI(Value)'!A28:O252,9,0)</f>
        <v>83</v>
      </c>
      <c r="R28" s="179">
        <f>VLOOKUP(A28,'OI(Value)'!A28:O252,11,0)</f>
        <v>657</v>
      </c>
      <c r="S28" s="179">
        <f>VLOOKUP(A28,'OI(Value)'!A28:O252,11,0)</f>
        <v>657</v>
      </c>
    </row>
    <row r="29" spans="1:19" x14ac:dyDescent="0.25">
      <c r="A29" s="105" t="str">
        <f>'Data Vlaue (Cr)'!C24</f>
        <v>BAJAJHLDNG</v>
      </c>
      <c r="B29" s="143">
        <f>VLOOKUP($A29,'Data shares'!$C:$FA,118)</f>
        <v>0.69</v>
      </c>
      <c r="C29" s="143">
        <f>VLOOKUP($A29,'Data shares'!$C:$FA,119)</f>
        <v>0.75</v>
      </c>
      <c r="D29" s="143">
        <f>VLOOKUP($A29,'Data shares'!$C:$FA,121)*100</f>
        <v>-8</v>
      </c>
      <c r="E29" s="143">
        <f>VLOOKUP($A29,'Data shares'!$C:$FA,124)</f>
        <v>1.1399999999999999</v>
      </c>
      <c r="F29" s="143">
        <f>VLOOKUP($A29,'Data shares'!$C:$FA,125)</f>
        <v>1.8</v>
      </c>
      <c r="G29" s="143">
        <f>VLOOKUP($A29,'Data shares'!$C:$FA,127)*100</f>
        <v>-36.67</v>
      </c>
      <c r="H29" s="103">
        <f>VLOOKUP($A29,'OI(Volume)'!$A$7:$O$445,8)</f>
        <v>72450</v>
      </c>
      <c r="I29" s="103">
        <f>VLOOKUP($A29,'OI(Volume)'!$A$7:$O$445,9)</f>
        <v>-1450</v>
      </c>
      <c r="J29" s="103">
        <f>VLOOKUP($A29,'OI(Volume)'!$A$7:$O$445,11)</f>
        <v>50000</v>
      </c>
      <c r="K29" s="103">
        <f>VLOOKUP($A29,'OI(Volume)'!$A$7:$O$445,12)</f>
        <v>-5350</v>
      </c>
      <c r="L29" s="103">
        <f>VLOOKUP($A29,'OI(Value)'!$A$7:$O$329,8,0)</f>
        <v>75</v>
      </c>
      <c r="M29" s="103">
        <f>VLOOKUP($A29,'OI(Value)'!$A$7:$O$329,9,0)</f>
        <v>-2</v>
      </c>
      <c r="N29" s="103">
        <f>VLOOKUP($A29,'OI(Value)'!$A$7:$O$329,11,0)</f>
        <v>52</v>
      </c>
      <c r="O29" s="103">
        <f>VLOOKUP($A29,'OI(Value)'!$A$7:$O$329,12,0)</f>
        <v>-6</v>
      </c>
      <c r="P29" s="179">
        <f>VLOOKUP(A29,'OI(Value)'!A29:O253,8,0)</f>
        <v>75</v>
      </c>
      <c r="Q29" s="179">
        <f>VLOOKUP(A29,'OI(Value)'!A29:O253,9,0)</f>
        <v>-2</v>
      </c>
      <c r="R29" s="179">
        <f>VLOOKUP(A29,'OI(Value)'!A29:O253,11,0)</f>
        <v>52</v>
      </c>
      <c r="S29" s="179">
        <f>VLOOKUP(A29,'OI(Value)'!A29:O253,11,0)</f>
        <v>52</v>
      </c>
    </row>
    <row r="30" spans="1:19" x14ac:dyDescent="0.25">
      <c r="A30" s="105" t="str">
        <f>'Data Vlaue (Cr)'!C25</f>
        <v>BAJFINANCE</v>
      </c>
      <c r="B30" s="143">
        <f>VLOOKUP($A30,'Data shares'!$C:$FA,118)</f>
        <v>0.8</v>
      </c>
      <c r="C30" s="143">
        <f>VLOOKUP($A30,'Data shares'!$C:$FA,119)</f>
        <v>0.77</v>
      </c>
      <c r="D30" s="143">
        <f>VLOOKUP($A30,'Data shares'!$C:$FA,121)*100</f>
        <v>3.9</v>
      </c>
      <c r="E30" s="143">
        <f>VLOOKUP($A30,'Data shares'!$C:$FA,124)</f>
        <v>0.74</v>
      </c>
      <c r="F30" s="143">
        <f>VLOOKUP($A30,'Data shares'!$C:$FA,125)</f>
        <v>0.65</v>
      </c>
      <c r="G30" s="143">
        <f>VLOOKUP($A30,'Data shares'!$C:$FA,127)*100</f>
        <v>13.850000000000001</v>
      </c>
      <c r="H30" s="103">
        <f>VLOOKUP($A30,'OI(Volume)'!$A$7:$O$445,8)</f>
        <v>22275750</v>
      </c>
      <c r="I30" s="103">
        <f>VLOOKUP($A30,'OI(Volume)'!$A$7:$O$445,9)</f>
        <v>-690000</v>
      </c>
      <c r="J30" s="103">
        <f>VLOOKUP($A30,'OI(Volume)'!$A$7:$O$445,11)</f>
        <v>17733000</v>
      </c>
      <c r="K30" s="103">
        <f>VLOOKUP($A30,'OI(Volume)'!$A$7:$O$445,12)</f>
        <v>13500</v>
      </c>
      <c r="L30" s="103">
        <f>VLOOKUP($A30,'OI(Value)'!$A$7:$O$329,8,0)</f>
        <v>2042</v>
      </c>
      <c r="M30" s="103">
        <f>VLOOKUP($A30,'OI(Value)'!$A$7:$O$329,9,0)</f>
        <v>-63</v>
      </c>
      <c r="N30" s="103">
        <f>VLOOKUP($A30,'OI(Value)'!$A$7:$O$329,11,0)</f>
        <v>1626</v>
      </c>
      <c r="O30" s="103">
        <f>VLOOKUP($A30,'OI(Value)'!$A$7:$O$329,12,0)</f>
        <v>1</v>
      </c>
      <c r="P30" s="179">
        <f>VLOOKUP(A30,'OI(Value)'!A30:O254,8,0)</f>
        <v>2042</v>
      </c>
      <c r="Q30" s="179">
        <f>VLOOKUP(A30,'OI(Value)'!A30:O254,9,0)</f>
        <v>-63</v>
      </c>
      <c r="R30" s="179">
        <f>VLOOKUP(A30,'OI(Value)'!A30:O254,11,0)</f>
        <v>1626</v>
      </c>
      <c r="S30" s="179">
        <f>VLOOKUP(A30,'OI(Value)'!A30:O254,11,0)</f>
        <v>1626</v>
      </c>
    </row>
    <row r="31" spans="1:19" x14ac:dyDescent="0.25">
      <c r="A31" s="105" t="str">
        <f>'Data Vlaue (Cr)'!C26</f>
        <v>BANDHANBNK</v>
      </c>
      <c r="B31" s="143">
        <f>VLOOKUP($A31,'Data shares'!$C:$FA,118)</f>
        <v>0.7</v>
      </c>
      <c r="C31" s="143">
        <f>VLOOKUP($A31,'Data shares'!$C:$FA,119)</f>
        <v>0.7</v>
      </c>
      <c r="D31" s="143">
        <f>VLOOKUP($A31,'Data shares'!$C:$FA,121)*100</f>
        <v>0</v>
      </c>
      <c r="E31" s="143">
        <f>VLOOKUP($A31,'Data shares'!$C:$FA,124)</f>
        <v>0.83</v>
      </c>
      <c r="F31" s="143">
        <f>VLOOKUP($A31,'Data shares'!$C:$FA,125)</f>
        <v>0.73</v>
      </c>
      <c r="G31" s="143">
        <f>VLOOKUP($A31,'Data shares'!$C:$FA,127)*100</f>
        <v>13.700000000000001</v>
      </c>
      <c r="H31" s="103">
        <f>VLOOKUP($A31,'OI(Volume)'!$A$7:$O$445,8)</f>
        <v>29606400</v>
      </c>
      <c r="I31" s="103">
        <f>VLOOKUP($A31,'OI(Volume)'!$A$7:$O$445,9)</f>
        <v>360000</v>
      </c>
      <c r="J31" s="103">
        <f>VLOOKUP($A31,'OI(Volume)'!$A$7:$O$445,11)</f>
        <v>20642400</v>
      </c>
      <c r="K31" s="103">
        <f>VLOOKUP($A31,'OI(Volume)'!$A$7:$O$445,12)</f>
        <v>306000</v>
      </c>
      <c r="L31" s="103">
        <f>VLOOKUP($A31,'OI(Value)'!$A$7:$O$329,8,0)</f>
        <v>514</v>
      </c>
      <c r="M31" s="103">
        <f>VLOOKUP($A31,'OI(Value)'!$A$7:$O$329,9,0)</f>
        <v>6</v>
      </c>
      <c r="N31" s="103">
        <f>VLOOKUP($A31,'OI(Value)'!$A$7:$O$329,11,0)</f>
        <v>358</v>
      </c>
      <c r="O31" s="103">
        <f>VLOOKUP($A31,'OI(Value)'!$A$7:$O$329,12,0)</f>
        <v>5</v>
      </c>
      <c r="P31" s="179">
        <f>VLOOKUP(A31,'OI(Value)'!A31:O255,8,0)</f>
        <v>514</v>
      </c>
      <c r="Q31" s="179">
        <f>VLOOKUP(A31,'OI(Value)'!A31:O255,9,0)</f>
        <v>6</v>
      </c>
      <c r="R31" s="179">
        <f>VLOOKUP(A31,'OI(Value)'!A31:O255,11,0)</f>
        <v>358</v>
      </c>
      <c r="S31" s="179">
        <f>VLOOKUP(A31,'OI(Value)'!A31:O255,11,0)</f>
        <v>358</v>
      </c>
    </row>
    <row r="32" spans="1:19" x14ac:dyDescent="0.25">
      <c r="A32" s="105" t="str">
        <f>'Data Vlaue (Cr)'!C27</f>
        <v>BANKBARODA</v>
      </c>
      <c r="B32" s="143">
        <f>VLOOKUP($A32,'Data shares'!$C:$FA,118)</f>
        <v>0.82</v>
      </c>
      <c r="C32" s="143">
        <f>VLOOKUP($A32,'Data shares'!$C:$FA,119)</f>
        <v>0.9</v>
      </c>
      <c r="D32" s="143">
        <f>VLOOKUP($A32,'Data shares'!$C:$FA,121)*100</f>
        <v>-8.89</v>
      </c>
      <c r="E32" s="143">
        <f>VLOOKUP($A32,'Data shares'!$C:$FA,124)</f>
        <v>0.65</v>
      </c>
      <c r="F32" s="143">
        <f>VLOOKUP($A32,'Data shares'!$C:$FA,125)</f>
        <v>0.72</v>
      </c>
      <c r="G32" s="143">
        <f>VLOOKUP($A32,'Data shares'!$C:$FA,127)*100</f>
        <v>-9.7199999999999989</v>
      </c>
      <c r="H32" s="103">
        <f>VLOOKUP($A32,'OI(Volume)'!$A$7:$O$445,8)</f>
        <v>55539900</v>
      </c>
      <c r="I32" s="103">
        <f>VLOOKUP($A32,'OI(Volume)'!$A$7:$O$445,9)</f>
        <v>6788925</v>
      </c>
      <c r="J32" s="103">
        <f>VLOOKUP($A32,'OI(Volume)'!$A$7:$O$445,11)</f>
        <v>45290700</v>
      </c>
      <c r="K32" s="103">
        <f>VLOOKUP($A32,'OI(Volume)'!$A$7:$O$445,12)</f>
        <v>1658475</v>
      </c>
      <c r="L32" s="103">
        <f>VLOOKUP($A32,'OI(Value)'!$A$7:$O$329,8,0)</f>
        <v>1536</v>
      </c>
      <c r="M32" s="103">
        <f>VLOOKUP($A32,'OI(Value)'!$A$7:$O$329,9,0)</f>
        <v>188</v>
      </c>
      <c r="N32" s="103">
        <f>VLOOKUP($A32,'OI(Value)'!$A$7:$O$329,11,0)</f>
        <v>1252</v>
      </c>
      <c r="O32" s="103">
        <f>VLOOKUP($A32,'OI(Value)'!$A$7:$O$329,12,0)</f>
        <v>46</v>
      </c>
      <c r="P32" s="179">
        <f>VLOOKUP(A32,'OI(Value)'!A32:O256,8,0)</f>
        <v>1536</v>
      </c>
      <c r="Q32" s="179">
        <f>VLOOKUP(A32,'OI(Value)'!A32:O256,9,0)</f>
        <v>188</v>
      </c>
      <c r="R32" s="179">
        <f>VLOOKUP(A32,'OI(Value)'!A32:O256,11,0)</f>
        <v>1252</v>
      </c>
      <c r="S32" s="179">
        <f>VLOOKUP(A32,'OI(Value)'!A32:O256,11,0)</f>
        <v>1252</v>
      </c>
    </row>
    <row r="33" spans="1:19" x14ac:dyDescent="0.25">
      <c r="A33" s="105" t="str">
        <f>'Data Vlaue (Cr)'!C28</f>
        <v>BANKINDIA</v>
      </c>
      <c r="B33" s="143">
        <f>VLOOKUP($A33,'Data shares'!$C:$FA,118)</f>
        <v>0.9</v>
      </c>
      <c r="C33" s="143">
        <f>VLOOKUP($A33,'Data shares'!$C:$FA,119)</f>
        <v>0.9</v>
      </c>
      <c r="D33" s="143">
        <f>VLOOKUP($A33,'Data shares'!$C:$FA,121)*100</f>
        <v>0</v>
      </c>
      <c r="E33" s="143">
        <f>VLOOKUP($A33,'Data shares'!$C:$FA,124)</f>
        <v>0.56000000000000005</v>
      </c>
      <c r="F33" s="143">
        <f>VLOOKUP($A33,'Data shares'!$C:$FA,125)</f>
        <v>0.42</v>
      </c>
      <c r="G33" s="143">
        <f>VLOOKUP($A33,'Data shares'!$C:$FA,127)*100</f>
        <v>33.33</v>
      </c>
      <c r="H33" s="103">
        <f>VLOOKUP($A33,'OI(Volume)'!$A$7:$O$445,8)</f>
        <v>27892800</v>
      </c>
      <c r="I33" s="103">
        <f>VLOOKUP($A33,'OI(Volume)'!$A$7:$O$445,9)</f>
        <v>-296400</v>
      </c>
      <c r="J33" s="103">
        <f>VLOOKUP($A33,'OI(Volume)'!$A$7:$O$445,11)</f>
        <v>25235600</v>
      </c>
      <c r="K33" s="103">
        <f>VLOOKUP($A33,'OI(Volume)'!$A$7:$O$445,12)</f>
        <v>0</v>
      </c>
      <c r="L33" s="103">
        <f>VLOOKUP($A33,'OI(Value)'!$A$7:$O$329,8,0)</f>
        <v>420</v>
      </c>
      <c r="M33" s="103">
        <f>VLOOKUP($A33,'OI(Value)'!$A$7:$O$329,9,0)</f>
        <v>-4</v>
      </c>
      <c r="N33" s="103">
        <f>VLOOKUP($A33,'OI(Value)'!$A$7:$O$329,11,0)</f>
        <v>380</v>
      </c>
      <c r="O33" s="103">
        <f>VLOOKUP($A33,'OI(Value)'!$A$7:$O$329,12,0)</f>
        <v>0</v>
      </c>
      <c r="P33" s="179">
        <f>VLOOKUP(A33,'OI(Value)'!A33:O257,8,0)</f>
        <v>420</v>
      </c>
      <c r="Q33" s="179">
        <f>VLOOKUP(A33,'OI(Value)'!A33:O257,9,0)</f>
        <v>-4</v>
      </c>
      <c r="R33" s="179">
        <f>VLOOKUP(A33,'OI(Value)'!A33:O257,11,0)</f>
        <v>380</v>
      </c>
      <c r="S33" s="179">
        <f>VLOOKUP(A33,'OI(Value)'!A33:O257,11,0)</f>
        <v>380</v>
      </c>
    </row>
    <row r="34" spans="1:19" x14ac:dyDescent="0.25">
      <c r="A34" s="105" t="str">
        <f>'Data Vlaue (Cr)'!C29</f>
        <v>BANKNIFTY</v>
      </c>
      <c r="B34" s="143">
        <f>VLOOKUP($A34,'Data shares'!$C:$FA,118)</f>
        <v>0.91</v>
      </c>
      <c r="C34" s="143">
        <f>VLOOKUP($A34,'Data shares'!$C:$FA,119)</f>
        <v>0.99</v>
      </c>
      <c r="D34" s="143">
        <f>VLOOKUP($A34,'Data shares'!$C:$FA,121)*100</f>
        <v>-8.08</v>
      </c>
      <c r="E34" s="143">
        <f>VLOOKUP($A34,'Data shares'!$C:$FA,124)</f>
        <v>0.89</v>
      </c>
      <c r="F34" s="143">
        <f>VLOOKUP($A34,'Data shares'!$C:$FA,125)</f>
        <v>1.04</v>
      </c>
      <c r="G34" s="143">
        <f>VLOOKUP($A34,'Data shares'!$C:$FA,127)*100</f>
        <v>-14.42</v>
      </c>
      <c r="H34" s="103">
        <f>VLOOKUP($A34,'OI(Volume)'!$A$7:$O$445,8)</f>
        <v>22326720</v>
      </c>
      <c r="I34" s="103">
        <f>VLOOKUP($A34,'OI(Volume)'!$A$7:$O$445,9)</f>
        <v>1457160</v>
      </c>
      <c r="J34" s="103">
        <f>VLOOKUP($A34,'OI(Volume)'!$A$7:$O$445,11)</f>
        <v>20371680</v>
      </c>
      <c r="K34" s="103">
        <f>VLOOKUP($A34,'OI(Volume)'!$A$7:$O$445,12)</f>
        <v>-387120</v>
      </c>
      <c r="L34" s="103">
        <f>VLOOKUP($A34,'OI(Value)'!$A$7:$O$329,8,0)</f>
        <v>125798</v>
      </c>
      <c r="M34" s="103">
        <f>VLOOKUP($A34,'OI(Value)'!$A$7:$O$329,9,0)</f>
        <v>8210</v>
      </c>
      <c r="N34" s="103">
        <f>VLOOKUP($A34,'OI(Value)'!$A$7:$O$329,11,0)</f>
        <v>114783</v>
      </c>
      <c r="O34" s="103">
        <f>VLOOKUP($A34,'OI(Value)'!$A$7:$O$329,12,0)</f>
        <v>-2181</v>
      </c>
      <c r="P34" s="179">
        <f>VLOOKUP(A34,'OI(Value)'!A34:O258,8,0)</f>
        <v>125798</v>
      </c>
      <c r="Q34" s="179">
        <f>VLOOKUP(A34,'OI(Value)'!A34:O258,9,0)</f>
        <v>8210</v>
      </c>
      <c r="R34" s="179">
        <f>VLOOKUP(A34,'OI(Value)'!A34:O258,11,0)</f>
        <v>114783</v>
      </c>
      <c r="S34" s="179">
        <f>VLOOKUP(A34,'OI(Value)'!A34:O258,11,0)</f>
        <v>114783</v>
      </c>
    </row>
    <row r="35" spans="1:19" x14ac:dyDescent="0.25">
      <c r="A35" s="105" t="str">
        <f>'Data Vlaue (Cr)'!C30</f>
        <v>BDL</v>
      </c>
      <c r="B35" s="143">
        <f>VLOOKUP($A35,'Data shares'!$C:$FA,118)</f>
        <v>0.84</v>
      </c>
      <c r="C35" s="143">
        <f>VLOOKUP($A35,'Data shares'!$C:$FA,119)</f>
        <v>0.81</v>
      </c>
      <c r="D35" s="143">
        <f>VLOOKUP($A35,'Data shares'!$C:$FA,121)*100</f>
        <v>3.6999999999999997</v>
      </c>
      <c r="E35" s="143">
        <f>VLOOKUP($A35,'Data shares'!$C:$FA,124)</f>
        <v>0.35</v>
      </c>
      <c r="F35" s="143">
        <f>VLOOKUP($A35,'Data shares'!$C:$FA,125)</f>
        <v>0.74</v>
      </c>
      <c r="G35" s="143">
        <f>VLOOKUP($A35,'Data shares'!$C:$FA,127)*100</f>
        <v>-52.7</v>
      </c>
      <c r="H35" s="103">
        <f>VLOOKUP($A35,'OI(Volume)'!$A$7:$O$445,8)</f>
        <v>3695300</v>
      </c>
      <c r="I35" s="103">
        <f>VLOOKUP($A35,'OI(Volume)'!$A$7:$O$445,9)</f>
        <v>203000</v>
      </c>
      <c r="J35" s="103">
        <f>VLOOKUP($A35,'OI(Volume)'!$A$7:$O$445,11)</f>
        <v>3110800</v>
      </c>
      <c r="K35" s="103">
        <f>VLOOKUP($A35,'OI(Volume)'!$A$7:$O$445,12)</f>
        <v>282450</v>
      </c>
      <c r="L35" s="103">
        <f>VLOOKUP($A35,'OI(Value)'!$A$7:$O$329,8,0)</f>
        <v>526</v>
      </c>
      <c r="M35" s="103">
        <f>VLOOKUP($A35,'OI(Value)'!$A$7:$O$329,9,0)</f>
        <v>29</v>
      </c>
      <c r="N35" s="103">
        <f>VLOOKUP($A35,'OI(Value)'!$A$7:$O$329,11,0)</f>
        <v>443</v>
      </c>
      <c r="O35" s="103">
        <f>VLOOKUP($A35,'OI(Value)'!$A$7:$O$329,12,0)</f>
        <v>40</v>
      </c>
      <c r="P35" s="179">
        <f>VLOOKUP(A35,'OI(Value)'!A35:O259,8,0)</f>
        <v>526</v>
      </c>
      <c r="Q35" s="179">
        <f>VLOOKUP(A35,'OI(Value)'!A35:O259,9,0)</f>
        <v>29</v>
      </c>
      <c r="R35" s="179">
        <f>VLOOKUP(A35,'OI(Value)'!A35:O259,11,0)</f>
        <v>443</v>
      </c>
      <c r="S35" s="179">
        <f>VLOOKUP(A35,'OI(Value)'!A35:O259,11,0)</f>
        <v>443</v>
      </c>
    </row>
    <row r="36" spans="1:19" x14ac:dyDescent="0.25">
      <c r="A36" s="105" t="str">
        <f>'Data Vlaue (Cr)'!C31</f>
        <v>BEL</v>
      </c>
      <c r="B36" s="143">
        <f>VLOOKUP($A36,'Data shares'!$C:$FA,118)</f>
        <v>0.68</v>
      </c>
      <c r="C36" s="143">
        <f>VLOOKUP($A36,'Data shares'!$C:$FA,119)</f>
        <v>0.7</v>
      </c>
      <c r="D36" s="143">
        <f>VLOOKUP($A36,'Data shares'!$C:$FA,121)*100</f>
        <v>-2.86</v>
      </c>
      <c r="E36" s="143">
        <f>VLOOKUP($A36,'Data shares'!$C:$FA,124)</f>
        <v>0.46</v>
      </c>
      <c r="F36" s="143">
        <f>VLOOKUP($A36,'Data shares'!$C:$FA,125)</f>
        <v>0.45</v>
      </c>
      <c r="G36" s="143">
        <f>VLOOKUP($A36,'Data shares'!$C:$FA,127)*100</f>
        <v>2.2200000000000002</v>
      </c>
      <c r="H36" s="103">
        <f>VLOOKUP($A36,'OI(Volume)'!$A$7:$O$445,8)</f>
        <v>48093750</v>
      </c>
      <c r="I36" s="103">
        <f>VLOOKUP($A36,'OI(Volume)'!$A$7:$O$445,9)</f>
        <v>688275</v>
      </c>
      <c r="J36" s="103">
        <f>VLOOKUP($A36,'OI(Volume)'!$A$7:$O$445,11)</f>
        <v>32693775</v>
      </c>
      <c r="K36" s="103">
        <f>VLOOKUP($A36,'OI(Volume)'!$A$7:$O$445,12)</f>
        <v>-369075</v>
      </c>
      <c r="L36" s="103">
        <f>VLOOKUP($A36,'OI(Value)'!$A$7:$O$329,8,0)</f>
        <v>2166</v>
      </c>
      <c r="M36" s="103">
        <f>VLOOKUP($A36,'OI(Value)'!$A$7:$O$329,9,0)</f>
        <v>31</v>
      </c>
      <c r="N36" s="103">
        <f>VLOOKUP($A36,'OI(Value)'!$A$7:$O$329,11,0)</f>
        <v>1472</v>
      </c>
      <c r="O36" s="103">
        <f>VLOOKUP($A36,'OI(Value)'!$A$7:$O$329,12,0)</f>
        <v>-17</v>
      </c>
      <c r="P36" s="179">
        <f>VLOOKUP(A36,'OI(Value)'!A36:O260,8,0)</f>
        <v>2166</v>
      </c>
      <c r="Q36" s="179">
        <f>VLOOKUP(A36,'OI(Value)'!A36:O260,9,0)</f>
        <v>31</v>
      </c>
      <c r="R36" s="179">
        <f>VLOOKUP(A36,'OI(Value)'!A36:O260,11,0)</f>
        <v>1472</v>
      </c>
      <c r="S36" s="179">
        <f>VLOOKUP(A36,'OI(Value)'!A36:O260,11,0)</f>
        <v>1472</v>
      </c>
    </row>
    <row r="37" spans="1:19" x14ac:dyDescent="0.25">
      <c r="A37" s="105" t="str">
        <f>'Data Vlaue (Cr)'!C32</f>
        <v>BHARATFORG</v>
      </c>
      <c r="B37" s="143">
        <f>VLOOKUP($A37,'Data shares'!$C:$FA,118)</f>
        <v>0.68</v>
      </c>
      <c r="C37" s="143">
        <f>VLOOKUP($A37,'Data shares'!$C:$FA,119)</f>
        <v>0.67</v>
      </c>
      <c r="D37" s="143">
        <f>VLOOKUP($A37,'Data shares'!$C:$FA,121)*100</f>
        <v>1.49</v>
      </c>
      <c r="E37" s="143">
        <f>VLOOKUP($A37,'Data shares'!$C:$FA,124)</f>
        <v>0.69</v>
      </c>
      <c r="F37" s="143">
        <f>VLOOKUP($A37,'Data shares'!$C:$FA,125)</f>
        <v>0.42</v>
      </c>
      <c r="G37" s="143">
        <f>VLOOKUP($A37,'Data shares'!$C:$FA,127)*100</f>
        <v>64.290000000000006</v>
      </c>
      <c r="H37" s="103">
        <f>VLOOKUP($A37,'OI(Volume)'!$A$7:$O$445,8)</f>
        <v>3852500</v>
      </c>
      <c r="I37" s="103">
        <f>VLOOKUP($A37,'OI(Volume)'!$A$7:$O$445,9)</f>
        <v>184500</v>
      </c>
      <c r="J37" s="103">
        <f>VLOOKUP($A37,'OI(Volume)'!$A$7:$O$445,11)</f>
        <v>2619000</v>
      </c>
      <c r="K37" s="103">
        <f>VLOOKUP($A37,'OI(Volume)'!$A$7:$O$445,12)</f>
        <v>154500</v>
      </c>
      <c r="L37" s="103">
        <f>VLOOKUP($A37,'OI(Value)'!$A$7:$O$329,8,0)</f>
        <v>717</v>
      </c>
      <c r="M37" s="103">
        <f>VLOOKUP($A37,'OI(Value)'!$A$7:$O$329,9,0)</f>
        <v>34</v>
      </c>
      <c r="N37" s="103">
        <f>VLOOKUP($A37,'OI(Value)'!$A$7:$O$329,11,0)</f>
        <v>487</v>
      </c>
      <c r="O37" s="103">
        <f>VLOOKUP($A37,'OI(Value)'!$A$7:$O$329,12,0)</f>
        <v>29</v>
      </c>
      <c r="P37" s="179">
        <f>VLOOKUP(A37,'OI(Value)'!A37:O261,8,0)</f>
        <v>717</v>
      </c>
      <c r="Q37" s="179">
        <f>VLOOKUP(A37,'OI(Value)'!A37:O261,9,0)</f>
        <v>34</v>
      </c>
      <c r="R37" s="179">
        <f>VLOOKUP(A37,'OI(Value)'!A37:O261,11,0)</f>
        <v>487</v>
      </c>
      <c r="S37" s="179">
        <f>VLOOKUP(A37,'OI(Value)'!A37:O261,11,0)</f>
        <v>487</v>
      </c>
    </row>
    <row r="38" spans="1:19" x14ac:dyDescent="0.25">
      <c r="A38" s="105" t="str">
        <f>'Data Vlaue (Cr)'!C33</f>
        <v>BHARTIARTL</v>
      </c>
      <c r="B38" s="143">
        <f>VLOOKUP($A38,'Data shares'!$C:$FA,118)</f>
        <v>0.64</v>
      </c>
      <c r="C38" s="143">
        <f>VLOOKUP($A38,'Data shares'!$C:$FA,119)</f>
        <v>0.64</v>
      </c>
      <c r="D38" s="143">
        <f>VLOOKUP($A38,'Data shares'!$C:$FA,121)*100</f>
        <v>0</v>
      </c>
      <c r="E38" s="143">
        <f>VLOOKUP($A38,'Data shares'!$C:$FA,124)</f>
        <v>0.35</v>
      </c>
      <c r="F38" s="143">
        <f>VLOOKUP($A38,'Data shares'!$C:$FA,125)</f>
        <v>0.56000000000000005</v>
      </c>
      <c r="G38" s="143">
        <f>VLOOKUP($A38,'Data shares'!$C:$FA,127)*100</f>
        <v>-37.5</v>
      </c>
      <c r="H38" s="103">
        <f>VLOOKUP($A38,'OI(Volume)'!$A$7:$O$445,8)</f>
        <v>13862400</v>
      </c>
      <c r="I38" s="103">
        <f>VLOOKUP($A38,'OI(Volume)'!$A$7:$O$445,9)</f>
        <v>-359575</v>
      </c>
      <c r="J38" s="103">
        <f>VLOOKUP($A38,'OI(Volume)'!$A$7:$O$445,11)</f>
        <v>8882025</v>
      </c>
      <c r="K38" s="103">
        <f>VLOOKUP($A38,'OI(Volume)'!$A$7:$O$445,12)</f>
        <v>-229425</v>
      </c>
      <c r="L38" s="103">
        <f>VLOOKUP($A38,'OI(Value)'!$A$7:$O$329,8,0)</f>
        <v>2549</v>
      </c>
      <c r="M38" s="103">
        <f>VLOOKUP($A38,'OI(Value)'!$A$7:$O$329,9,0)</f>
        <v>-66</v>
      </c>
      <c r="N38" s="103">
        <f>VLOOKUP($A38,'OI(Value)'!$A$7:$O$329,11,0)</f>
        <v>1633</v>
      </c>
      <c r="O38" s="103">
        <f>VLOOKUP($A38,'OI(Value)'!$A$7:$O$329,12,0)</f>
        <v>-42</v>
      </c>
      <c r="P38" s="179">
        <f>VLOOKUP(A38,'OI(Value)'!A38:O262,8,0)</f>
        <v>2549</v>
      </c>
      <c r="Q38" s="179">
        <f>VLOOKUP(A38,'OI(Value)'!A38:O262,9,0)</f>
        <v>-66</v>
      </c>
      <c r="R38" s="179">
        <f>VLOOKUP(A38,'OI(Value)'!A38:O262,11,0)</f>
        <v>1633</v>
      </c>
      <c r="S38" s="179">
        <f>VLOOKUP(A38,'OI(Value)'!A38:O262,11,0)</f>
        <v>1633</v>
      </c>
    </row>
    <row r="39" spans="1:19" x14ac:dyDescent="0.25">
      <c r="A39" s="105" t="str">
        <f>'Data Vlaue (Cr)'!C34</f>
        <v>BHEL</v>
      </c>
      <c r="B39" s="143">
        <f>VLOOKUP($A39,'Data shares'!$C:$FA,118)</f>
        <v>0.91</v>
      </c>
      <c r="C39" s="143">
        <f>VLOOKUP($A39,'Data shares'!$C:$FA,119)</f>
        <v>0.83</v>
      </c>
      <c r="D39" s="143">
        <f>VLOOKUP($A39,'Data shares'!$C:$FA,121)*100</f>
        <v>9.64</v>
      </c>
      <c r="E39" s="143">
        <f>VLOOKUP($A39,'Data shares'!$C:$FA,124)</f>
        <v>0.6</v>
      </c>
      <c r="F39" s="143">
        <f>VLOOKUP($A39,'Data shares'!$C:$FA,125)</f>
        <v>0.55000000000000004</v>
      </c>
      <c r="G39" s="143">
        <f>VLOOKUP($A39,'Data shares'!$C:$FA,127)*100</f>
        <v>9.09</v>
      </c>
      <c r="H39" s="103">
        <f>VLOOKUP($A39,'OI(Volume)'!$A$7:$O$445,8)</f>
        <v>49746375</v>
      </c>
      <c r="I39" s="103">
        <f>VLOOKUP($A39,'OI(Volume)'!$A$7:$O$445,9)</f>
        <v>-3945375</v>
      </c>
      <c r="J39" s="103">
        <f>VLOOKUP($A39,'OI(Volume)'!$A$7:$O$445,11)</f>
        <v>45150000</v>
      </c>
      <c r="K39" s="103">
        <f>VLOOKUP($A39,'OI(Volume)'!$A$7:$O$445,12)</f>
        <v>409500</v>
      </c>
      <c r="L39" s="103">
        <f>VLOOKUP($A39,'OI(Value)'!$A$7:$O$329,8,0)</f>
        <v>1683</v>
      </c>
      <c r="M39" s="103">
        <f>VLOOKUP($A39,'OI(Value)'!$A$7:$O$329,9,0)</f>
        <v>-133</v>
      </c>
      <c r="N39" s="103">
        <f>VLOOKUP($A39,'OI(Value)'!$A$7:$O$329,11,0)</f>
        <v>1527</v>
      </c>
      <c r="O39" s="103">
        <f>VLOOKUP($A39,'OI(Value)'!$A$7:$O$329,12,0)</f>
        <v>14</v>
      </c>
      <c r="P39" s="179">
        <f>VLOOKUP(A39,'OI(Value)'!A39:O263,8,0)</f>
        <v>1683</v>
      </c>
      <c r="Q39" s="179">
        <f>VLOOKUP(A39,'OI(Value)'!A39:O263,9,0)</f>
        <v>-133</v>
      </c>
      <c r="R39" s="179">
        <f>VLOOKUP(A39,'OI(Value)'!A39:O263,11,0)</f>
        <v>1527</v>
      </c>
      <c r="S39" s="179">
        <f>VLOOKUP(A39,'OI(Value)'!A39:O263,11,0)</f>
        <v>1527</v>
      </c>
    </row>
    <row r="40" spans="1:19" x14ac:dyDescent="0.25">
      <c r="A40" s="105" t="str">
        <f>'Data Vlaue (Cr)'!C35</f>
        <v>BIOCON</v>
      </c>
      <c r="B40" s="143">
        <f>VLOOKUP($A40,'Data shares'!$C:$FA,118)</f>
        <v>0.62</v>
      </c>
      <c r="C40" s="143">
        <f>VLOOKUP($A40,'Data shares'!$C:$FA,119)</f>
        <v>0.67</v>
      </c>
      <c r="D40" s="143">
        <f>VLOOKUP($A40,'Data shares'!$C:$FA,121)*100</f>
        <v>-7.46</v>
      </c>
      <c r="E40" s="143">
        <f>VLOOKUP($A40,'Data shares'!$C:$FA,124)</f>
        <v>0.25</v>
      </c>
      <c r="F40" s="143">
        <f>VLOOKUP($A40,'Data shares'!$C:$FA,125)</f>
        <v>0.36</v>
      </c>
      <c r="G40" s="143">
        <f>VLOOKUP($A40,'Data shares'!$C:$FA,127)*100</f>
        <v>-30.56</v>
      </c>
      <c r="H40" s="103">
        <f>VLOOKUP($A40,'OI(Volume)'!$A$7:$O$445,8)</f>
        <v>23957500</v>
      </c>
      <c r="I40" s="103">
        <f>VLOOKUP($A40,'OI(Volume)'!$A$7:$O$445,9)</f>
        <v>1330000</v>
      </c>
      <c r="J40" s="103">
        <f>VLOOKUP($A40,'OI(Volume)'!$A$7:$O$445,11)</f>
        <v>14872500</v>
      </c>
      <c r="K40" s="103">
        <f>VLOOKUP($A40,'OI(Volume)'!$A$7:$O$445,12)</f>
        <v>-310000</v>
      </c>
      <c r="L40" s="103">
        <f>VLOOKUP($A40,'OI(Value)'!$A$7:$O$329,8,0)</f>
        <v>859</v>
      </c>
      <c r="M40" s="103">
        <f>VLOOKUP($A40,'OI(Value)'!$A$7:$O$329,9,0)</f>
        <v>48</v>
      </c>
      <c r="N40" s="103">
        <f>VLOOKUP($A40,'OI(Value)'!$A$7:$O$329,11,0)</f>
        <v>533</v>
      </c>
      <c r="O40" s="103">
        <f>VLOOKUP($A40,'OI(Value)'!$A$7:$O$329,12,0)</f>
        <v>-11</v>
      </c>
      <c r="P40" s="179">
        <f>VLOOKUP(A40,'OI(Value)'!A40:O264,8,0)</f>
        <v>859</v>
      </c>
      <c r="Q40" s="179">
        <f>VLOOKUP(A40,'OI(Value)'!A40:O264,9,0)</f>
        <v>48</v>
      </c>
      <c r="R40" s="179">
        <f>VLOOKUP(A40,'OI(Value)'!A40:O264,11,0)</f>
        <v>533</v>
      </c>
      <c r="S40" s="179">
        <f>VLOOKUP(A40,'OI(Value)'!A40:O264,11,0)</f>
        <v>533</v>
      </c>
    </row>
    <row r="41" spans="1:19" x14ac:dyDescent="0.25">
      <c r="A41" s="105" t="str">
        <f>'Data Vlaue (Cr)'!C36</f>
        <v>BLUESTARCO</v>
      </c>
      <c r="B41" s="143">
        <f>VLOOKUP($A41,'Data shares'!$C:$FA,118)</f>
        <v>0.76</v>
      </c>
      <c r="C41" s="143">
        <f>VLOOKUP($A41,'Data shares'!$C:$FA,119)</f>
        <v>0.71</v>
      </c>
      <c r="D41" s="143">
        <f>VLOOKUP($A41,'Data shares'!$C:$FA,121)*100</f>
        <v>7.04</v>
      </c>
      <c r="E41" s="143">
        <f>VLOOKUP($A41,'Data shares'!$C:$FA,124)</f>
        <v>0.63</v>
      </c>
      <c r="F41" s="143">
        <f>VLOOKUP($A41,'Data shares'!$C:$FA,125)</f>
        <v>0.33</v>
      </c>
      <c r="G41" s="143">
        <f>VLOOKUP($A41,'Data shares'!$C:$FA,127)*100</f>
        <v>90.91</v>
      </c>
      <c r="H41" s="103">
        <f>VLOOKUP($A41,'OI(Volume)'!$A$7:$O$445,8)</f>
        <v>1658475</v>
      </c>
      <c r="I41" s="103">
        <f>VLOOKUP($A41,'OI(Volume)'!$A$7:$O$445,9)</f>
        <v>-105625</v>
      </c>
      <c r="J41" s="103">
        <f>VLOOKUP($A41,'OI(Volume)'!$A$7:$O$445,11)</f>
        <v>1261650</v>
      </c>
      <c r="K41" s="103">
        <f>VLOOKUP($A41,'OI(Volume)'!$A$7:$O$445,12)</f>
        <v>11375</v>
      </c>
      <c r="L41" s="103">
        <f>VLOOKUP($A41,'OI(Value)'!$A$7:$O$329,8,0)</f>
        <v>304</v>
      </c>
      <c r="M41" s="103">
        <f>VLOOKUP($A41,'OI(Value)'!$A$7:$O$329,9,0)</f>
        <v>-19</v>
      </c>
      <c r="N41" s="103">
        <f>VLOOKUP($A41,'OI(Value)'!$A$7:$O$329,11,0)</f>
        <v>231</v>
      </c>
      <c r="O41" s="103">
        <f>VLOOKUP($A41,'OI(Value)'!$A$7:$O$329,12,0)</f>
        <v>2</v>
      </c>
      <c r="P41" s="179">
        <f>VLOOKUP(A41,'OI(Value)'!A41:O265,8,0)</f>
        <v>304</v>
      </c>
      <c r="Q41" s="179">
        <f>VLOOKUP(A41,'OI(Value)'!A41:O265,9,0)</f>
        <v>-19</v>
      </c>
      <c r="R41" s="179">
        <f>VLOOKUP(A41,'OI(Value)'!A41:O265,11,0)</f>
        <v>231</v>
      </c>
      <c r="S41" s="179">
        <f>VLOOKUP(A41,'OI(Value)'!A41:O265,11,0)</f>
        <v>231</v>
      </c>
    </row>
    <row r="42" spans="1:19" x14ac:dyDescent="0.25">
      <c r="A42" s="105" t="str">
        <f>'Data Vlaue (Cr)'!C37</f>
        <v>BOSCHLTD</v>
      </c>
      <c r="B42" s="143">
        <f>VLOOKUP($A42,'Data shares'!$C:$FA,118)</f>
        <v>1</v>
      </c>
      <c r="C42" s="143">
        <f>VLOOKUP($A42,'Data shares'!$C:$FA,119)</f>
        <v>0.93</v>
      </c>
      <c r="D42" s="143">
        <f>VLOOKUP($A42,'Data shares'!$C:$FA,121)*100</f>
        <v>7.53</v>
      </c>
      <c r="E42" s="143">
        <f>VLOOKUP($A42,'Data shares'!$C:$FA,124)</f>
        <v>6.58</v>
      </c>
      <c r="F42" s="143">
        <f>VLOOKUP($A42,'Data shares'!$C:$FA,125)</f>
        <v>5.73</v>
      </c>
      <c r="G42" s="143">
        <f>VLOOKUP($A42,'Data shares'!$C:$FA,127)*100</f>
        <v>14.829999999999998</v>
      </c>
      <c r="H42" s="103">
        <f>VLOOKUP($A42,'OI(Volume)'!$A$7:$O$445,8)</f>
        <v>218175</v>
      </c>
      <c r="I42" s="103">
        <f>VLOOKUP($A42,'OI(Volume)'!$A$7:$O$445,9)</f>
        <v>-24950</v>
      </c>
      <c r="J42" s="103">
        <f>VLOOKUP($A42,'OI(Volume)'!$A$7:$O$445,11)</f>
        <v>217150</v>
      </c>
      <c r="K42" s="103">
        <f>VLOOKUP($A42,'OI(Volume)'!$A$7:$O$445,12)</f>
        <v>-9375</v>
      </c>
      <c r="L42" s="103">
        <f>VLOOKUP($A42,'OI(Value)'!$A$7:$O$329,8,0)</f>
        <v>815</v>
      </c>
      <c r="M42" s="103">
        <f>VLOOKUP($A42,'OI(Value)'!$A$7:$O$329,9,0)</f>
        <v>-93</v>
      </c>
      <c r="N42" s="103">
        <f>VLOOKUP($A42,'OI(Value)'!$A$7:$O$329,11,0)</f>
        <v>811</v>
      </c>
      <c r="O42" s="103">
        <f>VLOOKUP($A42,'OI(Value)'!$A$7:$O$329,12,0)</f>
        <v>-35</v>
      </c>
      <c r="P42" s="179">
        <f>VLOOKUP(A42,'OI(Value)'!A42:O266,8,0)</f>
        <v>815</v>
      </c>
      <c r="Q42" s="179">
        <f>VLOOKUP(A42,'OI(Value)'!A42:O266,9,0)</f>
        <v>-93</v>
      </c>
      <c r="R42" s="179">
        <f>VLOOKUP(A42,'OI(Value)'!A42:O266,11,0)</f>
        <v>811</v>
      </c>
      <c r="S42" s="179">
        <f>VLOOKUP(A42,'OI(Value)'!A42:O266,11,0)</f>
        <v>811</v>
      </c>
    </row>
    <row r="43" spans="1:19" x14ac:dyDescent="0.25">
      <c r="A43" s="105" t="str">
        <f>'Data Vlaue (Cr)'!C38</f>
        <v>BPCL</v>
      </c>
      <c r="B43" s="143">
        <f>VLOOKUP($A43,'Data shares'!$C:$FA,118)</f>
        <v>0.74</v>
      </c>
      <c r="C43" s="143">
        <f>VLOOKUP($A43,'Data shares'!$C:$FA,119)</f>
        <v>0.78</v>
      </c>
      <c r="D43" s="143">
        <f>VLOOKUP($A43,'Data shares'!$C:$FA,121)*100</f>
        <v>-5.13</v>
      </c>
      <c r="E43" s="143">
        <f>VLOOKUP($A43,'Data shares'!$C:$FA,124)</f>
        <v>0.85</v>
      </c>
      <c r="F43" s="143">
        <f>VLOOKUP($A43,'Data shares'!$C:$FA,125)</f>
        <v>0.53</v>
      </c>
      <c r="G43" s="143">
        <f>VLOOKUP($A43,'Data shares'!$C:$FA,127)*100</f>
        <v>60.38</v>
      </c>
      <c r="H43" s="103">
        <f>VLOOKUP($A43,'OI(Volume)'!$A$7:$O$445,8)</f>
        <v>29931125</v>
      </c>
      <c r="I43" s="103">
        <f>VLOOKUP($A43,'OI(Volume)'!$A$7:$O$445,9)</f>
        <v>369325</v>
      </c>
      <c r="J43" s="103">
        <f>VLOOKUP($A43,'OI(Volume)'!$A$7:$O$445,11)</f>
        <v>22033100</v>
      </c>
      <c r="K43" s="103">
        <f>VLOOKUP($A43,'OI(Volume)'!$A$7:$O$445,12)</f>
        <v>-936150</v>
      </c>
      <c r="L43" s="103">
        <f>VLOOKUP($A43,'OI(Value)'!$A$7:$O$329,8,0)</f>
        <v>929</v>
      </c>
      <c r="M43" s="103">
        <f>VLOOKUP($A43,'OI(Value)'!$A$7:$O$329,9,0)</f>
        <v>11</v>
      </c>
      <c r="N43" s="103">
        <f>VLOOKUP($A43,'OI(Value)'!$A$7:$O$329,11,0)</f>
        <v>684</v>
      </c>
      <c r="O43" s="103">
        <f>VLOOKUP($A43,'OI(Value)'!$A$7:$O$329,12,0)</f>
        <v>-29</v>
      </c>
      <c r="P43" s="179">
        <f>VLOOKUP(A43,'OI(Value)'!A43:O267,8,0)</f>
        <v>929</v>
      </c>
      <c r="Q43" s="179">
        <f>VLOOKUP(A43,'OI(Value)'!A43:O267,9,0)</f>
        <v>11</v>
      </c>
      <c r="R43" s="179">
        <f>VLOOKUP(A43,'OI(Value)'!A43:O267,11,0)</f>
        <v>684</v>
      </c>
      <c r="S43" s="179">
        <f>VLOOKUP(A43,'OI(Value)'!A43:O267,11,0)</f>
        <v>684</v>
      </c>
    </row>
    <row r="44" spans="1:19" x14ac:dyDescent="0.25">
      <c r="A44" s="105" t="str">
        <f>'Data Vlaue (Cr)'!C39</f>
        <v>BRITANNIA</v>
      </c>
      <c r="B44" s="143">
        <f>VLOOKUP($A44,'Data shares'!$C:$FA,118)</f>
        <v>0.74</v>
      </c>
      <c r="C44" s="143">
        <f>VLOOKUP($A44,'Data shares'!$C:$FA,119)</f>
        <v>0.7</v>
      </c>
      <c r="D44" s="143">
        <f>VLOOKUP($A44,'Data shares'!$C:$FA,121)*100</f>
        <v>5.71</v>
      </c>
      <c r="E44" s="143">
        <f>VLOOKUP($A44,'Data shares'!$C:$FA,124)</f>
        <v>0.42</v>
      </c>
      <c r="F44" s="143">
        <f>VLOOKUP($A44,'Data shares'!$C:$FA,125)</f>
        <v>0.33</v>
      </c>
      <c r="G44" s="143">
        <f>VLOOKUP($A44,'Data shares'!$C:$FA,127)*100</f>
        <v>27.27</v>
      </c>
      <c r="H44" s="103">
        <f>VLOOKUP($A44,'OI(Volume)'!$A$7:$O$445,8)</f>
        <v>956750</v>
      </c>
      <c r="I44" s="103">
        <f>VLOOKUP($A44,'OI(Volume)'!$A$7:$O$445,9)</f>
        <v>-57500</v>
      </c>
      <c r="J44" s="103">
        <f>VLOOKUP($A44,'OI(Volume)'!$A$7:$O$445,11)</f>
        <v>706125</v>
      </c>
      <c r="K44" s="103">
        <f>VLOOKUP($A44,'OI(Volume)'!$A$7:$O$445,12)</f>
        <v>-8000</v>
      </c>
      <c r="L44" s="103">
        <f>VLOOKUP($A44,'OI(Value)'!$A$7:$O$329,8,0)</f>
        <v>543</v>
      </c>
      <c r="M44" s="103">
        <f>VLOOKUP($A44,'OI(Value)'!$A$7:$O$329,9,0)</f>
        <v>-33</v>
      </c>
      <c r="N44" s="103">
        <f>VLOOKUP($A44,'OI(Value)'!$A$7:$O$329,11,0)</f>
        <v>401</v>
      </c>
      <c r="O44" s="103">
        <f>VLOOKUP($A44,'OI(Value)'!$A$7:$O$329,12,0)</f>
        <v>-5</v>
      </c>
      <c r="P44" s="179">
        <f>VLOOKUP(A44,'OI(Value)'!A44:O268,8,0)</f>
        <v>543</v>
      </c>
      <c r="Q44" s="179">
        <f>VLOOKUP(A44,'OI(Value)'!A44:O268,9,0)</f>
        <v>-33</v>
      </c>
      <c r="R44" s="179">
        <f>VLOOKUP(A44,'OI(Value)'!A44:O268,11,0)</f>
        <v>401</v>
      </c>
      <c r="S44" s="179">
        <f>VLOOKUP(A44,'OI(Value)'!A44:O268,11,0)</f>
        <v>401</v>
      </c>
    </row>
    <row r="45" spans="1:19" x14ac:dyDescent="0.25">
      <c r="A45" s="105" t="str">
        <f>'Data Vlaue (Cr)'!C40</f>
        <v>BSE</v>
      </c>
      <c r="B45" s="143">
        <f>VLOOKUP($A45,'Data shares'!$C:$FA,118)</f>
        <v>1.1000000000000001</v>
      </c>
      <c r="C45" s="143">
        <f>VLOOKUP($A45,'Data shares'!$C:$FA,119)</f>
        <v>1.1399999999999999</v>
      </c>
      <c r="D45" s="143">
        <f>VLOOKUP($A45,'Data shares'!$C:$FA,121)*100</f>
        <v>-3.51</v>
      </c>
      <c r="E45" s="143">
        <f>VLOOKUP($A45,'Data shares'!$C:$FA,124)</f>
        <v>0.97</v>
      </c>
      <c r="F45" s="143">
        <f>VLOOKUP($A45,'Data shares'!$C:$FA,125)</f>
        <v>1.08</v>
      </c>
      <c r="G45" s="143">
        <f>VLOOKUP($A45,'Data shares'!$C:$FA,127)*100</f>
        <v>-10.190000000000001</v>
      </c>
      <c r="H45" s="103">
        <f>VLOOKUP($A45,'OI(Volume)'!$A$7:$O$445,8)</f>
        <v>8076000</v>
      </c>
      <c r="I45" s="103">
        <f>VLOOKUP($A45,'OI(Volume)'!$A$7:$O$445,9)</f>
        <v>-321375</v>
      </c>
      <c r="J45" s="103">
        <f>VLOOKUP($A45,'OI(Volume)'!$A$7:$O$445,11)</f>
        <v>8881500</v>
      </c>
      <c r="K45" s="103">
        <f>VLOOKUP($A45,'OI(Volume)'!$A$7:$O$445,12)</f>
        <v>-689250</v>
      </c>
      <c r="L45" s="103">
        <f>VLOOKUP($A45,'OI(Value)'!$A$7:$O$329,8,0)</f>
        <v>2804</v>
      </c>
      <c r="M45" s="103">
        <f>VLOOKUP($A45,'OI(Value)'!$A$7:$O$329,9,0)</f>
        <v>-112</v>
      </c>
      <c r="N45" s="103">
        <f>VLOOKUP($A45,'OI(Value)'!$A$7:$O$329,11,0)</f>
        <v>3083</v>
      </c>
      <c r="O45" s="103">
        <f>VLOOKUP($A45,'OI(Value)'!$A$7:$O$329,12,0)</f>
        <v>-239</v>
      </c>
      <c r="P45" s="179">
        <f>VLOOKUP(A45,'OI(Value)'!A45:O269,8,0)</f>
        <v>2804</v>
      </c>
      <c r="Q45" s="179">
        <f>VLOOKUP(A45,'OI(Value)'!A45:O269,9,0)</f>
        <v>-112</v>
      </c>
      <c r="R45" s="179">
        <f>VLOOKUP(A45,'OI(Value)'!A45:O269,11,0)</f>
        <v>3083</v>
      </c>
      <c r="S45" s="179">
        <f>VLOOKUP(A45,'OI(Value)'!A45:O269,11,0)</f>
        <v>3083</v>
      </c>
    </row>
    <row r="46" spans="1:19" x14ac:dyDescent="0.25">
      <c r="A46" s="105" t="str">
        <f>'Data Vlaue (Cr)'!C41</f>
        <v>CAMS</v>
      </c>
      <c r="B46" s="143">
        <f>VLOOKUP($A46,'Data shares'!$C:$FA,118)</f>
        <v>0.79</v>
      </c>
      <c r="C46" s="143">
        <f>VLOOKUP($A46,'Data shares'!$C:$FA,119)</f>
        <v>0.79</v>
      </c>
      <c r="D46" s="143">
        <f>VLOOKUP($A46,'Data shares'!$C:$FA,121)*100</f>
        <v>0</v>
      </c>
      <c r="E46" s="143">
        <f>VLOOKUP($A46,'Data shares'!$C:$FA,124)</f>
        <v>0.34</v>
      </c>
      <c r="F46" s="143">
        <f>VLOOKUP($A46,'Data shares'!$C:$FA,125)</f>
        <v>0.49</v>
      </c>
      <c r="G46" s="143">
        <f>VLOOKUP($A46,'Data shares'!$C:$FA,127)*100</f>
        <v>-30.61</v>
      </c>
      <c r="H46" s="103">
        <f>VLOOKUP($A46,'OI(Volume)'!$A$7:$O$445,8)</f>
        <v>3728250</v>
      </c>
      <c r="I46" s="103">
        <f>VLOOKUP($A46,'OI(Volume)'!$A$7:$O$445,9)</f>
        <v>413250</v>
      </c>
      <c r="J46" s="103">
        <f>VLOOKUP($A46,'OI(Volume)'!$A$7:$O$445,11)</f>
        <v>2929500</v>
      </c>
      <c r="K46" s="103">
        <f>VLOOKUP($A46,'OI(Volume)'!$A$7:$O$445,12)</f>
        <v>318000</v>
      </c>
      <c r="L46" s="103">
        <f>VLOOKUP($A46,'OI(Value)'!$A$7:$O$329,8,0)</f>
        <v>284</v>
      </c>
      <c r="M46" s="103">
        <f>VLOOKUP($A46,'OI(Value)'!$A$7:$O$329,9,0)</f>
        <v>32</v>
      </c>
      <c r="N46" s="103">
        <f>VLOOKUP($A46,'OI(Value)'!$A$7:$O$329,11,0)</f>
        <v>223</v>
      </c>
      <c r="O46" s="103">
        <f>VLOOKUP($A46,'OI(Value)'!$A$7:$O$329,12,0)</f>
        <v>24</v>
      </c>
      <c r="P46" s="179">
        <f>VLOOKUP(A46,'OI(Value)'!A46:O270,8,0)</f>
        <v>284</v>
      </c>
      <c r="Q46" s="179">
        <f>VLOOKUP(A46,'OI(Value)'!A46:O270,9,0)</f>
        <v>32</v>
      </c>
      <c r="R46" s="179">
        <f>VLOOKUP(A46,'OI(Value)'!A46:O270,11,0)</f>
        <v>223</v>
      </c>
      <c r="S46" s="179">
        <f>VLOOKUP(A46,'OI(Value)'!A46:O270,11,0)</f>
        <v>223</v>
      </c>
    </row>
    <row r="47" spans="1:19" x14ac:dyDescent="0.25">
      <c r="A47" s="105" t="str">
        <f>'Data Vlaue (Cr)'!C42</f>
        <v>CANBK</v>
      </c>
      <c r="B47" s="143">
        <f>VLOOKUP($A47,'Data shares'!$C:$FA,118)</f>
        <v>0.88</v>
      </c>
      <c r="C47" s="143">
        <f>VLOOKUP($A47,'Data shares'!$C:$FA,119)</f>
        <v>0.94</v>
      </c>
      <c r="D47" s="143">
        <f>VLOOKUP($A47,'Data shares'!$C:$FA,121)*100</f>
        <v>-6.38</v>
      </c>
      <c r="E47" s="143">
        <f>VLOOKUP($A47,'Data shares'!$C:$FA,124)</f>
        <v>0.88</v>
      </c>
      <c r="F47" s="143">
        <f>VLOOKUP($A47,'Data shares'!$C:$FA,125)</f>
        <v>0.88</v>
      </c>
      <c r="G47" s="143">
        <f>VLOOKUP($A47,'Data shares'!$C:$FA,127)*100</f>
        <v>0</v>
      </c>
      <c r="H47" s="103">
        <f>VLOOKUP($A47,'OI(Volume)'!$A$7:$O$445,8)</f>
        <v>89505000</v>
      </c>
      <c r="I47" s="103">
        <f>VLOOKUP($A47,'OI(Volume)'!$A$7:$O$445,9)</f>
        <v>4239000</v>
      </c>
      <c r="J47" s="103">
        <f>VLOOKUP($A47,'OI(Volume)'!$A$7:$O$445,11)</f>
        <v>78759000</v>
      </c>
      <c r="K47" s="103">
        <f>VLOOKUP($A47,'OI(Volume)'!$A$7:$O$445,12)</f>
        <v>-1559250</v>
      </c>
      <c r="L47" s="103">
        <f>VLOOKUP($A47,'OI(Value)'!$A$7:$O$329,8,0)</f>
        <v>1261</v>
      </c>
      <c r="M47" s="103">
        <f>VLOOKUP($A47,'OI(Value)'!$A$7:$O$329,9,0)</f>
        <v>60</v>
      </c>
      <c r="N47" s="103">
        <f>VLOOKUP($A47,'OI(Value)'!$A$7:$O$329,11,0)</f>
        <v>1110</v>
      </c>
      <c r="O47" s="103">
        <f>VLOOKUP($A47,'OI(Value)'!$A$7:$O$329,12,0)</f>
        <v>-22</v>
      </c>
      <c r="P47" s="179">
        <f>VLOOKUP(A47,'OI(Value)'!A47:O271,8,0)</f>
        <v>1261</v>
      </c>
      <c r="Q47" s="179">
        <f>VLOOKUP(A47,'OI(Value)'!A47:O271,9,0)</f>
        <v>60</v>
      </c>
      <c r="R47" s="179">
        <f>VLOOKUP(A47,'OI(Value)'!A47:O271,11,0)</f>
        <v>1110</v>
      </c>
      <c r="S47" s="179">
        <f>VLOOKUP(A47,'OI(Value)'!A47:O271,11,0)</f>
        <v>1110</v>
      </c>
    </row>
    <row r="48" spans="1:19" x14ac:dyDescent="0.25">
      <c r="A48" s="105" t="str">
        <f>'Data Vlaue (Cr)'!C43</f>
        <v>CDSL</v>
      </c>
      <c r="B48" s="143">
        <f>VLOOKUP($A48,'Data shares'!$C:$FA,118)</f>
        <v>0.81</v>
      </c>
      <c r="C48" s="143">
        <f>VLOOKUP($A48,'Data shares'!$C:$FA,119)</f>
        <v>0.8</v>
      </c>
      <c r="D48" s="143">
        <f>VLOOKUP($A48,'Data shares'!$C:$FA,121)*100</f>
        <v>1.25</v>
      </c>
      <c r="E48" s="143">
        <f>VLOOKUP($A48,'Data shares'!$C:$FA,124)</f>
        <v>0.5</v>
      </c>
      <c r="F48" s="143">
        <f>VLOOKUP($A48,'Data shares'!$C:$FA,125)</f>
        <v>0.67</v>
      </c>
      <c r="G48" s="143">
        <f>VLOOKUP($A48,'Data shares'!$C:$FA,127)*100</f>
        <v>-25.369999999999997</v>
      </c>
      <c r="H48" s="103">
        <f>VLOOKUP($A48,'OI(Volume)'!$A$7:$O$445,8)</f>
        <v>6237700</v>
      </c>
      <c r="I48" s="103">
        <f>VLOOKUP($A48,'OI(Volume)'!$A$7:$O$445,9)</f>
        <v>-75525</v>
      </c>
      <c r="J48" s="103">
        <f>VLOOKUP($A48,'OI(Volume)'!$A$7:$O$445,11)</f>
        <v>5072525</v>
      </c>
      <c r="K48" s="103">
        <f>VLOOKUP($A48,'OI(Volume)'!$A$7:$O$445,12)</f>
        <v>-7600</v>
      </c>
      <c r="L48" s="103">
        <f>VLOOKUP($A48,'OI(Value)'!$A$7:$O$329,8,0)</f>
        <v>824</v>
      </c>
      <c r="M48" s="103">
        <f>VLOOKUP($A48,'OI(Value)'!$A$7:$O$329,9,0)</f>
        <v>-10</v>
      </c>
      <c r="N48" s="103">
        <f>VLOOKUP($A48,'OI(Value)'!$A$7:$O$329,11,0)</f>
        <v>670</v>
      </c>
      <c r="O48" s="103">
        <f>VLOOKUP($A48,'OI(Value)'!$A$7:$O$329,12,0)</f>
        <v>-1</v>
      </c>
      <c r="P48" s="179">
        <f>VLOOKUP(A48,'OI(Value)'!A48:O272,8,0)</f>
        <v>824</v>
      </c>
      <c r="Q48" s="179">
        <f>VLOOKUP(A48,'OI(Value)'!A48:O272,9,0)</f>
        <v>-10</v>
      </c>
      <c r="R48" s="179">
        <f>VLOOKUP(A48,'OI(Value)'!A48:O272,11,0)</f>
        <v>670</v>
      </c>
      <c r="S48" s="179">
        <f>VLOOKUP(A48,'OI(Value)'!A48:O272,11,0)</f>
        <v>670</v>
      </c>
    </row>
    <row r="49" spans="1:19" x14ac:dyDescent="0.25">
      <c r="A49" s="105" t="str">
        <f>'Data Vlaue (Cr)'!C44</f>
        <v>CGPOWER</v>
      </c>
      <c r="B49" s="143">
        <f>VLOOKUP($A49,'Data shares'!$C:$FA,118)</f>
        <v>0.74</v>
      </c>
      <c r="C49" s="143">
        <f>VLOOKUP($A49,'Data shares'!$C:$FA,119)</f>
        <v>0.78</v>
      </c>
      <c r="D49" s="143">
        <f>VLOOKUP($A49,'Data shares'!$C:$FA,121)*100</f>
        <v>-5.13</v>
      </c>
      <c r="E49" s="143">
        <f>VLOOKUP($A49,'Data shares'!$C:$FA,124)</f>
        <v>0.39</v>
      </c>
      <c r="F49" s="143">
        <f>VLOOKUP($A49,'Data shares'!$C:$FA,125)</f>
        <v>0.4</v>
      </c>
      <c r="G49" s="143">
        <f>VLOOKUP($A49,'Data shares'!$C:$FA,127)*100</f>
        <v>-2.5</v>
      </c>
      <c r="H49" s="103">
        <f>VLOOKUP($A49,'OI(Volume)'!$A$7:$O$445,8)</f>
        <v>6249200</v>
      </c>
      <c r="I49" s="103">
        <f>VLOOKUP($A49,'OI(Volume)'!$A$7:$O$445,9)</f>
        <v>563550</v>
      </c>
      <c r="J49" s="103">
        <f>VLOOKUP($A49,'OI(Volume)'!$A$7:$O$445,11)</f>
        <v>4595950</v>
      </c>
      <c r="K49" s="103">
        <f>VLOOKUP($A49,'OI(Volume)'!$A$7:$O$445,12)</f>
        <v>147050</v>
      </c>
      <c r="L49" s="103">
        <f>VLOOKUP($A49,'OI(Value)'!$A$7:$O$329,8,0)</f>
        <v>523</v>
      </c>
      <c r="M49" s="103">
        <f>VLOOKUP($A49,'OI(Value)'!$A$7:$O$329,9,0)</f>
        <v>47</v>
      </c>
      <c r="N49" s="103">
        <f>VLOOKUP($A49,'OI(Value)'!$A$7:$O$329,11,0)</f>
        <v>385</v>
      </c>
      <c r="O49" s="103">
        <f>VLOOKUP($A49,'OI(Value)'!$A$7:$O$329,12,0)</f>
        <v>12</v>
      </c>
      <c r="P49" s="179">
        <f>VLOOKUP(A49,'OI(Value)'!A49:O273,8,0)</f>
        <v>523</v>
      </c>
      <c r="Q49" s="179">
        <f>VLOOKUP(A49,'OI(Value)'!A49:O273,9,0)</f>
        <v>47</v>
      </c>
      <c r="R49" s="179">
        <f>VLOOKUP(A49,'OI(Value)'!A49:O273,11,0)</f>
        <v>385</v>
      </c>
      <c r="S49" s="179">
        <f>VLOOKUP(A49,'OI(Value)'!A49:O273,11,0)</f>
        <v>385</v>
      </c>
    </row>
    <row r="50" spans="1:19" x14ac:dyDescent="0.25">
      <c r="A50" s="105" t="str">
        <f>'Data Vlaue (Cr)'!C45</f>
        <v>CHOLAFIN</v>
      </c>
      <c r="B50" s="143">
        <f>VLOOKUP($A50,'Data shares'!$C:$FA,118)</f>
        <v>0.71</v>
      </c>
      <c r="C50" s="143">
        <f>VLOOKUP($A50,'Data shares'!$C:$FA,119)</f>
        <v>0.71</v>
      </c>
      <c r="D50" s="143">
        <f>VLOOKUP($A50,'Data shares'!$C:$FA,121)*100</f>
        <v>0</v>
      </c>
      <c r="E50" s="143">
        <f>VLOOKUP($A50,'Data shares'!$C:$FA,124)</f>
        <v>0.56999999999999995</v>
      </c>
      <c r="F50" s="143">
        <f>VLOOKUP($A50,'Data shares'!$C:$FA,125)</f>
        <v>0.49</v>
      </c>
      <c r="G50" s="143">
        <f>VLOOKUP($A50,'Data shares'!$C:$FA,127)*100</f>
        <v>16.329999999999998</v>
      </c>
      <c r="H50" s="103">
        <f>VLOOKUP($A50,'OI(Volume)'!$A$7:$O$445,8)</f>
        <v>5450625</v>
      </c>
      <c r="I50" s="103">
        <f>VLOOKUP($A50,'OI(Volume)'!$A$7:$O$445,9)</f>
        <v>-285000</v>
      </c>
      <c r="J50" s="103">
        <f>VLOOKUP($A50,'OI(Volume)'!$A$7:$O$445,11)</f>
        <v>3868750</v>
      </c>
      <c r="K50" s="103">
        <f>VLOOKUP($A50,'OI(Volume)'!$A$7:$O$445,12)</f>
        <v>-198125</v>
      </c>
      <c r="L50" s="103">
        <f>VLOOKUP($A50,'OI(Value)'!$A$7:$O$329,8,0)</f>
        <v>840</v>
      </c>
      <c r="M50" s="103">
        <f>VLOOKUP($A50,'OI(Value)'!$A$7:$O$329,9,0)</f>
        <v>-44</v>
      </c>
      <c r="N50" s="103">
        <f>VLOOKUP($A50,'OI(Value)'!$A$7:$O$329,11,0)</f>
        <v>596</v>
      </c>
      <c r="O50" s="103">
        <f>VLOOKUP($A50,'OI(Value)'!$A$7:$O$329,12,0)</f>
        <v>-31</v>
      </c>
      <c r="P50" s="179">
        <f>VLOOKUP(A50,'OI(Value)'!A50:O274,8,0)</f>
        <v>840</v>
      </c>
      <c r="Q50" s="179">
        <f>VLOOKUP(A50,'OI(Value)'!A50:O274,9,0)</f>
        <v>-44</v>
      </c>
      <c r="R50" s="179">
        <f>VLOOKUP(A50,'OI(Value)'!A50:O274,11,0)</f>
        <v>596</v>
      </c>
      <c r="S50" s="179">
        <f>VLOOKUP(A50,'OI(Value)'!A50:O274,11,0)</f>
        <v>596</v>
      </c>
    </row>
    <row r="51" spans="1:19" x14ac:dyDescent="0.25">
      <c r="A51" s="105" t="str">
        <f>'Data Vlaue (Cr)'!C46</f>
        <v>CIPLA</v>
      </c>
      <c r="B51" s="143">
        <f>VLOOKUP($A51,'Data shares'!$C:$FA,118)</f>
        <v>0.98</v>
      </c>
      <c r="C51" s="143">
        <f>VLOOKUP($A51,'Data shares'!$C:$FA,119)</f>
        <v>0.88</v>
      </c>
      <c r="D51" s="143">
        <f>VLOOKUP($A51,'Data shares'!$C:$FA,121)*100</f>
        <v>11.360000000000001</v>
      </c>
      <c r="E51" s="143">
        <f>VLOOKUP($A51,'Data shares'!$C:$FA,124)</f>
        <v>0.26</v>
      </c>
      <c r="F51" s="143">
        <f>VLOOKUP($A51,'Data shares'!$C:$FA,125)</f>
        <v>0.41</v>
      </c>
      <c r="G51" s="143">
        <f>VLOOKUP($A51,'Data shares'!$C:$FA,127)*100</f>
        <v>-36.590000000000003</v>
      </c>
      <c r="H51" s="103">
        <f>VLOOKUP($A51,'OI(Volume)'!$A$7:$O$445,8)</f>
        <v>5112375</v>
      </c>
      <c r="I51" s="103">
        <f>VLOOKUP($A51,'OI(Volume)'!$A$7:$O$445,9)</f>
        <v>589125</v>
      </c>
      <c r="J51" s="103">
        <f>VLOOKUP($A51,'OI(Volume)'!$A$7:$O$445,11)</f>
        <v>4989000</v>
      </c>
      <c r="K51" s="103">
        <f>VLOOKUP($A51,'OI(Volume)'!$A$7:$O$445,12)</f>
        <v>1024875</v>
      </c>
      <c r="L51" s="103">
        <f>VLOOKUP($A51,'OI(Value)'!$A$7:$O$329,8,0)</f>
        <v>667</v>
      </c>
      <c r="M51" s="103">
        <f>VLOOKUP($A51,'OI(Value)'!$A$7:$O$329,9,0)</f>
        <v>77</v>
      </c>
      <c r="N51" s="103">
        <f>VLOOKUP($A51,'OI(Value)'!$A$7:$O$329,11,0)</f>
        <v>651</v>
      </c>
      <c r="O51" s="103">
        <f>VLOOKUP($A51,'OI(Value)'!$A$7:$O$329,12,0)</f>
        <v>134</v>
      </c>
      <c r="P51" s="179">
        <f>VLOOKUP(A51,'OI(Value)'!A51:O275,8,0)</f>
        <v>667</v>
      </c>
      <c r="Q51" s="179">
        <f>VLOOKUP(A51,'OI(Value)'!A51:O275,9,0)</f>
        <v>77</v>
      </c>
      <c r="R51" s="179">
        <f>VLOOKUP(A51,'OI(Value)'!A51:O275,11,0)</f>
        <v>651</v>
      </c>
      <c r="S51" s="179">
        <f>VLOOKUP(A51,'OI(Value)'!A51:O275,11,0)</f>
        <v>651</v>
      </c>
    </row>
    <row r="52" spans="1:19" x14ac:dyDescent="0.25">
      <c r="A52" s="105" t="str">
        <f>'Data Vlaue (Cr)'!C47</f>
        <v>COALINDIA</v>
      </c>
      <c r="B52" s="143">
        <f>VLOOKUP($A52,'Data shares'!$C:$FA,118)</f>
        <v>0.68</v>
      </c>
      <c r="C52" s="143">
        <f>VLOOKUP($A52,'Data shares'!$C:$FA,119)</f>
        <v>0.62</v>
      </c>
      <c r="D52" s="143">
        <f>VLOOKUP($A52,'Data shares'!$C:$FA,121)*100</f>
        <v>9.68</v>
      </c>
      <c r="E52" s="143">
        <f>VLOOKUP($A52,'Data shares'!$C:$FA,124)</f>
        <v>0.57999999999999996</v>
      </c>
      <c r="F52" s="143">
        <f>VLOOKUP($A52,'Data shares'!$C:$FA,125)</f>
        <v>0.55000000000000004</v>
      </c>
      <c r="G52" s="143">
        <f>VLOOKUP($A52,'Data shares'!$C:$FA,127)*100</f>
        <v>5.45</v>
      </c>
      <c r="H52" s="103">
        <f>VLOOKUP($A52,'OI(Volume)'!$A$7:$O$445,8)</f>
        <v>39000150</v>
      </c>
      <c r="I52" s="103">
        <f>VLOOKUP($A52,'OI(Volume)'!$A$7:$O$445,9)</f>
        <v>-3925800</v>
      </c>
      <c r="J52" s="103">
        <f>VLOOKUP($A52,'OI(Volume)'!$A$7:$O$445,11)</f>
        <v>26557200</v>
      </c>
      <c r="K52" s="103">
        <f>VLOOKUP($A52,'OI(Volume)'!$A$7:$O$445,12)</f>
        <v>-157950</v>
      </c>
      <c r="L52" s="103">
        <f>VLOOKUP($A52,'OI(Value)'!$A$7:$O$329,8,0)</f>
        <v>1764</v>
      </c>
      <c r="M52" s="103">
        <f>VLOOKUP($A52,'OI(Value)'!$A$7:$O$329,9,0)</f>
        <v>-178</v>
      </c>
      <c r="N52" s="103">
        <f>VLOOKUP($A52,'OI(Value)'!$A$7:$O$329,11,0)</f>
        <v>1201</v>
      </c>
      <c r="O52" s="103">
        <f>VLOOKUP($A52,'OI(Value)'!$A$7:$O$329,12,0)</f>
        <v>-7</v>
      </c>
      <c r="P52" s="179">
        <f>VLOOKUP(A52,'OI(Value)'!A52:O276,8,0)</f>
        <v>1764</v>
      </c>
      <c r="Q52" s="179">
        <f>VLOOKUP(A52,'OI(Value)'!A52:O276,9,0)</f>
        <v>-178</v>
      </c>
      <c r="R52" s="179">
        <f>VLOOKUP(A52,'OI(Value)'!A52:O276,11,0)</f>
        <v>1201</v>
      </c>
      <c r="S52" s="179">
        <f>VLOOKUP(A52,'OI(Value)'!A52:O276,11,0)</f>
        <v>1201</v>
      </c>
    </row>
    <row r="53" spans="1:19" x14ac:dyDescent="0.25">
      <c r="A53" s="105" t="str">
        <f>'Data Vlaue (Cr)'!C48</f>
        <v>COCHINSHIP</v>
      </c>
      <c r="B53" s="143">
        <f>VLOOKUP($A53,'Data shares'!$C:$FA,118)</f>
        <v>0.67</v>
      </c>
      <c r="C53" s="143">
        <f>VLOOKUP($A53,'Data shares'!$C:$FA,119)</f>
        <v>0.63</v>
      </c>
      <c r="D53" s="143">
        <f>VLOOKUP($A53,'Data shares'!$C:$FA,121)*100</f>
        <v>6.35</v>
      </c>
      <c r="E53" s="143">
        <f>VLOOKUP($A53,'Data shares'!$C:$FA,124)</f>
        <v>0.28999999999999998</v>
      </c>
      <c r="F53" s="143">
        <f>VLOOKUP($A53,'Data shares'!$C:$FA,125)</f>
        <v>0.28000000000000003</v>
      </c>
      <c r="G53" s="143">
        <f>VLOOKUP($A53,'Data shares'!$C:$FA,127)*100</f>
        <v>3.5700000000000003</v>
      </c>
      <c r="H53" s="103">
        <f>VLOOKUP($A53,'OI(Volume)'!$A$7:$O$445,8)</f>
        <v>1111600</v>
      </c>
      <c r="I53" s="103">
        <f>VLOOKUP($A53,'OI(Volume)'!$A$7:$O$445,9)</f>
        <v>-91200</v>
      </c>
      <c r="J53" s="103">
        <f>VLOOKUP($A53,'OI(Volume)'!$A$7:$O$445,11)</f>
        <v>749200</v>
      </c>
      <c r="K53" s="103">
        <f>VLOOKUP($A53,'OI(Volume)'!$A$7:$O$445,12)</f>
        <v>-3600</v>
      </c>
      <c r="L53" s="103">
        <f>VLOOKUP($A53,'OI(Value)'!$A$7:$O$329,8,0)</f>
        <v>177</v>
      </c>
      <c r="M53" s="103">
        <f>VLOOKUP($A53,'OI(Value)'!$A$7:$O$329,9,0)</f>
        <v>-15</v>
      </c>
      <c r="N53" s="103">
        <f>VLOOKUP($A53,'OI(Value)'!$A$7:$O$329,11,0)</f>
        <v>119</v>
      </c>
      <c r="O53" s="103">
        <f>VLOOKUP($A53,'OI(Value)'!$A$7:$O$329,12,0)</f>
        <v>-1</v>
      </c>
      <c r="P53" s="179">
        <f>VLOOKUP(A53,'OI(Value)'!A53:O277,8,0)</f>
        <v>177</v>
      </c>
      <c r="Q53" s="179">
        <f>VLOOKUP(A53,'OI(Value)'!A53:O277,9,0)</f>
        <v>-15</v>
      </c>
      <c r="R53" s="179">
        <f>VLOOKUP(A53,'OI(Value)'!A53:O277,11,0)</f>
        <v>119</v>
      </c>
      <c r="S53" s="179">
        <f>VLOOKUP(A53,'OI(Value)'!A53:O277,11,0)</f>
        <v>119</v>
      </c>
    </row>
    <row r="54" spans="1:19" x14ac:dyDescent="0.25">
      <c r="A54" s="105" t="str">
        <f>'Data Vlaue (Cr)'!C49</f>
        <v>COFORGE</v>
      </c>
      <c r="B54" s="143">
        <f>VLOOKUP($A54,'Data shares'!$C:$FA,118)</f>
        <v>0.54</v>
      </c>
      <c r="C54" s="143">
        <f>VLOOKUP($A54,'Data shares'!$C:$FA,119)</f>
        <v>0.57999999999999996</v>
      </c>
      <c r="D54" s="143">
        <f>VLOOKUP($A54,'Data shares'!$C:$FA,121)*100</f>
        <v>-6.9</v>
      </c>
      <c r="E54" s="143">
        <f>VLOOKUP($A54,'Data shares'!$C:$FA,124)</f>
        <v>0.56000000000000005</v>
      </c>
      <c r="F54" s="143">
        <f>VLOOKUP($A54,'Data shares'!$C:$FA,125)</f>
        <v>0.62</v>
      </c>
      <c r="G54" s="143">
        <f>VLOOKUP($A54,'Data shares'!$C:$FA,127)*100</f>
        <v>-9.68</v>
      </c>
      <c r="H54" s="103">
        <f>VLOOKUP($A54,'OI(Volume)'!$A$7:$O$445,8)</f>
        <v>9695250</v>
      </c>
      <c r="I54" s="103">
        <f>VLOOKUP($A54,'OI(Volume)'!$A$7:$O$445,9)</f>
        <v>349500</v>
      </c>
      <c r="J54" s="103">
        <f>VLOOKUP($A54,'OI(Volume)'!$A$7:$O$445,11)</f>
        <v>5221500</v>
      </c>
      <c r="K54" s="103">
        <f>VLOOKUP($A54,'OI(Volume)'!$A$7:$O$445,12)</f>
        <v>-176250</v>
      </c>
      <c r="L54" s="103">
        <f>VLOOKUP($A54,'OI(Value)'!$A$7:$O$329,8,0)</f>
        <v>1182</v>
      </c>
      <c r="M54" s="103">
        <f>VLOOKUP($A54,'OI(Value)'!$A$7:$O$329,9,0)</f>
        <v>43</v>
      </c>
      <c r="N54" s="103">
        <f>VLOOKUP($A54,'OI(Value)'!$A$7:$O$329,11,0)</f>
        <v>637</v>
      </c>
      <c r="O54" s="103">
        <f>VLOOKUP($A54,'OI(Value)'!$A$7:$O$329,12,0)</f>
        <v>-21</v>
      </c>
      <c r="P54" s="179">
        <f>VLOOKUP(A54,'OI(Value)'!A54:O278,8,0)</f>
        <v>1182</v>
      </c>
      <c r="Q54" s="179">
        <f>VLOOKUP(A54,'OI(Value)'!A54:O278,9,0)</f>
        <v>43</v>
      </c>
      <c r="R54" s="179">
        <f>VLOOKUP(A54,'OI(Value)'!A54:O278,11,0)</f>
        <v>637</v>
      </c>
      <c r="S54" s="179">
        <f>VLOOKUP(A54,'OI(Value)'!A54:O278,11,0)</f>
        <v>637</v>
      </c>
    </row>
    <row r="55" spans="1:19" x14ac:dyDescent="0.25">
      <c r="A55" s="105" t="str">
        <f>'Data Vlaue (Cr)'!C50</f>
        <v>COLPAL</v>
      </c>
      <c r="B55" s="143">
        <f>VLOOKUP($A55,'Data shares'!$C:$FA,118)</f>
        <v>0.73</v>
      </c>
      <c r="C55" s="143">
        <f>VLOOKUP($A55,'Data shares'!$C:$FA,119)</f>
        <v>0.68</v>
      </c>
      <c r="D55" s="143">
        <f>VLOOKUP($A55,'Data shares'!$C:$FA,121)*100</f>
        <v>7.35</v>
      </c>
      <c r="E55" s="143">
        <f>VLOOKUP($A55,'Data shares'!$C:$FA,124)</f>
        <v>0.51</v>
      </c>
      <c r="F55" s="143">
        <f>VLOOKUP($A55,'Data shares'!$C:$FA,125)</f>
        <v>0.43</v>
      </c>
      <c r="G55" s="143">
        <f>VLOOKUP($A55,'Data shares'!$C:$FA,127)*100</f>
        <v>18.600000000000001</v>
      </c>
      <c r="H55" s="103">
        <f>VLOOKUP($A55,'OI(Volume)'!$A$7:$O$445,8)</f>
        <v>2547000</v>
      </c>
      <c r="I55" s="103">
        <f>VLOOKUP($A55,'OI(Volume)'!$A$7:$O$445,9)</f>
        <v>3825</v>
      </c>
      <c r="J55" s="103">
        <f>VLOOKUP($A55,'OI(Volume)'!$A$7:$O$445,11)</f>
        <v>1850850</v>
      </c>
      <c r="K55" s="103">
        <f>VLOOKUP($A55,'OI(Volume)'!$A$7:$O$445,12)</f>
        <v>117000</v>
      </c>
      <c r="L55" s="103">
        <f>VLOOKUP($A55,'OI(Value)'!$A$7:$O$329,8,0)</f>
        <v>547</v>
      </c>
      <c r="M55" s="103">
        <f>VLOOKUP($A55,'OI(Value)'!$A$7:$O$329,9,0)</f>
        <v>1</v>
      </c>
      <c r="N55" s="103">
        <f>VLOOKUP($A55,'OI(Value)'!$A$7:$O$329,11,0)</f>
        <v>398</v>
      </c>
      <c r="O55" s="103">
        <f>VLOOKUP($A55,'OI(Value)'!$A$7:$O$329,12,0)</f>
        <v>25</v>
      </c>
      <c r="P55" s="179">
        <f>VLOOKUP(A55,'OI(Value)'!A55:O279,8,0)</f>
        <v>547</v>
      </c>
      <c r="Q55" s="179">
        <f>VLOOKUP(A55,'OI(Value)'!A55:O279,9,0)</f>
        <v>1</v>
      </c>
      <c r="R55" s="179">
        <f>VLOOKUP(A55,'OI(Value)'!A55:O279,11,0)</f>
        <v>398</v>
      </c>
      <c r="S55" s="179">
        <f>VLOOKUP(A55,'OI(Value)'!A55:O279,11,0)</f>
        <v>398</v>
      </c>
    </row>
    <row r="56" spans="1:19" x14ac:dyDescent="0.25">
      <c r="A56" s="105" t="str">
        <f>'Data Vlaue (Cr)'!C51</f>
        <v>CONCOR</v>
      </c>
      <c r="B56" s="143">
        <f>VLOOKUP($A56,'Data shares'!$C:$FA,118)</f>
        <v>0.67</v>
      </c>
      <c r="C56" s="143">
        <f>VLOOKUP($A56,'Data shares'!$C:$FA,119)</f>
        <v>0.64</v>
      </c>
      <c r="D56" s="143">
        <f>VLOOKUP($A56,'Data shares'!$C:$FA,121)*100</f>
        <v>4.6899999999999995</v>
      </c>
      <c r="E56" s="143">
        <f>VLOOKUP($A56,'Data shares'!$C:$FA,124)</f>
        <v>0.35</v>
      </c>
      <c r="F56" s="143">
        <f>VLOOKUP($A56,'Data shares'!$C:$FA,125)</f>
        <v>0.18</v>
      </c>
      <c r="G56" s="143">
        <f>VLOOKUP($A56,'Data shares'!$C:$FA,127)*100</f>
        <v>94.44</v>
      </c>
      <c r="H56" s="103">
        <f>VLOOKUP($A56,'OI(Volume)'!$A$7:$O$445,8)</f>
        <v>8092500</v>
      </c>
      <c r="I56" s="103">
        <f>VLOOKUP($A56,'OI(Volume)'!$A$7:$O$445,9)</f>
        <v>-352500</v>
      </c>
      <c r="J56" s="103">
        <f>VLOOKUP($A56,'OI(Volume)'!$A$7:$O$445,11)</f>
        <v>5395000</v>
      </c>
      <c r="K56" s="103">
        <f>VLOOKUP($A56,'OI(Volume)'!$A$7:$O$445,12)</f>
        <v>1250</v>
      </c>
      <c r="L56" s="103">
        <f>VLOOKUP($A56,'OI(Value)'!$A$7:$O$329,8,0)</f>
        <v>408</v>
      </c>
      <c r="M56" s="103">
        <f>VLOOKUP($A56,'OI(Value)'!$A$7:$O$329,9,0)</f>
        <v>-18</v>
      </c>
      <c r="N56" s="103">
        <f>VLOOKUP($A56,'OI(Value)'!$A$7:$O$329,11,0)</f>
        <v>272</v>
      </c>
      <c r="O56" s="103">
        <f>VLOOKUP($A56,'OI(Value)'!$A$7:$O$329,12,0)</f>
        <v>0</v>
      </c>
      <c r="P56" s="179">
        <f>VLOOKUP(A56,'OI(Value)'!A56:O280,8,0)</f>
        <v>408</v>
      </c>
      <c r="Q56" s="179">
        <f>VLOOKUP(A56,'OI(Value)'!A56:O280,9,0)</f>
        <v>-18</v>
      </c>
      <c r="R56" s="179">
        <f>VLOOKUP(A56,'OI(Value)'!A56:O280,11,0)</f>
        <v>272</v>
      </c>
      <c r="S56" s="179">
        <f>VLOOKUP(A56,'OI(Value)'!A56:O280,11,0)</f>
        <v>272</v>
      </c>
    </row>
    <row r="57" spans="1:19" x14ac:dyDescent="0.25">
      <c r="A57" s="105" t="str">
        <f>'Data Vlaue (Cr)'!C52</f>
        <v>CROMPTON</v>
      </c>
      <c r="B57" s="143">
        <f>VLOOKUP($A57,'Data shares'!$C:$FA,118)</f>
        <v>0.59</v>
      </c>
      <c r="C57" s="143">
        <f>VLOOKUP($A57,'Data shares'!$C:$FA,119)</f>
        <v>0.56999999999999995</v>
      </c>
      <c r="D57" s="143">
        <f>VLOOKUP($A57,'Data shares'!$C:$FA,121)*100</f>
        <v>3.51</v>
      </c>
      <c r="E57" s="143">
        <f>VLOOKUP($A57,'Data shares'!$C:$FA,124)</f>
        <v>0.55000000000000004</v>
      </c>
      <c r="F57" s="143">
        <f>VLOOKUP($A57,'Data shares'!$C:$FA,125)</f>
        <v>0.33</v>
      </c>
      <c r="G57" s="143">
        <f>VLOOKUP($A57,'Data shares'!$C:$FA,127)*100</f>
        <v>66.67</v>
      </c>
      <c r="H57" s="103">
        <f>VLOOKUP($A57,'OI(Volume)'!$A$7:$O$445,8)</f>
        <v>12659400</v>
      </c>
      <c r="I57" s="103">
        <f>VLOOKUP($A57,'OI(Volume)'!$A$7:$O$445,9)</f>
        <v>-1812600</v>
      </c>
      <c r="J57" s="103">
        <f>VLOOKUP($A57,'OI(Volume)'!$A$7:$O$445,11)</f>
        <v>7462800</v>
      </c>
      <c r="K57" s="103">
        <f>VLOOKUP($A57,'OI(Volume)'!$A$7:$O$445,12)</f>
        <v>-813600</v>
      </c>
      <c r="L57" s="103">
        <f>VLOOKUP($A57,'OI(Value)'!$A$7:$O$329,8,0)</f>
        <v>320</v>
      </c>
      <c r="M57" s="103">
        <f>VLOOKUP($A57,'OI(Value)'!$A$7:$O$329,9,0)</f>
        <v>-46</v>
      </c>
      <c r="N57" s="103">
        <f>VLOOKUP($A57,'OI(Value)'!$A$7:$O$329,11,0)</f>
        <v>189</v>
      </c>
      <c r="O57" s="103">
        <f>VLOOKUP($A57,'OI(Value)'!$A$7:$O$329,12,0)</f>
        <v>-21</v>
      </c>
      <c r="P57" s="179">
        <f>VLOOKUP(A57,'OI(Value)'!A57:O281,8,0)</f>
        <v>320</v>
      </c>
      <c r="Q57" s="179">
        <f>VLOOKUP(A57,'OI(Value)'!A57:O281,9,0)</f>
        <v>-46</v>
      </c>
      <c r="R57" s="179">
        <f>VLOOKUP(A57,'OI(Value)'!A57:O281,11,0)</f>
        <v>189</v>
      </c>
      <c r="S57" s="179">
        <f>VLOOKUP(A57,'OI(Value)'!A57:O281,11,0)</f>
        <v>189</v>
      </c>
    </row>
    <row r="58" spans="1:19" x14ac:dyDescent="0.25">
      <c r="A58" s="105" t="str">
        <f>'Data Vlaue (Cr)'!C53</f>
        <v>CUMMINSIND</v>
      </c>
      <c r="B58" s="143">
        <f>VLOOKUP($A58,'Data shares'!$C:$FA,118)</f>
        <v>0.75</v>
      </c>
      <c r="C58" s="143">
        <f>VLOOKUP($A58,'Data shares'!$C:$FA,119)</f>
        <v>0.73</v>
      </c>
      <c r="D58" s="143">
        <f>VLOOKUP($A58,'Data shares'!$C:$FA,121)*100</f>
        <v>2.74</v>
      </c>
      <c r="E58" s="143">
        <f>VLOOKUP($A58,'Data shares'!$C:$FA,124)</f>
        <v>1.23</v>
      </c>
      <c r="F58" s="143">
        <f>VLOOKUP($A58,'Data shares'!$C:$FA,125)</f>
        <v>0.52</v>
      </c>
      <c r="G58" s="143">
        <f>VLOOKUP($A58,'Data shares'!$C:$FA,127)*100</f>
        <v>136.54</v>
      </c>
      <c r="H58" s="103">
        <f>VLOOKUP($A58,'OI(Volume)'!$A$7:$O$445,8)</f>
        <v>1370600</v>
      </c>
      <c r="I58" s="103">
        <f>VLOOKUP($A58,'OI(Volume)'!$A$7:$O$445,9)</f>
        <v>-74200</v>
      </c>
      <c r="J58" s="103">
        <f>VLOOKUP($A58,'OI(Volume)'!$A$7:$O$445,11)</f>
        <v>1030600</v>
      </c>
      <c r="K58" s="103">
        <f>VLOOKUP($A58,'OI(Volume)'!$A$7:$O$445,12)</f>
        <v>-21000</v>
      </c>
      <c r="L58" s="103">
        <f>VLOOKUP($A58,'OI(Value)'!$A$7:$O$329,8,0)</f>
        <v>709</v>
      </c>
      <c r="M58" s="103">
        <f>VLOOKUP($A58,'OI(Value)'!$A$7:$O$329,9,0)</f>
        <v>-38</v>
      </c>
      <c r="N58" s="103">
        <f>VLOOKUP($A58,'OI(Value)'!$A$7:$O$329,11,0)</f>
        <v>533</v>
      </c>
      <c r="O58" s="103">
        <f>VLOOKUP($A58,'OI(Value)'!$A$7:$O$329,12,0)</f>
        <v>-11</v>
      </c>
      <c r="P58" s="179">
        <f>VLOOKUP(A58,'OI(Value)'!A58:O282,8,0)</f>
        <v>709</v>
      </c>
      <c r="Q58" s="179">
        <f>VLOOKUP(A58,'OI(Value)'!A58:O282,9,0)</f>
        <v>-38</v>
      </c>
      <c r="R58" s="179">
        <f>VLOOKUP(A58,'OI(Value)'!A58:O282,11,0)</f>
        <v>533</v>
      </c>
      <c r="S58" s="179">
        <f>VLOOKUP(A58,'OI(Value)'!A58:O282,11,0)</f>
        <v>533</v>
      </c>
    </row>
    <row r="59" spans="1:19" x14ac:dyDescent="0.25">
      <c r="A59" s="105" t="str">
        <f>'Data Vlaue (Cr)'!C54</f>
        <v>DABUR</v>
      </c>
      <c r="B59" s="143">
        <f>VLOOKUP($A59,'Data shares'!$C:$FA,118)</f>
        <v>0.88</v>
      </c>
      <c r="C59" s="143">
        <f>VLOOKUP($A59,'Data shares'!$C:$FA,119)</f>
        <v>0.81</v>
      </c>
      <c r="D59" s="143">
        <f>VLOOKUP($A59,'Data shares'!$C:$FA,121)*100</f>
        <v>8.64</v>
      </c>
      <c r="E59" s="143">
        <f>VLOOKUP($A59,'Data shares'!$C:$FA,124)</f>
        <v>0.43</v>
      </c>
      <c r="F59" s="143">
        <f>VLOOKUP($A59,'Data shares'!$C:$FA,125)</f>
        <v>0.36</v>
      </c>
      <c r="G59" s="143">
        <f>VLOOKUP($A59,'Data shares'!$C:$FA,127)*100</f>
        <v>19.439999999999998</v>
      </c>
      <c r="H59" s="103">
        <f>VLOOKUP($A59,'OI(Volume)'!$A$7:$O$445,8)</f>
        <v>10115000</v>
      </c>
      <c r="I59" s="103">
        <f>VLOOKUP($A59,'OI(Volume)'!$A$7:$O$445,9)</f>
        <v>-556250</v>
      </c>
      <c r="J59" s="103">
        <f>VLOOKUP($A59,'OI(Volume)'!$A$7:$O$445,11)</f>
        <v>8886250</v>
      </c>
      <c r="K59" s="103">
        <f>VLOOKUP($A59,'OI(Volume)'!$A$7:$O$445,12)</f>
        <v>288750</v>
      </c>
      <c r="L59" s="103">
        <f>VLOOKUP($A59,'OI(Value)'!$A$7:$O$329,8,0)</f>
        <v>465</v>
      </c>
      <c r="M59" s="103">
        <f>VLOOKUP($A59,'OI(Value)'!$A$7:$O$329,9,0)</f>
        <v>-26</v>
      </c>
      <c r="N59" s="103">
        <f>VLOOKUP($A59,'OI(Value)'!$A$7:$O$329,11,0)</f>
        <v>408</v>
      </c>
      <c r="O59" s="103">
        <f>VLOOKUP($A59,'OI(Value)'!$A$7:$O$329,12,0)</f>
        <v>13</v>
      </c>
      <c r="P59" s="179">
        <f>VLOOKUP(A59,'OI(Value)'!A59:O283,8,0)</f>
        <v>465</v>
      </c>
      <c r="Q59" s="179">
        <f>VLOOKUP(A59,'OI(Value)'!A59:O283,9,0)</f>
        <v>-26</v>
      </c>
      <c r="R59" s="179">
        <f>VLOOKUP(A59,'OI(Value)'!A59:O283,11,0)</f>
        <v>408</v>
      </c>
      <c r="S59" s="179">
        <f>VLOOKUP(A59,'OI(Value)'!A59:O283,11,0)</f>
        <v>408</v>
      </c>
    </row>
    <row r="60" spans="1:19" x14ac:dyDescent="0.25">
      <c r="A60" s="105" t="str">
        <f>'Data Vlaue (Cr)'!C55</f>
        <v>DALBHARAT</v>
      </c>
      <c r="B60" s="143">
        <f>VLOOKUP($A60,'Data shares'!$C:$FA,118)</f>
        <v>0.74</v>
      </c>
      <c r="C60" s="143">
        <f>VLOOKUP($A60,'Data shares'!$C:$FA,119)</f>
        <v>0.88</v>
      </c>
      <c r="D60" s="143">
        <f>VLOOKUP($A60,'Data shares'!$C:$FA,121)*100</f>
        <v>-15.909999999999998</v>
      </c>
      <c r="E60" s="143">
        <f>VLOOKUP($A60,'Data shares'!$C:$FA,124)</f>
        <v>0.72</v>
      </c>
      <c r="F60" s="143">
        <f>VLOOKUP($A60,'Data shares'!$C:$FA,125)</f>
        <v>0.47</v>
      </c>
      <c r="G60" s="143">
        <f>VLOOKUP($A60,'Data shares'!$C:$FA,127)*100</f>
        <v>53.190000000000005</v>
      </c>
      <c r="H60" s="103">
        <f>VLOOKUP($A60,'OI(Volume)'!$A$7:$O$445,8)</f>
        <v>1191775</v>
      </c>
      <c r="I60" s="103">
        <f>VLOOKUP($A60,'OI(Volume)'!$A$7:$O$445,9)</f>
        <v>-10400</v>
      </c>
      <c r="J60" s="103">
        <f>VLOOKUP($A60,'OI(Volume)'!$A$7:$O$445,11)</f>
        <v>880750</v>
      </c>
      <c r="K60" s="103">
        <f>VLOOKUP($A60,'OI(Volume)'!$A$7:$O$445,12)</f>
        <v>-177450</v>
      </c>
      <c r="L60" s="103">
        <f>VLOOKUP($A60,'OI(Value)'!$A$7:$O$329,8,0)</f>
        <v>233</v>
      </c>
      <c r="M60" s="103">
        <f>VLOOKUP($A60,'OI(Value)'!$A$7:$O$329,9,0)</f>
        <v>-2</v>
      </c>
      <c r="N60" s="103">
        <f>VLOOKUP($A60,'OI(Value)'!$A$7:$O$329,11,0)</f>
        <v>172</v>
      </c>
      <c r="O60" s="103">
        <f>VLOOKUP($A60,'OI(Value)'!$A$7:$O$329,12,0)</f>
        <v>-35</v>
      </c>
      <c r="P60" s="179">
        <f>VLOOKUP(A60,'OI(Value)'!A60:O284,8,0)</f>
        <v>233</v>
      </c>
      <c r="Q60" s="179">
        <f>VLOOKUP(A60,'OI(Value)'!A60:O284,9,0)</f>
        <v>-2</v>
      </c>
      <c r="R60" s="179">
        <f>VLOOKUP(A60,'OI(Value)'!A60:O284,11,0)</f>
        <v>172</v>
      </c>
      <c r="S60" s="179">
        <f>VLOOKUP(A60,'OI(Value)'!A60:O284,11,0)</f>
        <v>172</v>
      </c>
    </row>
    <row r="61" spans="1:19" x14ac:dyDescent="0.25">
      <c r="A61" s="105" t="str">
        <f>'Data Vlaue (Cr)'!C56</f>
        <v>DELHIVERY</v>
      </c>
      <c r="B61" s="143">
        <f>VLOOKUP($A61,'Data shares'!$C:$FA,118)</f>
        <v>0.4</v>
      </c>
      <c r="C61" s="143">
        <f>VLOOKUP($A61,'Data shares'!$C:$FA,119)</f>
        <v>0.38</v>
      </c>
      <c r="D61" s="143">
        <f>VLOOKUP($A61,'Data shares'!$C:$FA,121)*100</f>
        <v>5.26</v>
      </c>
      <c r="E61" s="143">
        <f>VLOOKUP($A61,'Data shares'!$C:$FA,124)</f>
        <v>0.35</v>
      </c>
      <c r="F61" s="143">
        <f>VLOOKUP($A61,'Data shares'!$C:$FA,125)</f>
        <v>0.56999999999999995</v>
      </c>
      <c r="G61" s="143">
        <f>VLOOKUP($A61,'Data shares'!$C:$FA,127)*100</f>
        <v>-38.6</v>
      </c>
      <c r="H61" s="103">
        <f>VLOOKUP($A61,'OI(Volume)'!$A$7:$O$445,8)</f>
        <v>15004325</v>
      </c>
      <c r="I61" s="103">
        <f>VLOOKUP($A61,'OI(Volume)'!$A$7:$O$445,9)</f>
        <v>-1357050</v>
      </c>
      <c r="J61" s="103">
        <f>VLOOKUP($A61,'OI(Volume)'!$A$7:$O$445,11)</f>
        <v>5930350</v>
      </c>
      <c r="K61" s="103">
        <f>VLOOKUP($A61,'OI(Volume)'!$A$7:$O$445,12)</f>
        <v>-315400</v>
      </c>
      <c r="L61" s="103">
        <f>VLOOKUP($A61,'OI(Value)'!$A$7:$O$329,8,0)</f>
        <v>676</v>
      </c>
      <c r="M61" s="103">
        <f>VLOOKUP($A61,'OI(Value)'!$A$7:$O$329,9,0)</f>
        <v>-61</v>
      </c>
      <c r="N61" s="103">
        <f>VLOOKUP($A61,'OI(Value)'!$A$7:$O$329,11,0)</f>
        <v>267</v>
      </c>
      <c r="O61" s="103">
        <f>VLOOKUP($A61,'OI(Value)'!$A$7:$O$329,12,0)</f>
        <v>-14</v>
      </c>
      <c r="P61" s="179">
        <f>VLOOKUP(A61,'OI(Value)'!A61:O285,8,0)</f>
        <v>676</v>
      </c>
      <c r="Q61" s="179">
        <f>VLOOKUP(A61,'OI(Value)'!A61:O285,9,0)</f>
        <v>-61</v>
      </c>
      <c r="R61" s="179">
        <f>VLOOKUP(A61,'OI(Value)'!A61:O285,11,0)</f>
        <v>267</v>
      </c>
      <c r="S61" s="179">
        <f>VLOOKUP(A61,'OI(Value)'!A61:O285,11,0)</f>
        <v>267</v>
      </c>
    </row>
    <row r="62" spans="1:19" x14ac:dyDescent="0.25">
      <c r="A62" s="105" t="str">
        <f>'Data Vlaue (Cr)'!C57</f>
        <v>DIVISLAB</v>
      </c>
      <c r="B62" s="143">
        <f>VLOOKUP($A62,'Data shares'!$C:$FA,118)</f>
        <v>1.07</v>
      </c>
      <c r="C62" s="143">
        <f>VLOOKUP($A62,'Data shares'!$C:$FA,119)</f>
        <v>1.1000000000000001</v>
      </c>
      <c r="D62" s="143">
        <f>VLOOKUP($A62,'Data shares'!$C:$FA,121)*100</f>
        <v>-2.73</v>
      </c>
      <c r="E62" s="143">
        <f>VLOOKUP($A62,'Data shares'!$C:$FA,124)</f>
        <v>0.25</v>
      </c>
      <c r="F62" s="143">
        <f>VLOOKUP($A62,'Data shares'!$C:$FA,125)</f>
        <v>0.52</v>
      </c>
      <c r="G62" s="143">
        <f>VLOOKUP($A62,'Data shares'!$C:$FA,127)*100</f>
        <v>-51.92</v>
      </c>
      <c r="H62" s="103">
        <f>VLOOKUP($A62,'OI(Volume)'!$A$7:$O$445,8)</f>
        <v>815900</v>
      </c>
      <c r="I62" s="103">
        <f>VLOOKUP($A62,'OI(Volume)'!$A$7:$O$445,9)</f>
        <v>51700</v>
      </c>
      <c r="J62" s="103">
        <f>VLOOKUP($A62,'OI(Volume)'!$A$7:$O$445,11)</f>
        <v>873600</v>
      </c>
      <c r="K62" s="103">
        <f>VLOOKUP($A62,'OI(Volume)'!$A$7:$O$445,12)</f>
        <v>35600</v>
      </c>
      <c r="L62" s="103">
        <f>VLOOKUP($A62,'OI(Value)'!$A$7:$O$329,8,0)</f>
        <v>520</v>
      </c>
      <c r="M62" s="103">
        <f>VLOOKUP($A62,'OI(Value)'!$A$7:$O$329,9,0)</f>
        <v>33</v>
      </c>
      <c r="N62" s="103">
        <f>VLOOKUP($A62,'OI(Value)'!$A$7:$O$329,11,0)</f>
        <v>556</v>
      </c>
      <c r="O62" s="103">
        <f>VLOOKUP($A62,'OI(Value)'!$A$7:$O$329,12,0)</f>
        <v>23</v>
      </c>
      <c r="P62" s="179">
        <f>VLOOKUP(A62,'OI(Value)'!A62:O286,8,0)</f>
        <v>520</v>
      </c>
      <c r="Q62" s="179">
        <f>VLOOKUP(A62,'OI(Value)'!A62:O286,9,0)</f>
        <v>33</v>
      </c>
      <c r="R62" s="179">
        <f>VLOOKUP(A62,'OI(Value)'!A62:O286,11,0)</f>
        <v>556</v>
      </c>
      <c r="S62" s="179">
        <f>VLOOKUP(A62,'OI(Value)'!A62:O286,11,0)</f>
        <v>556</v>
      </c>
    </row>
    <row r="63" spans="1:19" x14ac:dyDescent="0.25">
      <c r="A63" s="105" t="str">
        <f>'Data Vlaue (Cr)'!C58</f>
        <v>DIXON</v>
      </c>
      <c r="B63" s="143">
        <f>VLOOKUP($A63,'Data shares'!$C:$FA,118)</f>
        <v>0.7</v>
      </c>
      <c r="C63" s="143">
        <f>VLOOKUP($A63,'Data shares'!$C:$FA,119)</f>
        <v>0.75</v>
      </c>
      <c r="D63" s="143">
        <f>VLOOKUP($A63,'Data shares'!$C:$FA,121)*100</f>
        <v>-6.67</v>
      </c>
      <c r="E63" s="143">
        <f>VLOOKUP($A63,'Data shares'!$C:$FA,124)</f>
        <v>0.65</v>
      </c>
      <c r="F63" s="143">
        <f>VLOOKUP($A63,'Data shares'!$C:$FA,125)</f>
        <v>0.6</v>
      </c>
      <c r="G63" s="143">
        <f>VLOOKUP($A63,'Data shares'!$C:$FA,127)*100</f>
        <v>8.33</v>
      </c>
      <c r="H63" s="103">
        <f>VLOOKUP($A63,'OI(Volume)'!$A$7:$O$445,8)</f>
        <v>2159950</v>
      </c>
      <c r="I63" s="103">
        <f>VLOOKUP($A63,'OI(Volume)'!$A$7:$O$445,9)</f>
        <v>138150</v>
      </c>
      <c r="J63" s="103">
        <f>VLOOKUP($A63,'OI(Volume)'!$A$7:$O$445,11)</f>
        <v>1514600</v>
      </c>
      <c r="K63" s="103">
        <f>VLOOKUP($A63,'OI(Volume)'!$A$7:$O$445,12)</f>
        <v>-7550</v>
      </c>
      <c r="L63" s="103">
        <f>VLOOKUP($A63,'OI(Value)'!$A$7:$O$329,8,0)</f>
        <v>2339</v>
      </c>
      <c r="M63" s="103">
        <f>VLOOKUP($A63,'OI(Value)'!$A$7:$O$329,9,0)</f>
        <v>150</v>
      </c>
      <c r="N63" s="103">
        <f>VLOOKUP($A63,'OI(Value)'!$A$7:$O$329,11,0)</f>
        <v>1640</v>
      </c>
      <c r="O63" s="103">
        <f>VLOOKUP($A63,'OI(Value)'!$A$7:$O$329,12,0)</f>
        <v>-8</v>
      </c>
      <c r="P63" s="179">
        <f>VLOOKUP(A63,'OI(Value)'!A63:O287,8,0)</f>
        <v>2339</v>
      </c>
      <c r="Q63" s="179">
        <f>VLOOKUP(A63,'OI(Value)'!A63:O287,9,0)</f>
        <v>150</v>
      </c>
      <c r="R63" s="179">
        <f>VLOOKUP(A63,'OI(Value)'!A63:O287,11,0)</f>
        <v>1640</v>
      </c>
      <c r="S63" s="179">
        <f>VLOOKUP(A63,'OI(Value)'!A63:O287,11,0)</f>
        <v>1640</v>
      </c>
    </row>
    <row r="64" spans="1:19" x14ac:dyDescent="0.25">
      <c r="A64" s="105" t="str">
        <f>'Data Vlaue (Cr)'!C59</f>
        <v>DLF</v>
      </c>
      <c r="B64" s="143">
        <f>VLOOKUP($A64,'Data shares'!$C:$FA,118)</f>
        <v>0.96</v>
      </c>
      <c r="C64" s="143">
        <f>VLOOKUP($A64,'Data shares'!$C:$FA,119)</f>
        <v>1.04</v>
      </c>
      <c r="D64" s="143">
        <f>VLOOKUP($A64,'Data shares'!$C:$FA,121)*100</f>
        <v>-7.6899999999999995</v>
      </c>
      <c r="E64" s="143">
        <f>VLOOKUP($A64,'Data shares'!$C:$FA,124)</f>
        <v>0.71</v>
      </c>
      <c r="F64" s="143">
        <f>VLOOKUP($A64,'Data shares'!$C:$FA,125)</f>
        <v>0.55000000000000004</v>
      </c>
      <c r="G64" s="143">
        <f>VLOOKUP($A64,'Data shares'!$C:$FA,127)*100</f>
        <v>29.09</v>
      </c>
      <c r="H64" s="103">
        <f>VLOOKUP($A64,'OI(Volume)'!$A$7:$O$445,8)</f>
        <v>12077175</v>
      </c>
      <c r="I64" s="103">
        <f>VLOOKUP($A64,'OI(Volume)'!$A$7:$O$445,9)</f>
        <v>561825</v>
      </c>
      <c r="J64" s="103">
        <f>VLOOKUP($A64,'OI(Volume)'!$A$7:$O$445,11)</f>
        <v>11631675</v>
      </c>
      <c r="K64" s="103">
        <f>VLOOKUP($A64,'OI(Volume)'!$A$7:$O$445,12)</f>
        <v>-298650</v>
      </c>
      <c r="L64" s="103">
        <f>VLOOKUP($A64,'OI(Value)'!$A$7:$O$329,8,0)</f>
        <v>715</v>
      </c>
      <c r="M64" s="103">
        <f>VLOOKUP($A64,'OI(Value)'!$A$7:$O$329,9,0)</f>
        <v>33</v>
      </c>
      <c r="N64" s="103">
        <f>VLOOKUP($A64,'OI(Value)'!$A$7:$O$329,11,0)</f>
        <v>688</v>
      </c>
      <c r="O64" s="103">
        <f>VLOOKUP($A64,'OI(Value)'!$A$7:$O$329,12,0)</f>
        <v>-18</v>
      </c>
      <c r="P64" s="179">
        <f>VLOOKUP(A64,'OI(Value)'!A64:O288,8,0)</f>
        <v>715</v>
      </c>
      <c r="Q64" s="179">
        <f>VLOOKUP(A64,'OI(Value)'!A64:O288,9,0)</f>
        <v>33</v>
      </c>
      <c r="R64" s="179">
        <f>VLOOKUP(A64,'OI(Value)'!A64:O288,11,0)</f>
        <v>688</v>
      </c>
      <c r="S64" s="179">
        <f>VLOOKUP(A64,'OI(Value)'!A64:O288,11,0)</f>
        <v>688</v>
      </c>
    </row>
    <row r="65" spans="1:19" x14ac:dyDescent="0.25">
      <c r="A65" s="105" t="str">
        <f>'Data Vlaue (Cr)'!C60</f>
        <v>DMART</v>
      </c>
      <c r="B65" s="143">
        <f>VLOOKUP($A65,'Data shares'!$C:$FA,118)</f>
        <v>0.86</v>
      </c>
      <c r="C65" s="143">
        <f>VLOOKUP($A65,'Data shares'!$C:$FA,119)</f>
        <v>0.89</v>
      </c>
      <c r="D65" s="143">
        <f>VLOOKUP($A65,'Data shares'!$C:$FA,121)*100</f>
        <v>-3.37</v>
      </c>
      <c r="E65" s="143">
        <f>VLOOKUP($A65,'Data shares'!$C:$FA,124)</f>
        <v>0.77</v>
      </c>
      <c r="F65" s="143">
        <f>VLOOKUP($A65,'Data shares'!$C:$FA,125)</f>
        <v>0.78</v>
      </c>
      <c r="G65" s="143">
        <f>VLOOKUP($A65,'Data shares'!$C:$FA,127)*100</f>
        <v>-1.28</v>
      </c>
      <c r="H65" s="103">
        <f>VLOOKUP($A65,'OI(Volume)'!$A$7:$O$445,8)</f>
        <v>1842750</v>
      </c>
      <c r="I65" s="103">
        <f>VLOOKUP($A65,'OI(Volume)'!$A$7:$O$445,9)</f>
        <v>-76500</v>
      </c>
      <c r="J65" s="103">
        <f>VLOOKUP($A65,'OI(Volume)'!$A$7:$O$445,11)</f>
        <v>1588800</v>
      </c>
      <c r="K65" s="103">
        <f>VLOOKUP($A65,'OI(Volume)'!$A$7:$O$445,12)</f>
        <v>-112650</v>
      </c>
      <c r="L65" s="103">
        <f>VLOOKUP($A65,'OI(Value)'!$A$7:$O$329,8,0)</f>
        <v>835</v>
      </c>
      <c r="M65" s="103">
        <f>VLOOKUP($A65,'OI(Value)'!$A$7:$O$329,9,0)</f>
        <v>-35</v>
      </c>
      <c r="N65" s="103">
        <f>VLOOKUP($A65,'OI(Value)'!$A$7:$O$329,11,0)</f>
        <v>720</v>
      </c>
      <c r="O65" s="103">
        <f>VLOOKUP($A65,'OI(Value)'!$A$7:$O$329,12,0)</f>
        <v>-51</v>
      </c>
      <c r="P65" s="179">
        <f>VLOOKUP(A65,'OI(Value)'!A65:O289,8,0)</f>
        <v>835</v>
      </c>
      <c r="Q65" s="179">
        <f>VLOOKUP(A65,'OI(Value)'!A65:O289,9,0)</f>
        <v>-35</v>
      </c>
      <c r="R65" s="179">
        <f>VLOOKUP(A65,'OI(Value)'!A65:O289,11,0)</f>
        <v>720</v>
      </c>
      <c r="S65" s="179">
        <f>VLOOKUP(A65,'OI(Value)'!A65:O289,11,0)</f>
        <v>720</v>
      </c>
    </row>
    <row r="66" spans="1:19" x14ac:dyDescent="0.25">
      <c r="A66" s="105" t="str">
        <f>'Data Vlaue (Cr)'!C61</f>
        <v>DRREDDY</v>
      </c>
      <c r="B66" s="143">
        <f>VLOOKUP($A66,'Data shares'!$C:$FA,118)</f>
        <v>0.66</v>
      </c>
      <c r="C66" s="143">
        <f>VLOOKUP($A66,'Data shares'!$C:$FA,119)</f>
        <v>0.69</v>
      </c>
      <c r="D66" s="143">
        <f>VLOOKUP($A66,'Data shares'!$C:$FA,121)*100</f>
        <v>-4.3499999999999996</v>
      </c>
      <c r="E66" s="143">
        <f>VLOOKUP($A66,'Data shares'!$C:$FA,124)</f>
        <v>0.4</v>
      </c>
      <c r="F66" s="143">
        <f>VLOOKUP($A66,'Data shares'!$C:$FA,125)</f>
        <v>0.45</v>
      </c>
      <c r="G66" s="143">
        <f>VLOOKUP($A66,'Data shares'!$C:$FA,127)*100</f>
        <v>-11.110000000000001</v>
      </c>
      <c r="H66" s="103">
        <f>VLOOKUP($A66,'OI(Volume)'!$A$7:$O$445,8)</f>
        <v>13342500</v>
      </c>
      <c r="I66" s="103">
        <f>VLOOKUP($A66,'OI(Volume)'!$A$7:$O$445,9)</f>
        <v>5821875</v>
      </c>
      <c r="J66" s="103">
        <f>VLOOKUP($A66,'OI(Volume)'!$A$7:$O$445,11)</f>
        <v>8866875</v>
      </c>
      <c r="K66" s="103">
        <f>VLOOKUP($A66,'OI(Volume)'!$A$7:$O$445,12)</f>
        <v>3704375</v>
      </c>
      <c r="L66" s="103">
        <f>VLOOKUP($A66,'OI(Value)'!$A$7:$O$329,8,0)</f>
        <v>1766</v>
      </c>
      <c r="M66" s="103">
        <f>VLOOKUP($A66,'OI(Value)'!$A$7:$O$329,9,0)</f>
        <v>771</v>
      </c>
      <c r="N66" s="103">
        <f>VLOOKUP($A66,'OI(Value)'!$A$7:$O$329,11,0)</f>
        <v>1174</v>
      </c>
      <c r="O66" s="103">
        <f>VLOOKUP($A66,'OI(Value)'!$A$7:$O$329,12,0)</f>
        <v>490</v>
      </c>
      <c r="P66" s="179">
        <f>VLOOKUP(A66,'OI(Value)'!A66:O290,8,0)</f>
        <v>1766</v>
      </c>
      <c r="Q66" s="179">
        <f>VLOOKUP(A66,'OI(Value)'!A66:O290,9,0)</f>
        <v>771</v>
      </c>
      <c r="R66" s="179">
        <f>VLOOKUP(A66,'OI(Value)'!A66:O290,11,0)</f>
        <v>1174</v>
      </c>
      <c r="S66" s="179">
        <f>VLOOKUP(A66,'OI(Value)'!A66:O290,11,0)</f>
        <v>1174</v>
      </c>
    </row>
    <row r="67" spans="1:19" x14ac:dyDescent="0.25">
      <c r="A67" s="105" t="str">
        <f>'Data Vlaue (Cr)'!C62</f>
        <v>EICHERMOT</v>
      </c>
      <c r="B67" s="143">
        <f>VLOOKUP($A67,'Data shares'!$C:$FA,118)</f>
        <v>0.73</v>
      </c>
      <c r="C67" s="143">
        <f>VLOOKUP($A67,'Data shares'!$C:$FA,119)</f>
        <v>0.76</v>
      </c>
      <c r="D67" s="143">
        <f>VLOOKUP($A67,'Data shares'!$C:$FA,121)*100</f>
        <v>-3.95</v>
      </c>
      <c r="E67" s="143">
        <f>VLOOKUP($A67,'Data shares'!$C:$FA,124)</f>
        <v>0.66</v>
      </c>
      <c r="F67" s="143">
        <f>VLOOKUP($A67,'Data shares'!$C:$FA,125)</f>
        <v>0.54</v>
      </c>
      <c r="G67" s="143">
        <f>VLOOKUP($A67,'Data shares'!$C:$FA,127)*100</f>
        <v>22.220000000000002</v>
      </c>
      <c r="H67" s="103">
        <f>VLOOKUP($A67,'OI(Volume)'!$A$7:$O$445,8)</f>
        <v>2027700</v>
      </c>
      <c r="I67" s="103">
        <f>VLOOKUP($A67,'OI(Volume)'!$A$7:$O$445,9)</f>
        <v>42800</v>
      </c>
      <c r="J67" s="103">
        <f>VLOOKUP($A67,'OI(Volume)'!$A$7:$O$445,11)</f>
        <v>1475900</v>
      </c>
      <c r="K67" s="103">
        <f>VLOOKUP($A67,'OI(Volume)'!$A$7:$O$445,12)</f>
        <v>-30500</v>
      </c>
      <c r="L67" s="103">
        <f>VLOOKUP($A67,'OI(Value)'!$A$7:$O$329,8,0)</f>
        <v>1437</v>
      </c>
      <c r="M67" s="103">
        <f>VLOOKUP($A67,'OI(Value)'!$A$7:$O$329,9,0)</f>
        <v>30</v>
      </c>
      <c r="N67" s="103">
        <f>VLOOKUP($A67,'OI(Value)'!$A$7:$O$329,11,0)</f>
        <v>1046</v>
      </c>
      <c r="O67" s="103">
        <f>VLOOKUP($A67,'OI(Value)'!$A$7:$O$329,12,0)</f>
        <v>-22</v>
      </c>
      <c r="P67" s="179">
        <f>VLOOKUP(A67,'OI(Value)'!A67:O291,8,0)</f>
        <v>1437</v>
      </c>
      <c r="Q67" s="179">
        <f>VLOOKUP(A67,'OI(Value)'!A67:O291,9,0)</f>
        <v>30</v>
      </c>
      <c r="R67" s="179">
        <f>VLOOKUP(A67,'OI(Value)'!A67:O291,11,0)</f>
        <v>1046</v>
      </c>
      <c r="S67" s="179">
        <f>VLOOKUP(A67,'OI(Value)'!A67:O291,11,0)</f>
        <v>1046</v>
      </c>
    </row>
    <row r="68" spans="1:19" x14ac:dyDescent="0.25">
      <c r="A68" s="105" t="str">
        <f>'Data Vlaue (Cr)'!C63</f>
        <v>ETERNAL</v>
      </c>
      <c r="B68" s="143">
        <f>VLOOKUP($A68,'Data shares'!$C:$FA,118)</f>
        <v>0.83</v>
      </c>
      <c r="C68" s="143">
        <f>VLOOKUP($A68,'Data shares'!$C:$FA,119)</f>
        <v>0.83</v>
      </c>
      <c r="D68" s="143">
        <f>VLOOKUP($A68,'Data shares'!$C:$FA,121)*100</f>
        <v>0</v>
      </c>
      <c r="E68" s="143">
        <f>VLOOKUP($A68,'Data shares'!$C:$FA,124)</f>
        <v>0.71</v>
      </c>
      <c r="F68" s="143">
        <f>VLOOKUP($A68,'Data shares'!$C:$FA,125)</f>
        <v>0.64</v>
      </c>
      <c r="G68" s="143">
        <f>VLOOKUP($A68,'Data shares'!$C:$FA,127)*100</f>
        <v>10.94</v>
      </c>
      <c r="H68" s="103">
        <f>VLOOKUP($A68,'OI(Volume)'!$A$7:$O$445,8)</f>
        <v>60804450</v>
      </c>
      <c r="I68" s="103">
        <f>VLOOKUP($A68,'OI(Volume)'!$A$7:$O$445,9)</f>
        <v>-147925</v>
      </c>
      <c r="J68" s="103">
        <f>VLOOKUP($A68,'OI(Volume)'!$A$7:$O$445,11)</f>
        <v>50529725</v>
      </c>
      <c r="K68" s="103">
        <f>VLOOKUP($A68,'OI(Volume)'!$A$7:$O$445,12)</f>
        <v>-227950</v>
      </c>
      <c r="L68" s="103">
        <f>VLOOKUP($A68,'OI(Value)'!$A$7:$O$329,8,0)</f>
        <v>1578</v>
      </c>
      <c r="M68" s="103">
        <f>VLOOKUP($A68,'OI(Value)'!$A$7:$O$329,9,0)</f>
        <v>-4</v>
      </c>
      <c r="N68" s="103">
        <f>VLOOKUP($A68,'OI(Value)'!$A$7:$O$329,11,0)</f>
        <v>1311</v>
      </c>
      <c r="O68" s="103">
        <f>VLOOKUP($A68,'OI(Value)'!$A$7:$O$329,12,0)</f>
        <v>-6</v>
      </c>
      <c r="P68" s="179">
        <f>VLOOKUP(A68,'OI(Value)'!A68:O292,8,0)</f>
        <v>1578</v>
      </c>
      <c r="Q68" s="179">
        <f>VLOOKUP(A68,'OI(Value)'!A68:O292,9,0)</f>
        <v>-4</v>
      </c>
      <c r="R68" s="179">
        <f>VLOOKUP(A68,'OI(Value)'!A68:O292,11,0)</f>
        <v>1311</v>
      </c>
      <c r="S68" s="179">
        <f>VLOOKUP(A68,'OI(Value)'!A68:O292,11,0)</f>
        <v>1311</v>
      </c>
    </row>
    <row r="69" spans="1:19" x14ac:dyDescent="0.25">
      <c r="A69" s="105" t="str">
        <f>'Data Vlaue (Cr)'!C64</f>
        <v>EXIDEIND</v>
      </c>
      <c r="B69" s="143">
        <f>VLOOKUP($A69,'Data shares'!$C:$FA,118)</f>
        <v>0.87</v>
      </c>
      <c r="C69" s="143">
        <f>VLOOKUP($A69,'Data shares'!$C:$FA,119)</f>
        <v>0.95</v>
      </c>
      <c r="D69" s="143">
        <f>VLOOKUP($A69,'Data shares'!$C:$FA,121)*100</f>
        <v>-8.42</v>
      </c>
      <c r="E69" s="143">
        <f>VLOOKUP($A69,'Data shares'!$C:$FA,124)</f>
        <v>0.38</v>
      </c>
      <c r="F69" s="143">
        <f>VLOOKUP($A69,'Data shares'!$C:$FA,125)</f>
        <v>0.32</v>
      </c>
      <c r="G69" s="143">
        <f>VLOOKUP($A69,'Data shares'!$C:$FA,127)*100</f>
        <v>18.75</v>
      </c>
      <c r="H69" s="103">
        <f>VLOOKUP($A69,'OI(Volume)'!$A$7:$O$445,8)</f>
        <v>19549800</v>
      </c>
      <c r="I69" s="103">
        <f>VLOOKUP($A69,'OI(Volume)'!$A$7:$O$445,9)</f>
        <v>2545200</v>
      </c>
      <c r="J69" s="103">
        <f>VLOOKUP($A69,'OI(Volume)'!$A$7:$O$445,11)</f>
        <v>16983000</v>
      </c>
      <c r="K69" s="103">
        <f>VLOOKUP($A69,'OI(Volume)'!$A$7:$O$445,12)</f>
        <v>889200</v>
      </c>
      <c r="L69" s="103">
        <f>VLOOKUP($A69,'OI(Value)'!$A$7:$O$329,8,0)</f>
        <v>678</v>
      </c>
      <c r="M69" s="103">
        <f>VLOOKUP($A69,'OI(Value)'!$A$7:$O$329,9,0)</f>
        <v>88</v>
      </c>
      <c r="N69" s="103">
        <f>VLOOKUP($A69,'OI(Value)'!$A$7:$O$329,11,0)</f>
        <v>589</v>
      </c>
      <c r="O69" s="103">
        <f>VLOOKUP($A69,'OI(Value)'!$A$7:$O$329,12,0)</f>
        <v>31</v>
      </c>
      <c r="P69" s="179">
        <f>VLOOKUP(A69,'OI(Value)'!A69:O293,8,0)</f>
        <v>678</v>
      </c>
      <c r="Q69" s="179">
        <f>VLOOKUP(A69,'OI(Value)'!A69:O293,9,0)</f>
        <v>88</v>
      </c>
      <c r="R69" s="179">
        <f>VLOOKUP(A69,'OI(Value)'!A69:O293,11,0)</f>
        <v>589</v>
      </c>
      <c r="S69" s="179">
        <f>VLOOKUP(A69,'OI(Value)'!A69:O293,11,0)</f>
        <v>589</v>
      </c>
    </row>
    <row r="70" spans="1:19" x14ac:dyDescent="0.25">
      <c r="A70" s="105" t="str">
        <f>'Data Vlaue (Cr)'!C65</f>
        <v>FEDERALBNK</v>
      </c>
      <c r="B70" s="143">
        <f>VLOOKUP($A70,'Data shares'!$C:$FA,118)</f>
        <v>0.91</v>
      </c>
      <c r="C70" s="143">
        <f>VLOOKUP($A70,'Data shares'!$C:$FA,119)</f>
        <v>0.91</v>
      </c>
      <c r="D70" s="143">
        <f>VLOOKUP($A70,'Data shares'!$C:$FA,121)*100</f>
        <v>0</v>
      </c>
      <c r="E70" s="143">
        <f>VLOOKUP($A70,'Data shares'!$C:$FA,124)</f>
        <v>0.6</v>
      </c>
      <c r="F70" s="143">
        <f>VLOOKUP($A70,'Data shares'!$C:$FA,125)</f>
        <v>0.68</v>
      </c>
      <c r="G70" s="143">
        <f>VLOOKUP($A70,'Data shares'!$C:$FA,127)*100</f>
        <v>-11.76</v>
      </c>
      <c r="H70" s="103">
        <f>VLOOKUP($A70,'OI(Volume)'!$A$7:$O$445,8)</f>
        <v>38115000</v>
      </c>
      <c r="I70" s="103">
        <f>VLOOKUP($A70,'OI(Volume)'!$A$7:$O$445,9)</f>
        <v>-435000</v>
      </c>
      <c r="J70" s="103">
        <f>VLOOKUP($A70,'OI(Volume)'!$A$7:$O$445,11)</f>
        <v>34580000</v>
      </c>
      <c r="K70" s="103">
        <f>VLOOKUP($A70,'OI(Volume)'!$A$7:$O$445,12)</f>
        <v>-595000</v>
      </c>
      <c r="L70" s="103">
        <f>VLOOKUP($A70,'OI(Value)'!$A$7:$O$329,8,0)</f>
        <v>1127</v>
      </c>
      <c r="M70" s="103">
        <f>VLOOKUP($A70,'OI(Value)'!$A$7:$O$329,9,0)</f>
        <v>-13</v>
      </c>
      <c r="N70" s="103">
        <f>VLOOKUP($A70,'OI(Value)'!$A$7:$O$329,11,0)</f>
        <v>1022</v>
      </c>
      <c r="O70" s="103">
        <f>VLOOKUP($A70,'OI(Value)'!$A$7:$O$329,12,0)</f>
        <v>-18</v>
      </c>
      <c r="P70" s="179">
        <f>VLOOKUP(A70,'OI(Value)'!A70:O294,8,0)</f>
        <v>1127</v>
      </c>
      <c r="Q70" s="179">
        <f>VLOOKUP(A70,'OI(Value)'!A70:O294,9,0)</f>
        <v>-13</v>
      </c>
      <c r="R70" s="179">
        <f>VLOOKUP(A70,'OI(Value)'!A70:O294,11,0)</f>
        <v>1022</v>
      </c>
      <c r="S70" s="179">
        <f>VLOOKUP(A70,'OI(Value)'!A70:O294,11,0)</f>
        <v>1022</v>
      </c>
    </row>
    <row r="71" spans="1:19" x14ac:dyDescent="0.25">
      <c r="A71" s="105" t="str">
        <f>'Data Vlaue (Cr)'!C66</f>
        <v>FINNIFTY</v>
      </c>
      <c r="B71" s="143">
        <f>VLOOKUP($A71,'Data shares'!$C:$FA,118)</f>
        <v>0.89</v>
      </c>
      <c r="C71" s="143">
        <f>VLOOKUP($A71,'Data shares'!$C:$FA,119)</f>
        <v>0.95</v>
      </c>
      <c r="D71" s="143">
        <f>VLOOKUP($A71,'Data shares'!$C:$FA,121)*100</f>
        <v>-6.32</v>
      </c>
      <c r="E71" s="143">
        <f>VLOOKUP($A71,'Data shares'!$C:$FA,124)</f>
        <v>0.78</v>
      </c>
      <c r="F71" s="143">
        <f>VLOOKUP($A71,'Data shares'!$C:$FA,125)</f>
        <v>0.82</v>
      </c>
      <c r="G71" s="143">
        <f>VLOOKUP($A71,'Data shares'!$C:$FA,127)*100</f>
        <v>-4.88</v>
      </c>
      <c r="H71" s="103">
        <f>VLOOKUP($A71,'OI(Volume)'!$A$7:$O$445,8)</f>
        <v>600360</v>
      </c>
      <c r="I71" s="103">
        <f>VLOOKUP($A71,'OI(Volume)'!$A$7:$O$445,9)</f>
        <v>80820</v>
      </c>
      <c r="J71" s="103">
        <f>VLOOKUP($A71,'OI(Volume)'!$A$7:$O$445,11)</f>
        <v>536160</v>
      </c>
      <c r="K71" s="103">
        <f>VLOOKUP($A71,'OI(Volume)'!$A$7:$O$445,12)</f>
        <v>42300</v>
      </c>
      <c r="L71" s="103">
        <f>VLOOKUP($A71,'OI(Value)'!$A$7:$O$329,8,0)</f>
        <v>1577</v>
      </c>
      <c r="M71" s="103">
        <f>VLOOKUP($A71,'OI(Value)'!$A$7:$O$329,9,0)</f>
        <v>212</v>
      </c>
      <c r="N71" s="103">
        <f>VLOOKUP($A71,'OI(Value)'!$A$7:$O$329,11,0)</f>
        <v>1409</v>
      </c>
      <c r="O71" s="103">
        <f>VLOOKUP($A71,'OI(Value)'!$A$7:$O$329,12,0)</f>
        <v>111</v>
      </c>
      <c r="P71" s="179">
        <f>VLOOKUP(A71,'OI(Value)'!A71:O295,8,0)</f>
        <v>1577</v>
      </c>
      <c r="Q71" s="179">
        <f>VLOOKUP(A71,'OI(Value)'!A71:O295,9,0)</f>
        <v>212</v>
      </c>
      <c r="R71" s="179">
        <f>VLOOKUP(A71,'OI(Value)'!A71:O295,11,0)</f>
        <v>1409</v>
      </c>
      <c r="S71" s="179">
        <f>VLOOKUP(A71,'OI(Value)'!A71:O295,11,0)</f>
        <v>1409</v>
      </c>
    </row>
    <row r="72" spans="1:19" x14ac:dyDescent="0.25">
      <c r="A72" s="105" t="str">
        <f>'Data Vlaue (Cr)'!C67</f>
        <v>FORCEMOT</v>
      </c>
      <c r="B72" s="143">
        <f>VLOOKUP($A72,'Data shares'!$C:$FA,118)</f>
        <v>0.31</v>
      </c>
      <c r="C72" s="143">
        <f>VLOOKUP($A72,'Data shares'!$C:$FA,119)</f>
        <v>0.36</v>
      </c>
      <c r="D72" s="143">
        <f>VLOOKUP($A72,'Data shares'!$C:$FA,121)*100</f>
        <v>-13.889999999999999</v>
      </c>
      <c r="E72" s="143">
        <f>VLOOKUP($A72,'Data shares'!$C:$FA,124)</f>
        <v>0.49</v>
      </c>
      <c r="F72" s="143">
        <f>VLOOKUP($A72,'Data shares'!$C:$FA,125)</f>
        <v>0.79</v>
      </c>
      <c r="G72" s="143">
        <f>VLOOKUP($A72,'Data shares'!$C:$FA,127)*100</f>
        <v>-37.97</v>
      </c>
      <c r="H72" s="103">
        <f>VLOOKUP($A72,'OI(Volume)'!$A$7:$O$445,8)</f>
        <v>98500</v>
      </c>
      <c r="I72" s="103">
        <f>VLOOKUP($A72,'OI(Volume)'!$A$7:$O$445,9)</f>
        <v>17200</v>
      </c>
      <c r="J72" s="103">
        <f>VLOOKUP($A72,'OI(Volume)'!$A$7:$O$445,11)</f>
        <v>30450</v>
      </c>
      <c r="K72" s="103">
        <f>VLOOKUP($A72,'OI(Volume)'!$A$7:$O$445,12)</f>
        <v>1425</v>
      </c>
      <c r="L72" s="103">
        <f>VLOOKUP($A72,'OI(Value)'!$A$7:$O$329,8,0)</f>
        <v>204</v>
      </c>
      <c r="M72" s="103">
        <f>VLOOKUP($A72,'OI(Value)'!$A$7:$O$329,9,0)</f>
        <v>36</v>
      </c>
      <c r="N72" s="103">
        <f>VLOOKUP($A72,'OI(Value)'!$A$7:$O$329,11,0)</f>
        <v>63</v>
      </c>
      <c r="O72" s="103">
        <f>VLOOKUP($A72,'OI(Value)'!$A$7:$O$329,12,0)</f>
        <v>3</v>
      </c>
      <c r="P72" s="179">
        <f>VLOOKUP(A72,'OI(Value)'!A72:O296,8,0)</f>
        <v>204</v>
      </c>
      <c r="Q72" s="179">
        <f>VLOOKUP(A72,'OI(Value)'!A72:O296,9,0)</f>
        <v>36</v>
      </c>
      <c r="R72" s="179">
        <f>VLOOKUP(A72,'OI(Value)'!A72:O296,11,0)</f>
        <v>63</v>
      </c>
      <c r="S72" s="179">
        <f>VLOOKUP(A72,'OI(Value)'!A72:O296,11,0)</f>
        <v>63</v>
      </c>
    </row>
    <row r="73" spans="1:19" x14ac:dyDescent="0.25">
      <c r="A73" s="105" t="str">
        <f>'Data Vlaue (Cr)'!C68</f>
        <v>FORTIS</v>
      </c>
      <c r="B73" s="143">
        <f>VLOOKUP($A73,'Data shares'!$C:$FA,118)</f>
        <v>0.78</v>
      </c>
      <c r="C73" s="143">
        <f>VLOOKUP($A73,'Data shares'!$C:$FA,119)</f>
        <v>0.8</v>
      </c>
      <c r="D73" s="143">
        <f>VLOOKUP($A73,'Data shares'!$C:$FA,121)*100</f>
        <v>-2.5</v>
      </c>
      <c r="E73" s="143">
        <f>VLOOKUP($A73,'Data shares'!$C:$FA,124)</f>
        <v>0.39</v>
      </c>
      <c r="F73" s="143">
        <f>VLOOKUP($A73,'Data shares'!$C:$FA,125)</f>
        <v>0.84</v>
      </c>
      <c r="G73" s="143">
        <f>VLOOKUP($A73,'Data shares'!$C:$FA,127)*100</f>
        <v>-53.569999999999993</v>
      </c>
      <c r="H73" s="103">
        <f>VLOOKUP($A73,'OI(Volume)'!$A$7:$O$445,8)</f>
        <v>2793100</v>
      </c>
      <c r="I73" s="103">
        <f>VLOOKUP($A73,'OI(Volume)'!$A$7:$O$445,9)</f>
        <v>-137175</v>
      </c>
      <c r="J73" s="103">
        <f>VLOOKUP($A73,'OI(Volume)'!$A$7:$O$445,11)</f>
        <v>2178525</v>
      </c>
      <c r="K73" s="103">
        <f>VLOOKUP($A73,'OI(Volume)'!$A$7:$O$445,12)</f>
        <v>-161200</v>
      </c>
      <c r="L73" s="103">
        <f>VLOOKUP($A73,'OI(Value)'!$A$7:$O$329,8,0)</f>
        <v>258</v>
      </c>
      <c r="M73" s="103">
        <f>VLOOKUP($A73,'OI(Value)'!$A$7:$O$329,9,0)</f>
        <v>-13</v>
      </c>
      <c r="N73" s="103">
        <f>VLOOKUP($A73,'OI(Value)'!$A$7:$O$329,11,0)</f>
        <v>202</v>
      </c>
      <c r="O73" s="103">
        <f>VLOOKUP($A73,'OI(Value)'!$A$7:$O$329,12,0)</f>
        <v>-15</v>
      </c>
      <c r="P73" s="179">
        <f>VLOOKUP(A73,'OI(Value)'!A73:O297,8,0)</f>
        <v>258</v>
      </c>
      <c r="Q73" s="179">
        <f>VLOOKUP(A73,'OI(Value)'!A73:O297,9,0)</f>
        <v>-13</v>
      </c>
      <c r="R73" s="179">
        <f>VLOOKUP(A73,'OI(Value)'!A73:O297,11,0)</f>
        <v>202</v>
      </c>
      <c r="S73" s="179">
        <f>VLOOKUP(A73,'OI(Value)'!A73:O297,11,0)</f>
        <v>202</v>
      </c>
    </row>
    <row r="74" spans="1:19" x14ac:dyDescent="0.25">
      <c r="A74" s="105" t="str">
        <f>'Data Vlaue (Cr)'!C69</f>
        <v>GAIL</v>
      </c>
      <c r="B74" s="143">
        <f>VLOOKUP($A74,'Data shares'!$C:$FA,118)</f>
        <v>1.35</v>
      </c>
      <c r="C74" s="143">
        <f>VLOOKUP($A74,'Data shares'!$C:$FA,119)</f>
        <v>1.42</v>
      </c>
      <c r="D74" s="143">
        <f>VLOOKUP($A74,'Data shares'!$C:$FA,121)*100</f>
        <v>-4.93</v>
      </c>
      <c r="E74" s="143">
        <f>VLOOKUP($A74,'Data shares'!$C:$FA,124)</f>
        <v>0.81</v>
      </c>
      <c r="F74" s="143">
        <f>VLOOKUP($A74,'Data shares'!$C:$FA,125)</f>
        <v>0.8</v>
      </c>
      <c r="G74" s="143">
        <f>VLOOKUP($A74,'Data shares'!$C:$FA,127)*100</f>
        <v>1.25</v>
      </c>
      <c r="H74" s="103">
        <f>VLOOKUP($A74,'OI(Volume)'!$A$7:$O$445,8)</f>
        <v>29020950</v>
      </c>
      <c r="I74" s="103">
        <f>VLOOKUP($A74,'OI(Volume)'!$A$7:$O$445,9)</f>
        <v>585900</v>
      </c>
      <c r="J74" s="103">
        <f>VLOOKUP($A74,'OI(Volume)'!$A$7:$O$445,11)</f>
        <v>39302550</v>
      </c>
      <c r="K74" s="103">
        <f>VLOOKUP($A74,'OI(Volume)'!$A$7:$O$445,12)</f>
        <v>-1061550</v>
      </c>
      <c r="L74" s="103">
        <f>VLOOKUP($A74,'OI(Value)'!$A$7:$O$329,8,0)</f>
        <v>478</v>
      </c>
      <c r="M74" s="103">
        <f>VLOOKUP($A74,'OI(Value)'!$A$7:$O$329,9,0)</f>
        <v>10</v>
      </c>
      <c r="N74" s="103">
        <f>VLOOKUP($A74,'OI(Value)'!$A$7:$O$329,11,0)</f>
        <v>647</v>
      </c>
      <c r="O74" s="103">
        <f>VLOOKUP($A74,'OI(Value)'!$A$7:$O$329,12,0)</f>
        <v>-17</v>
      </c>
      <c r="P74" s="179">
        <f>VLOOKUP(A74,'OI(Value)'!A74:O298,8,0)</f>
        <v>478</v>
      </c>
      <c r="Q74" s="179">
        <f>VLOOKUP(A74,'OI(Value)'!A74:O298,9,0)</f>
        <v>10</v>
      </c>
      <c r="R74" s="179">
        <f>VLOOKUP(A74,'OI(Value)'!A74:O298,11,0)</f>
        <v>647</v>
      </c>
      <c r="S74" s="179">
        <f>VLOOKUP(A74,'OI(Value)'!A74:O298,11,0)</f>
        <v>647</v>
      </c>
    </row>
    <row r="75" spans="1:19" x14ac:dyDescent="0.25">
      <c r="A75" s="105" t="str">
        <f>'Data Vlaue (Cr)'!C70</f>
        <v>GLENMARK</v>
      </c>
      <c r="B75" s="143">
        <f>VLOOKUP($A75,'Data shares'!$C:$FA,118)</f>
        <v>0.73</v>
      </c>
      <c r="C75" s="143">
        <f>VLOOKUP($A75,'Data shares'!$C:$FA,119)</f>
        <v>0.56000000000000005</v>
      </c>
      <c r="D75" s="143">
        <f>VLOOKUP($A75,'Data shares'!$C:$FA,121)*100</f>
        <v>30.36</v>
      </c>
      <c r="E75" s="143">
        <f>VLOOKUP($A75,'Data shares'!$C:$FA,124)</f>
        <v>0.28999999999999998</v>
      </c>
      <c r="F75" s="143">
        <f>VLOOKUP($A75,'Data shares'!$C:$FA,125)</f>
        <v>0.73</v>
      </c>
      <c r="G75" s="143">
        <f>VLOOKUP($A75,'Data shares'!$C:$FA,127)*100</f>
        <v>-60.27</v>
      </c>
      <c r="H75" s="103">
        <f>VLOOKUP($A75,'OI(Volume)'!$A$7:$O$445,8)</f>
        <v>2525625</v>
      </c>
      <c r="I75" s="103">
        <f>VLOOKUP($A75,'OI(Volume)'!$A$7:$O$445,9)</f>
        <v>363750</v>
      </c>
      <c r="J75" s="103">
        <f>VLOOKUP($A75,'OI(Volume)'!$A$7:$O$445,11)</f>
        <v>1839000</v>
      </c>
      <c r="K75" s="103">
        <f>VLOOKUP($A75,'OI(Volume)'!$A$7:$O$445,12)</f>
        <v>638250</v>
      </c>
      <c r="L75" s="103">
        <f>VLOOKUP($A75,'OI(Value)'!$A$7:$O$329,8,0)</f>
        <v>590</v>
      </c>
      <c r="M75" s="103">
        <f>VLOOKUP($A75,'OI(Value)'!$A$7:$O$329,9,0)</f>
        <v>85</v>
      </c>
      <c r="N75" s="103">
        <f>VLOOKUP($A75,'OI(Value)'!$A$7:$O$329,11,0)</f>
        <v>430</v>
      </c>
      <c r="O75" s="103">
        <f>VLOOKUP($A75,'OI(Value)'!$A$7:$O$329,12,0)</f>
        <v>149</v>
      </c>
      <c r="P75" s="179">
        <f>VLOOKUP(A75,'OI(Value)'!A75:O299,8,0)</f>
        <v>590</v>
      </c>
      <c r="Q75" s="179">
        <f>VLOOKUP(A75,'OI(Value)'!A75:O299,9,0)</f>
        <v>85</v>
      </c>
      <c r="R75" s="179">
        <f>VLOOKUP(A75,'OI(Value)'!A75:O299,11,0)</f>
        <v>430</v>
      </c>
      <c r="S75" s="179">
        <f>VLOOKUP(A75,'OI(Value)'!A75:O299,11,0)</f>
        <v>430</v>
      </c>
    </row>
    <row r="76" spans="1:19" x14ac:dyDescent="0.25">
      <c r="A76" s="105" t="str">
        <f>'Data Vlaue (Cr)'!C71</f>
        <v>GMRAIRPORT</v>
      </c>
      <c r="B76" s="143">
        <f>VLOOKUP($A76,'Data shares'!$C:$FA,118)</f>
        <v>0.69</v>
      </c>
      <c r="C76" s="143">
        <f>VLOOKUP($A76,'Data shares'!$C:$FA,119)</f>
        <v>0.65</v>
      </c>
      <c r="D76" s="143">
        <f>VLOOKUP($A76,'Data shares'!$C:$FA,121)*100</f>
        <v>6.15</v>
      </c>
      <c r="E76" s="143">
        <f>VLOOKUP($A76,'Data shares'!$C:$FA,124)</f>
        <v>0.48</v>
      </c>
      <c r="F76" s="143">
        <f>VLOOKUP($A76,'Data shares'!$C:$FA,125)</f>
        <v>0.3</v>
      </c>
      <c r="G76" s="143">
        <f>VLOOKUP($A76,'Data shares'!$C:$FA,127)*100</f>
        <v>60</v>
      </c>
      <c r="H76" s="103">
        <f>VLOOKUP($A76,'OI(Volume)'!$A$7:$O$445,8)</f>
        <v>54328275</v>
      </c>
      <c r="I76" s="103">
        <f>VLOOKUP($A76,'OI(Volume)'!$A$7:$O$445,9)</f>
        <v>920700</v>
      </c>
      <c r="J76" s="103">
        <f>VLOOKUP($A76,'OI(Volume)'!$A$7:$O$445,11)</f>
        <v>37427850</v>
      </c>
      <c r="K76" s="103">
        <f>VLOOKUP($A76,'OI(Volume)'!$A$7:$O$445,12)</f>
        <v>2497050</v>
      </c>
      <c r="L76" s="103">
        <f>VLOOKUP($A76,'OI(Value)'!$A$7:$O$329,8,0)</f>
        <v>524</v>
      </c>
      <c r="M76" s="103">
        <f>VLOOKUP($A76,'OI(Value)'!$A$7:$O$329,9,0)</f>
        <v>9</v>
      </c>
      <c r="N76" s="103">
        <f>VLOOKUP($A76,'OI(Value)'!$A$7:$O$329,11,0)</f>
        <v>361</v>
      </c>
      <c r="O76" s="103">
        <f>VLOOKUP($A76,'OI(Value)'!$A$7:$O$329,12,0)</f>
        <v>24</v>
      </c>
      <c r="P76" s="179">
        <f>VLOOKUP(A76,'OI(Value)'!A76:O300,8,0)</f>
        <v>524</v>
      </c>
      <c r="Q76" s="179">
        <f>VLOOKUP(A76,'OI(Value)'!A76:O300,9,0)</f>
        <v>9</v>
      </c>
      <c r="R76" s="179">
        <f>VLOOKUP(A76,'OI(Value)'!A76:O300,11,0)</f>
        <v>361</v>
      </c>
      <c r="S76" s="179">
        <f>VLOOKUP(A76,'OI(Value)'!A76:O300,11,0)</f>
        <v>361</v>
      </c>
    </row>
    <row r="77" spans="1:19" x14ac:dyDescent="0.25">
      <c r="A77" s="105" t="str">
        <f>'Data Vlaue (Cr)'!C72</f>
        <v>GODFRYPHLP</v>
      </c>
      <c r="B77" s="143">
        <f>VLOOKUP($A77,'Data shares'!$C:$FA,118)</f>
        <v>0.43</v>
      </c>
      <c r="C77" s="143">
        <f>VLOOKUP($A77,'Data shares'!$C:$FA,119)</f>
        <v>0.42</v>
      </c>
      <c r="D77" s="143">
        <f>VLOOKUP($A77,'Data shares'!$C:$FA,121)*100</f>
        <v>2.3800000000000003</v>
      </c>
      <c r="E77" s="143">
        <f>VLOOKUP($A77,'Data shares'!$C:$FA,124)</f>
        <v>0.54</v>
      </c>
      <c r="F77" s="143">
        <f>VLOOKUP($A77,'Data shares'!$C:$FA,125)</f>
        <v>0.26</v>
      </c>
      <c r="G77" s="143">
        <f>VLOOKUP($A77,'Data shares'!$C:$FA,127)*100</f>
        <v>107.69</v>
      </c>
      <c r="H77" s="103">
        <f>VLOOKUP($A77,'OI(Volume)'!$A$7:$O$445,8)</f>
        <v>980375</v>
      </c>
      <c r="I77" s="103">
        <f>VLOOKUP($A77,'OI(Volume)'!$A$7:$O$445,9)</f>
        <v>44000</v>
      </c>
      <c r="J77" s="103">
        <f>VLOOKUP($A77,'OI(Volume)'!$A$7:$O$445,11)</f>
        <v>422950</v>
      </c>
      <c r="K77" s="103">
        <f>VLOOKUP($A77,'OI(Volume)'!$A$7:$O$445,12)</f>
        <v>27775</v>
      </c>
      <c r="L77" s="103">
        <f>VLOOKUP($A77,'OI(Value)'!$A$7:$O$329,8,0)</f>
        <v>212</v>
      </c>
      <c r="M77" s="103">
        <f>VLOOKUP($A77,'OI(Value)'!$A$7:$O$329,9,0)</f>
        <v>10</v>
      </c>
      <c r="N77" s="103">
        <f>VLOOKUP($A77,'OI(Value)'!$A$7:$O$329,11,0)</f>
        <v>91</v>
      </c>
      <c r="O77" s="103">
        <f>VLOOKUP($A77,'OI(Value)'!$A$7:$O$329,12,0)</f>
        <v>6</v>
      </c>
      <c r="P77" s="179">
        <f>VLOOKUP(A77,'OI(Value)'!A77:O301,8,0)</f>
        <v>212</v>
      </c>
      <c r="Q77" s="179">
        <f>VLOOKUP(A77,'OI(Value)'!A77:O301,9,0)</f>
        <v>10</v>
      </c>
      <c r="R77" s="179">
        <f>VLOOKUP(A77,'OI(Value)'!A77:O301,11,0)</f>
        <v>91</v>
      </c>
      <c r="S77" s="179">
        <f>VLOOKUP(A77,'OI(Value)'!A77:O301,11,0)</f>
        <v>91</v>
      </c>
    </row>
    <row r="78" spans="1:19" x14ac:dyDescent="0.25">
      <c r="A78" s="105" t="str">
        <f>'Data Vlaue (Cr)'!C73</f>
        <v>GODREJCP</v>
      </c>
      <c r="B78" s="143">
        <f>VLOOKUP($A78,'Data shares'!$C:$FA,118)</f>
        <v>0.88</v>
      </c>
      <c r="C78" s="143">
        <f>VLOOKUP($A78,'Data shares'!$C:$FA,119)</f>
        <v>0.85</v>
      </c>
      <c r="D78" s="143">
        <f>VLOOKUP($A78,'Data shares'!$C:$FA,121)*100</f>
        <v>3.53</v>
      </c>
      <c r="E78" s="143">
        <f>VLOOKUP($A78,'Data shares'!$C:$FA,124)</f>
        <v>0.56000000000000005</v>
      </c>
      <c r="F78" s="143">
        <f>VLOOKUP($A78,'Data shares'!$C:$FA,125)</f>
        <v>0.37</v>
      </c>
      <c r="G78" s="143">
        <f>VLOOKUP($A78,'Data shares'!$C:$FA,127)*100</f>
        <v>51.349999999999994</v>
      </c>
      <c r="H78" s="103">
        <f>VLOOKUP($A78,'OI(Volume)'!$A$7:$O$445,8)</f>
        <v>1877500</v>
      </c>
      <c r="I78" s="103">
        <f>VLOOKUP($A78,'OI(Volume)'!$A$7:$O$445,9)</f>
        <v>-49500</v>
      </c>
      <c r="J78" s="103">
        <f>VLOOKUP($A78,'OI(Volume)'!$A$7:$O$445,11)</f>
        <v>1655500</v>
      </c>
      <c r="K78" s="103">
        <f>VLOOKUP($A78,'OI(Volume)'!$A$7:$O$445,12)</f>
        <v>27000</v>
      </c>
      <c r="L78" s="103">
        <f>VLOOKUP($A78,'OI(Value)'!$A$7:$O$329,8,0)</f>
        <v>214</v>
      </c>
      <c r="M78" s="103">
        <f>VLOOKUP($A78,'OI(Value)'!$A$7:$O$329,9,0)</f>
        <v>-6</v>
      </c>
      <c r="N78" s="103">
        <f>VLOOKUP($A78,'OI(Value)'!$A$7:$O$329,11,0)</f>
        <v>189</v>
      </c>
      <c r="O78" s="103">
        <f>VLOOKUP($A78,'OI(Value)'!$A$7:$O$329,12,0)</f>
        <v>3</v>
      </c>
      <c r="P78" s="179">
        <f>VLOOKUP(A78,'OI(Value)'!A78:O302,8,0)</f>
        <v>214</v>
      </c>
      <c r="Q78" s="179">
        <f>VLOOKUP(A78,'OI(Value)'!A78:O302,9,0)</f>
        <v>-6</v>
      </c>
      <c r="R78" s="179">
        <f>VLOOKUP(A78,'OI(Value)'!A78:O302,11,0)</f>
        <v>189</v>
      </c>
      <c r="S78" s="179">
        <f>VLOOKUP(A78,'OI(Value)'!A78:O302,11,0)</f>
        <v>189</v>
      </c>
    </row>
    <row r="79" spans="1:19" x14ac:dyDescent="0.25">
      <c r="A79" s="105" t="str">
        <f>'Data Vlaue (Cr)'!C74</f>
        <v>GODREJPROP</v>
      </c>
      <c r="B79" s="143">
        <f>VLOOKUP($A79,'Data shares'!$C:$FA,118)</f>
        <v>0.82</v>
      </c>
      <c r="C79" s="143">
        <f>VLOOKUP($A79,'Data shares'!$C:$FA,119)</f>
        <v>0.83</v>
      </c>
      <c r="D79" s="143">
        <f>VLOOKUP($A79,'Data shares'!$C:$FA,121)*100</f>
        <v>-1.2</v>
      </c>
      <c r="E79" s="143">
        <f>VLOOKUP($A79,'Data shares'!$C:$FA,124)</f>
        <v>0.68</v>
      </c>
      <c r="F79" s="143">
        <f>VLOOKUP($A79,'Data shares'!$C:$FA,125)</f>
        <v>0.82</v>
      </c>
      <c r="G79" s="143">
        <f>VLOOKUP($A79,'Data shares'!$C:$FA,127)*100</f>
        <v>-17.07</v>
      </c>
      <c r="H79" s="103">
        <f>VLOOKUP($A79,'OI(Volume)'!$A$7:$O$445,8)</f>
        <v>3545850</v>
      </c>
      <c r="I79" s="103">
        <f>VLOOKUP($A79,'OI(Volume)'!$A$7:$O$445,9)</f>
        <v>50050</v>
      </c>
      <c r="J79" s="103">
        <f>VLOOKUP($A79,'OI(Volume)'!$A$7:$O$445,11)</f>
        <v>2900425</v>
      </c>
      <c r="K79" s="103">
        <f>VLOOKUP($A79,'OI(Volume)'!$A$7:$O$445,12)</f>
        <v>-15950</v>
      </c>
      <c r="L79" s="103">
        <f>VLOOKUP($A79,'OI(Value)'!$A$7:$O$329,8,0)</f>
        <v>634</v>
      </c>
      <c r="M79" s="103">
        <f>VLOOKUP($A79,'OI(Value)'!$A$7:$O$329,9,0)</f>
        <v>9</v>
      </c>
      <c r="N79" s="103">
        <f>VLOOKUP($A79,'OI(Value)'!$A$7:$O$329,11,0)</f>
        <v>519</v>
      </c>
      <c r="O79" s="103">
        <f>VLOOKUP($A79,'OI(Value)'!$A$7:$O$329,12,0)</f>
        <v>-3</v>
      </c>
      <c r="P79" s="179">
        <f>VLOOKUP(A79,'OI(Value)'!A79:O303,8,0)</f>
        <v>634</v>
      </c>
      <c r="Q79" s="179">
        <f>VLOOKUP(A79,'OI(Value)'!A79:O303,9,0)</f>
        <v>9</v>
      </c>
      <c r="R79" s="179">
        <f>VLOOKUP(A79,'OI(Value)'!A79:O303,11,0)</f>
        <v>519</v>
      </c>
      <c r="S79" s="179">
        <f>VLOOKUP(A79,'OI(Value)'!A79:O303,11,0)</f>
        <v>519</v>
      </c>
    </row>
    <row r="80" spans="1:19" x14ac:dyDescent="0.25">
      <c r="A80" s="105" t="str">
        <f>'Data Vlaue (Cr)'!C75</f>
        <v>GRASIM</v>
      </c>
      <c r="B80" s="143">
        <f>VLOOKUP($A80,'Data shares'!$C:$FA,118)</f>
        <v>0.88</v>
      </c>
      <c r="C80" s="143">
        <f>VLOOKUP($A80,'Data shares'!$C:$FA,119)</f>
        <v>0.84</v>
      </c>
      <c r="D80" s="143">
        <f>VLOOKUP($A80,'Data shares'!$C:$FA,121)*100</f>
        <v>4.7600000000000007</v>
      </c>
      <c r="E80" s="143">
        <f>VLOOKUP($A80,'Data shares'!$C:$FA,124)</f>
        <v>0.74</v>
      </c>
      <c r="F80" s="143">
        <f>VLOOKUP($A80,'Data shares'!$C:$FA,125)</f>
        <v>0.46</v>
      </c>
      <c r="G80" s="143">
        <f>VLOOKUP($A80,'Data shares'!$C:$FA,127)*100</f>
        <v>60.870000000000005</v>
      </c>
      <c r="H80" s="103">
        <f>VLOOKUP($A80,'OI(Volume)'!$A$7:$O$445,8)</f>
        <v>1490000</v>
      </c>
      <c r="I80" s="103">
        <f>VLOOKUP($A80,'OI(Volume)'!$A$7:$O$445,9)</f>
        <v>-39250</v>
      </c>
      <c r="J80" s="103">
        <f>VLOOKUP($A80,'OI(Volume)'!$A$7:$O$445,11)</f>
        <v>1318500</v>
      </c>
      <c r="K80" s="103">
        <f>VLOOKUP($A80,'OI(Volume)'!$A$7:$O$445,12)</f>
        <v>33000</v>
      </c>
      <c r="L80" s="103">
        <f>VLOOKUP($A80,'OI(Value)'!$A$7:$O$329,8,0)</f>
        <v>408</v>
      </c>
      <c r="M80" s="103">
        <f>VLOOKUP($A80,'OI(Value)'!$A$7:$O$329,9,0)</f>
        <v>-11</v>
      </c>
      <c r="N80" s="103">
        <f>VLOOKUP($A80,'OI(Value)'!$A$7:$O$329,11,0)</f>
        <v>361</v>
      </c>
      <c r="O80" s="103">
        <f>VLOOKUP($A80,'OI(Value)'!$A$7:$O$329,12,0)</f>
        <v>9</v>
      </c>
      <c r="P80" s="179">
        <f>VLOOKUP(A80,'OI(Value)'!A80:O304,8,0)</f>
        <v>408</v>
      </c>
      <c r="Q80" s="179">
        <f>VLOOKUP(A80,'OI(Value)'!A80:O304,9,0)</f>
        <v>-11</v>
      </c>
      <c r="R80" s="179">
        <f>VLOOKUP(A80,'OI(Value)'!A80:O304,11,0)</f>
        <v>361</v>
      </c>
      <c r="S80" s="179">
        <f>VLOOKUP(A80,'OI(Value)'!A80:O304,11,0)</f>
        <v>361</v>
      </c>
    </row>
    <row r="81" spans="1:19" x14ac:dyDescent="0.25">
      <c r="A81" s="105" t="str">
        <f>'Data Vlaue (Cr)'!C76</f>
        <v>HAL</v>
      </c>
      <c r="B81" s="143">
        <f>VLOOKUP($A81,'Data shares'!$C:$FA,118)</f>
        <v>0.95</v>
      </c>
      <c r="C81" s="143">
        <f>VLOOKUP($A81,'Data shares'!$C:$FA,119)</f>
        <v>0.93</v>
      </c>
      <c r="D81" s="143">
        <f>VLOOKUP($A81,'Data shares'!$C:$FA,121)*100</f>
        <v>2.15</v>
      </c>
      <c r="E81" s="143">
        <f>VLOOKUP($A81,'Data shares'!$C:$FA,124)</f>
        <v>0.53</v>
      </c>
      <c r="F81" s="143">
        <f>VLOOKUP($A81,'Data shares'!$C:$FA,125)</f>
        <v>0.5</v>
      </c>
      <c r="G81" s="143">
        <f>VLOOKUP($A81,'Data shares'!$C:$FA,127)*100</f>
        <v>6</v>
      </c>
      <c r="H81" s="103">
        <f>VLOOKUP($A81,'OI(Volume)'!$A$7:$O$445,8)</f>
        <v>3356250</v>
      </c>
      <c r="I81" s="103">
        <f>VLOOKUP($A81,'OI(Volume)'!$A$7:$O$445,9)</f>
        <v>-49800</v>
      </c>
      <c r="J81" s="103">
        <f>VLOOKUP($A81,'OI(Volume)'!$A$7:$O$445,11)</f>
        <v>3175200</v>
      </c>
      <c r="K81" s="103">
        <f>VLOOKUP($A81,'OI(Volume)'!$A$7:$O$445,12)</f>
        <v>-6450</v>
      </c>
      <c r="L81" s="103">
        <f>VLOOKUP($A81,'OI(Value)'!$A$7:$O$329,8,0)</f>
        <v>1463</v>
      </c>
      <c r="M81" s="103">
        <f>VLOOKUP($A81,'OI(Value)'!$A$7:$O$329,9,0)</f>
        <v>-22</v>
      </c>
      <c r="N81" s="103">
        <f>VLOOKUP($A81,'OI(Value)'!$A$7:$O$329,11,0)</f>
        <v>1384</v>
      </c>
      <c r="O81" s="103">
        <f>VLOOKUP($A81,'OI(Value)'!$A$7:$O$329,12,0)</f>
        <v>-3</v>
      </c>
      <c r="P81" s="179">
        <f>VLOOKUP(A81,'OI(Value)'!A81:O305,8,0)</f>
        <v>1463</v>
      </c>
      <c r="Q81" s="179">
        <f>VLOOKUP(A81,'OI(Value)'!A81:O305,9,0)</f>
        <v>-22</v>
      </c>
      <c r="R81" s="179">
        <f>VLOOKUP(A81,'OI(Value)'!A81:O305,11,0)</f>
        <v>1384</v>
      </c>
      <c r="S81" s="179">
        <f>VLOOKUP(A81,'OI(Value)'!A81:O305,11,0)</f>
        <v>1384</v>
      </c>
    </row>
    <row r="82" spans="1:19" x14ac:dyDescent="0.25">
      <c r="A82" s="105" t="str">
        <f>'Data Vlaue (Cr)'!C77</f>
        <v>HAVELLS</v>
      </c>
      <c r="B82" s="143">
        <f>VLOOKUP($A82,'Data shares'!$C:$FA,118)</f>
        <v>0.42</v>
      </c>
      <c r="C82" s="143">
        <f>VLOOKUP($A82,'Data shares'!$C:$FA,119)</f>
        <v>0.48</v>
      </c>
      <c r="D82" s="143">
        <f>VLOOKUP($A82,'Data shares'!$C:$FA,121)*100</f>
        <v>-12.5</v>
      </c>
      <c r="E82" s="143">
        <f>VLOOKUP($A82,'Data shares'!$C:$FA,124)</f>
        <v>0.61</v>
      </c>
      <c r="F82" s="143">
        <f>VLOOKUP($A82,'Data shares'!$C:$FA,125)</f>
        <v>0.41</v>
      </c>
      <c r="G82" s="143">
        <f>VLOOKUP($A82,'Data shares'!$C:$FA,127)*100</f>
        <v>48.78</v>
      </c>
      <c r="H82" s="103">
        <f>VLOOKUP($A82,'OI(Volume)'!$A$7:$O$445,8)</f>
        <v>14337500</v>
      </c>
      <c r="I82" s="103">
        <f>VLOOKUP($A82,'OI(Volume)'!$A$7:$O$445,9)</f>
        <v>2982000</v>
      </c>
      <c r="J82" s="103">
        <f>VLOOKUP($A82,'OI(Volume)'!$A$7:$O$445,11)</f>
        <v>5956000</v>
      </c>
      <c r="K82" s="103">
        <f>VLOOKUP($A82,'OI(Volume)'!$A$7:$O$445,12)</f>
        <v>529000</v>
      </c>
      <c r="L82" s="103">
        <f>VLOOKUP($A82,'OI(Value)'!$A$7:$O$329,8,0)</f>
        <v>1782</v>
      </c>
      <c r="M82" s="103">
        <f>VLOOKUP($A82,'OI(Value)'!$A$7:$O$329,9,0)</f>
        <v>371</v>
      </c>
      <c r="N82" s="103">
        <f>VLOOKUP($A82,'OI(Value)'!$A$7:$O$329,11,0)</f>
        <v>740</v>
      </c>
      <c r="O82" s="103">
        <f>VLOOKUP($A82,'OI(Value)'!$A$7:$O$329,12,0)</f>
        <v>66</v>
      </c>
      <c r="P82" s="179">
        <f>VLOOKUP(A82,'OI(Value)'!A82:O306,8,0)</f>
        <v>1782</v>
      </c>
      <c r="Q82" s="179">
        <f>VLOOKUP(A82,'OI(Value)'!A82:O306,9,0)</f>
        <v>371</v>
      </c>
      <c r="R82" s="179">
        <f>VLOOKUP(A82,'OI(Value)'!A82:O306,11,0)</f>
        <v>740</v>
      </c>
      <c r="S82" s="179">
        <f>VLOOKUP(A82,'OI(Value)'!A82:O306,11,0)</f>
        <v>740</v>
      </c>
    </row>
    <row r="83" spans="1:19" x14ac:dyDescent="0.25">
      <c r="A83" s="105" t="str">
        <f>'Data Vlaue (Cr)'!C78</f>
        <v>HCLTECH</v>
      </c>
      <c r="B83" s="143">
        <f>VLOOKUP($A83,'Data shares'!$C:$FA,118)</f>
        <v>0.44</v>
      </c>
      <c r="C83" s="143">
        <f>VLOOKUP($A83,'Data shares'!$C:$FA,119)</f>
        <v>0.44</v>
      </c>
      <c r="D83" s="143">
        <f>VLOOKUP($A83,'Data shares'!$C:$FA,121)*100</f>
        <v>0</v>
      </c>
      <c r="E83" s="143">
        <f>VLOOKUP($A83,'Data shares'!$C:$FA,124)</f>
        <v>0.37</v>
      </c>
      <c r="F83" s="143">
        <f>VLOOKUP($A83,'Data shares'!$C:$FA,125)</f>
        <v>0.64</v>
      </c>
      <c r="G83" s="143">
        <f>VLOOKUP($A83,'Data shares'!$C:$FA,127)*100</f>
        <v>-42.19</v>
      </c>
      <c r="H83" s="103">
        <f>VLOOKUP($A83,'OI(Volume)'!$A$7:$O$445,8)</f>
        <v>39749500</v>
      </c>
      <c r="I83" s="103">
        <f>VLOOKUP($A83,'OI(Volume)'!$A$7:$O$445,9)</f>
        <v>1983100</v>
      </c>
      <c r="J83" s="103">
        <f>VLOOKUP($A83,'OI(Volume)'!$A$7:$O$445,11)</f>
        <v>17385200</v>
      </c>
      <c r="K83" s="103">
        <f>VLOOKUP($A83,'OI(Volume)'!$A$7:$O$445,12)</f>
        <v>849800</v>
      </c>
      <c r="L83" s="103">
        <f>VLOOKUP($A83,'OI(Value)'!$A$7:$O$329,8,0)</f>
        <v>4960</v>
      </c>
      <c r="M83" s="103">
        <f>VLOOKUP($A83,'OI(Value)'!$A$7:$O$329,9,0)</f>
        <v>247</v>
      </c>
      <c r="N83" s="103">
        <f>VLOOKUP($A83,'OI(Value)'!$A$7:$O$329,11,0)</f>
        <v>2169</v>
      </c>
      <c r="O83" s="103">
        <f>VLOOKUP($A83,'OI(Value)'!$A$7:$O$329,12,0)</f>
        <v>106</v>
      </c>
      <c r="P83" s="179">
        <f>VLOOKUP(A83,'OI(Value)'!A83:O307,8,0)</f>
        <v>4960</v>
      </c>
      <c r="Q83" s="179">
        <f>VLOOKUP(A83,'OI(Value)'!A83:O307,9,0)</f>
        <v>247</v>
      </c>
      <c r="R83" s="179">
        <f>VLOOKUP(A83,'OI(Value)'!A83:O307,11,0)</f>
        <v>2169</v>
      </c>
      <c r="S83" s="179">
        <f>VLOOKUP(A83,'OI(Value)'!A83:O307,11,0)</f>
        <v>2169</v>
      </c>
    </row>
    <row r="84" spans="1:19" x14ac:dyDescent="0.25">
      <c r="A84" s="105" t="str">
        <f>'Data Vlaue (Cr)'!C79</f>
        <v>HDFCAMC</v>
      </c>
      <c r="B84" s="143">
        <f>VLOOKUP($A84,'Data shares'!$C:$FA,118)</f>
        <v>0.82</v>
      </c>
      <c r="C84" s="143">
        <f>VLOOKUP($A84,'Data shares'!$C:$FA,119)</f>
        <v>0.85</v>
      </c>
      <c r="D84" s="143">
        <f>VLOOKUP($A84,'Data shares'!$C:$FA,121)*100</f>
        <v>-3.53</v>
      </c>
      <c r="E84" s="143">
        <f>VLOOKUP($A84,'Data shares'!$C:$FA,124)</f>
        <v>0.91</v>
      </c>
      <c r="F84" s="143">
        <f>VLOOKUP($A84,'Data shares'!$C:$FA,125)</f>
        <v>0.87</v>
      </c>
      <c r="G84" s="143">
        <f>VLOOKUP($A84,'Data shares'!$C:$FA,127)*100</f>
        <v>4.5999999999999996</v>
      </c>
      <c r="H84" s="103">
        <f>VLOOKUP($A84,'OI(Volume)'!$A$7:$O$445,8)</f>
        <v>2029800</v>
      </c>
      <c r="I84" s="103">
        <f>VLOOKUP($A84,'OI(Volume)'!$A$7:$O$445,9)</f>
        <v>-248700</v>
      </c>
      <c r="J84" s="103">
        <f>VLOOKUP($A84,'OI(Volume)'!$A$7:$O$445,11)</f>
        <v>1671600</v>
      </c>
      <c r="K84" s="103">
        <f>VLOOKUP($A84,'OI(Volume)'!$A$7:$O$445,12)</f>
        <v>-261000</v>
      </c>
      <c r="L84" s="103">
        <f>VLOOKUP($A84,'OI(Value)'!$A$7:$O$329,8,0)</f>
        <v>551</v>
      </c>
      <c r="M84" s="103">
        <f>VLOOKUP($A84,'OI(Value)'!$A$7:$O$329,9,0)</f>
        <v>-67</v>
      </c>
      <c r="N84" s="103">
        <f>VLOOKUP($A84,'OI(Value)'!$A$7:$O$329,11,0)</f>
        <v>454</v>
      </c>
      <c r="O84" s="103">
        <f>VLOOKUP($A84,'OI(Value)'!$A$7:$O$329,12,0)</f>
        <v>-71</v>
      </c>
      <c r="P84" s="179">
        <f>VLOOKUP(A84,'OI(Value)'!A84:O308,8,0)</f>
        <v>551</v>
      </c>
      <c r="Q84" s="179">
        <f>VLOOKUP(A84,'OI(Value)'!A84:O308,9,0)</f>
        <v>-67</v>
      </c>
      <c r="R84" s="179">
        <f>VLOOKUP(A84,'OI(Value)'!A84:O308,11,0)</f>
        <v>454</v>
      </c>
      <c r="S84" s="179">
        <f>VLOOKUP(A84,'OI(Value)'!A84:O308,11,0)</f>
        <v>454</v>
      </c>
    </row>
    <row r="85" spans="1:19" x14ac:dyDescent="0.25">
      <c r="A85" s="105" t="str">
        <f>'Data Vlaue (Cr)'!C80</f>
        <v>HDFCBANK</v>
      </c>
      <c r="B85" s="143">
        <f>VLOOKUP($A85,'Data shares'!$C:$FA,118)</f>
        <v>0.51</v>
      </c>
      <c r="C85" s="143">
        <f>VLOOKUP($A85,'Data shares'!$C:$FA,119)</f>
        <v>0.56000000000000005</v>
      </c>
      <c r="D85" s="143">
        <f>VLOOKUP($A85,'Data shares'!$C:$FA,121)*100</f>
        <v>-8.93</v>
      </c>
      <c r="E85" s="143">
        <f>VLOOKUP($A85,'Data shares'!$C:$FA,124)</f>
        <v>0.59</v>
      </c>
      <c r="F85" s="143">
        <f>VLOOKUP($A85,'Data shares'!$C:$FA,125)</f>
        <v>0.65</v>
      </c>
      <c r="G85" s="143">
        <f>VLOOKUP($A85,'Data shares'!$C:$FA,127)*100</f>
        <v>-9.2299999999999986</v>
      </c>
      <c r="H85" s="103">
        <f>VLOOKUP($A85,'OI(Volume)'!$A$7:$O$445,8)</f>
        <v>105068150</v>
      </c>
      <c r="I85" s="103">
        <f>VLOOKUP($A85,'OI(Volume)'!$A$7:$O$445,9)</f>
        <v>9230100</v>
      </c>
      <c r="J85" s="103">
        <f>VLOOKUP($A85,'OI(Volume)'!$A$7:$O$445,11)</f>
        <v>53672850</v>
      </c>
      <c r="K85" s="103">
        <f>VLOOKUP($A85,'OI(Volume)'!$A$7:$O$445,12)</f>
        <v>307450</v>
      </c>
      <c r="L85" s="103">
        <f>VLOOKUP($A85,'OI(Value)'!$A$7:$O$329,8,0)</f>
        <v>8242</v>
      </c>
      <c r="M85" s="103">
        <f>VLOOKUP($A85,'OI(Value)'!$A$7:$O$329,9,0)</f>
        <v>724</v>
      </c>
      <c r="N85" s="103">
        <f>VLOOKUP($A85,'OI(Value)'!$A$7:$O$329,11,0)</f>
        <v>4210</v>
      </c>
      <c r="O85" s="103">
        <f>VLOOKUP($A85,'OI(Value)'!$A$7:$O$329,12,0)</f>
        <v>24</v>
      </c>
      <c r="P85" s="179">
        <f>VLOOKUP(A85,'OI(Value)'!A85:O309,8,0)</f>
        <v>8242</v>
      </c>
      <c r="Q85" s="179">
        <f>VLOOKUP(A85,'OI(Value)'!A85:O309,9,0)</f>
        <v>724</v>
      </c>
      <c r="R85" s="179">
        <f>VLOOKUP(A85,'OI(Value)'!A85:O309,11,0)</f>
        <v>4210</v>
      </c>
      <c r="S85" s="179">
        <f>VLOOKUP(A85,'OI(Value)'!A85:O309,11,0)</f>
        <v>4210</v>
      </c>
    </row>
    <row r="86" spans="1:19" x14ac:dyDescent="0.25">
      <c r="A86" s="105" t="str">
        <f>'Data Vlaue (Cr)'!C81</f>
        <v>HDFCLIFE</v>
      </c>
      <c r="B86" s="143">
        <f>VLOOKUP($A86,'Data shares'!$C:$FA,118)</f>
        <v>0.55000000000000004</v>
      </c>
      <c r="C86" s="143">
        <f>VLOOKUP($A86,'Data shares'!$C:$FA,119)</f>
        <v>0.56999999999999995</v>
      </c>
      <c r="D86" s="143">
        <f>VLOOKUP($A86,'Data shares'!$C:$FA,121)*100</f>
        <v>-3.51</v>
      </c>
      <c r="E86" s="143">
        <f>VLOOKUP($A86,'Data shares'!$C:$FA,124)</f>
        <v>0.44</v>
      </c>
      <c r="F86" s="143">
        <f>VLOOKUP($A86,'Data shares'!$C:$FA,125)</f>
        <v>0.42</v>
      </c>
      <c r="G86" s="143">
        <f>VLOOKUP($A86,'Data shares'!$C:$FA,127)*100</f>
        <v>4.7600000000000007</v>
      </c>
      <c r="H86" s="103">
        <f>VLOOKUP($A86,'OI(Volume)'!$A$7:$O$445,8)</f>
        <v>19900100</v>
      </c>
      <c r="I86" s="103">
        <f>VLOOKUP($A86,'OI(Volume)'!$A$7:$O$445,9)</f>
        <v>-1115400</v>
      </c>
      <c r="J86" s="103">
        <f>VLOOKUP($A86,'OI(Volume)'!$A$7:$O$445,11)</f>
        <v>11008800</v>
      </c>
      <c r="K86" s="103">
        <f>VLOOKUP($A86,'OI(Volume)'!$A$7:$O$445,12)</f>
        <v>-933900</v>
      </c>
      <c r="L86" s="103">
        <f>VLOOKUP($A86,'OI(Value)'!$A$7:$O$329,8,0)</f>
        <v>1192</v>
      </c>
      <c r="M86" s="103">
        <f>VLOOKUP($A86,'OI(Value)'!$A$7:$O$329,9,0)</f>
        <v>-67</v>
      </c>
      <c r="N86" s="103">
        <f>VLOOKUP($A86,'OI(Value)'!$A$7:$O$329,11,0)</f>
        <v>659</v>
      </c>
      <c r="O86" s="103">
        <f>VLOOKUP($A86,'OI(Value)'!$A$7:$O$329,12,0)</f>
        <v>-56</v>
      </c>
      <c r="P86" s="179">
        <f>VLOOKUP(A86,'OI(Value)'!A86:O310,8,0)</f>
        <v>1192</v>
      </c>
      <c r="Q86" s="179">
        <f>VLOOKUP(A86,'OI(Value)'!A86:O310,9,0)</f>
        <v>-67</v>
      </c>
      <c r="R86" s="179">
        <f>VLOOKUP(A86,'OI(Value)'!A86:O310,11,0)</f>
        <v>659</v>
      </c>
      <c r="S86" s="179">
        <f>VLOOKUP(A86,'OI(Value)'!A86:O310,11,0)</f>
        <v>659</v>
      </c>
    </row>
    <row r="87" spans="1:19" x14ac:dyDescent="0.25">
      <c r="A87" s="105" t="str">
        <f>'Data Vlaue (Cr)'!C82</f>
        <v>HEROMOTOCO</v>
      </c>
      <c r="B87" s="143">
        <f>VLOOKUP($A87,'Data shares'!$C:$FA,118)</f>
        <v>0.44</v>
      </c>
      <c r="C87" s="143">
        <f>VLOOKUP($A87,'Data shares'!$C:$FA,119)</f>
        <v>0.55000000000000004</v>
      </c>
      <c r="D87" s="143">
        <f>VLOOKUP($A87,'Data shares'!$C:$FA,121)*100</f>
        <v>-20</v>
      </c>
      <c r="E87" s="143">
        <f>VLOOKUP($A87,'Data shares'!$C:$FA,124)</f>
        <v>0.43</v>
      </c>
      <c r="F87" s="143">
        <f>VLOOKUP($A87,'Data shares'!$C:$FA,125)</f>
        <v>0.37</v>
      </c>
      <c r="G87" s="143">
        <f>VLOOKUP($A87,'Data shares'!$C:$FA,127)*100</f>
        <v>16.220000000000002</v>
      </c>
      <c r="H87" s="103">
        <f>VLOOKUP($A87,'OI(Volume)'!$A$7:$O$445,8)</f>
        <v>2998800</v>
      </c>
      <c r="I87" s="103">
        <f>VLOOKUP($A87,'OI(Volume)'!$A$7:$O$445,9)</f>
        <v>460350</v>
      </c>
      <c r="J87" s="103">
        <f>VLOOKUP($A87,'OI(Volume)'!$A$7:$O$445,11)</f>
        <v>1333350</v>
      </c>
      <c r="K87" s="103">
        <f>VLOOKUP($A87,'OI(Volume)'!$A$7:$O$445,12)</f>
        <v>-55050</v>
      </c>
      <c r="L87" s="103">
        <f>VLOOKUP($A87,'OI(Value)'!$A$7:$O$329,8,0)</f>
        <v>1510</v>
      </c>
      <c r="M87" s="103">
        <f>VLOOKUP($A87,'OI(Value)'!$A$7:$O$329,9,0)</f>
        <v>232</v>
      </c>
      <c r="N87" s="103">
        <f>VLOOKUP($A87,'OI(Value)'!$A$7:$O$329,11,0)</f>
        <v>671</v>
      </c>
      <c r="O87" s="103">
        <f>VLOOKUP($A87,'OI(Value)'!$A$7:$O$329,12,0)</f>
        <v>-28</v>
      </c>
      <c r="P87" s="179">
        <f>VLOOKUP(A87,'OI(Value)'!A87:O311,8,0)</f>
        <v>1510</v>
      </c>
      <c r="Q87" s="179">
        <f>VLOOKUP(A87,'OI(Value)'!A87:O311,9,0)</f>
        <v>232</v>
      </c>
      <c r="R87" s="179">
        <f>VLOOKUP(A87,'OI(Value)'!A87:O311,11,0)</f>
        <v>671</v>
      </c>
      <c r="S87" s="179">
        <f>VLOOKUP(A87,'OI(Value)'!A87:O311,11,0)</f>
        <v>671</v>
      </c>
    </row>
    <row r="88" spans="1:19" x14ac:dyDescent="0.25">
      <c r="A88" s="105" t="str">
        <f>'Data Vlaue (Cr)'!C83</f>
        <v>HINDALCO</v>
      </c>
      <c r="B88" s="143">
        <f>VLOOKUP($A88,'Data shares'!$C:$FA,118)</f>
        <v>0.76</v>
      </c>
      <c r="C88" s="143">
        <f>VLOOKUP($A88,'Data shares'!$C:$FA,119)</f>
        <v>0.79</v>
      </c>
      <c r="D88" s="143">
        <f>VLOOKUP($A88,'Data shares'!$C:$FA,121)*100</f>
        <v>-3.8</v>
      </c>
      <c r="E88" s="143">
        <f>VLOOKUP($A88,'Data shares'!$C:$FA,124)</f>
        <v>0.55000000000000004</v>
      </c>
      <c r="F88" s="143">
        <f>VLOOKUP($A88,'Data shares'!$C:$FA,125)</f>
        <v>0.46</v>
      </c>
      <c r="G88" s="143">
        <f>VLOOKUP($A88,'Data shares'!$C:$FA,127)*100</f>
        <v>19.57</v>
      </c>
      <c r="H88" s="103">
        <f>VLOOKUP($A88,'OI(Volume)'!$A$7:$O$445,8)</f>
        <v>15260700</v>
      </c>
      <c r="I88" s="103">
        <f>VLOOKUP($A88,'OI(Volume)'!$A$7:$O$445,9)</f>
        <v>85400</v>
      </c>
      <c r="J88" s="103">
        <f>VLOOKUP($A88,'OI(Volume)'!$A$7:$O$445,11)</f>
        <v>11556300</v>
      </c>
      <c r="K88" s="103">
        <f>VLOOKUP($A88,'OI(Volume)'!$A$7:$O$445,12)</f>
        <v>-382200</v>
      </c>
      <c r="L88" s="103">
        <f>VLOOKUP($A88,'OI(Value)'!$A$7:$O$329,8,0)</f>
        <v>1586</v>
      </c>
      <c r="M88" s="103">
        <f>VLOOKUP($A88,'OI(Value)'!$A$7:$O$329,9,0)</f>
        <v>9</v>
      </c>
      <c r="N88" s="103">
        <f>VLOOKUP($A88,'OI(Value)'!$A$7:$O$329,11,0)</f>
        <v>1201</v>
      </c>
      <c r="O88" s="103">
        <f>VLOOKUP($A88,'OI(Value)'!$A$7:$O$329,12,0)</f>
        <v>-40</v>
      </c>
      <c r="P88" s="179">
        <f>VLOOKUP(A88,'OI(Value)'!A88:O312,8,0)</f>
        <v>1586</v>
      </c>
      <c r="Q88" s="179">
        <f>VLOOKUP(A88,'OI(Value)'!A88:O312,9,0)</f>
        <v>9</v>
      </c>
      <c r="R88" s="179">
        <f>VLOOKUP(A88,'OI(Value)'!A88:O312,11,0)</f>
        <v>1201</v>
      </c>
      <c r="S88" s="179">
        <f>VLOOKUP(A88,'OI(Value)'!A88:O312,11,0)</f>
        <v>1201</v>
      </c>
    </row>
    <row r="89" spans="1:19" x14ac:dyDescent="0.25">
      <c r="A89" s="105" t="str">
        <f>'Data Vlaue (Cr)'!C84</f>
        <v>HINDPETRO</v>
      </c>
      <c r="B89" s="143">
        <f>VLOOKUP($A89,'Data shares'!$C:$FA,118)</f>
        <v>0.96</v>
      </c>
      <c r="C89" s="143">
        <f>VLOOKUP($A89,'Data shares'!$C:$FA,119)</f>
        <v>1.02</v>
      </c>
      <c r="D89" s="143">
        <f>VLOOKUP($A89,'Data shares'!$C:$FA,121)*100</f>
        <v>-5.88</v>
      </c>
      <c r="E89" s="143">
        <f>VLOOKUP($A89,'Data shares'!$C:$FA,124)</f>
        <v>1.08</v>
      </c>
      <c r="F89" s="143">
        <f>VLOOKUP($A89,'Data shares'!$C:$FA,125)</f>
        <v>0.8</v>
      </c>
      <c r="G89" s="143">
        <f>VLOOKUP($A89,'Data shares'!$C:$FA,127)*100</f>
        <v>35</v>
      </c>
      <c r="H89" s="103">
        <f>VLOOKUP($A89,'OI(Volume)'!$A$7:$O$445,8)</f>
        <v>18160200</v>
      </c>
      <c r="I89" s="103">
        <f>VLOOKUP($A89,'OI(Volume)'!$A$7:$O$445,9)</f>
        <v>50625</v>
      </c>
      <c r="J89" s="103">
        <f>VLOOKUP($A89,'OI(Volume)'!$A$7:$O$445,11)</f>
        <v>17491950</v>
      </c>
      <c r="K89" s="103">
        <f>VLOOKUP($A89,'OI(Volume)'!$A$7:$O$445,12)</f>
        <v>-1042875</v>
      </c>
      <c r="L89" s="103">
        <f>VLOOKUP($A89,'OI(Value)'!$A$7:$O$329,8,0)</f>
        <v>684</v>
      </c>
      <c r="M89" s="103">
        <f>VLOOKUP($A89,'OI(Value)'!$A$7:$O$329,9,0)</f>
        <v>2</v>
      </c>
      <c r="N89" s="103">
        <f>VLOOKUP($A89,'OI(Value)'!$A$7:$O$329,11,0)</f>
        <v>659</v>
      </c>
      <c r="O89" s="103">
        <f>VLOOKUP($A89,'OI(Value)'!$A$7:$O$329,12,0)</f>
        <v>-39</v>
      </c>
      <c r="P89" s="179">
        <f>VLOOKUP(A89,'OI(Value)'!A89:O313,8,0)</f>
        <v>684</v>
      </c>
      <c r="Q89" s="179">
        <f>VLOOKUP(A89,'OI(Value)'!A89:O313,9,0)</f>
        <v>2</v>
      </c>
      <c r="R89" s="179">
        <f>VLOOKUP(A89,'OI(Value)'!A89:O313,11,0)</f>
        <v>659</v>
      </c>
      <c r="S89" s="179">
        <f>VLOOKUP(A89,'OI(Value)'!A89:O313,11,0)</f>
        <v>659</v>
      </c>
    </row>
    <row r="90" spans="1:19" x14ac:dyDescent="0.25">
      <c r="A90" s="105" t="str">
        <f>'Data Vlaue (Cr)'!C85</f>
        <v>HINDUNILVR</v>
      </c>
      <c r="B90" s="143">
        <f>VLOOKUP($A90,'Data shares'!$C:$FA,118)</f>
        <v>0.76</v>
      </c>
      <c r="C90" s="143">
        <f>VLOOKUP($A90,'Data shares'!$C:$FA,119)</f>
        <v>0.79</v>
      </c>
      <c r="D90" s="143">
        <f>VLOOKUP($A90,'Data shares'!$C:$FA,121)*100</f>
        <v>-3.8</v>
      </c>
      <c r="E90" s="143">
        <f>VLOOKUP($A90,'Data shares'!$C:$FA,124)</f>
        <v>0.61</v>
      </c>
      <c r="F90" s="143">
        <f>VLOOKUP($A90,'Data shares'!$C:$FA,125)</f>
        <v>0.46</v>
      </c>
      <c r="G90" s="143">
        <f>VLOOKUP($A90,'Data shares'!$C:$FA,127)*100</f>
        <v>32.61</v>
      </c>
      <c r="H90" s="103">
        <f>VLOOKUP($A90,'OI(Volume)'!$A$7:$O$445,8)</f>
        <v>9144000</v>
      </c>
      <c r="I90" s="103">
        <f>VLOOKUP($A90,'OI(Volume)'!$A$7:$O$445,9)</f>
        <v>257400</v>
      </c>
      <c r="J90" s="103">
        <f>VLOOKUP($A90,'OI(Volume)'!$A$7:$O$445,11)</f>
        <v>6976500</v>
      </c>
      <c r="K90" s="103">
        <f>VLOOKUP($A90,'OI(Volume)'!$A$7:$O$445,12)</f>
        <v>-30300</v>
      </c>
      <c r="L90" s="103">
        <f>VLOOKUP($A90,'OI(Value)'!$A$7:$O$329,8,0)</f>
        <v>2162</v>
      </c>
      <c r="M90" s="103">
        <f>VLOOKUP($A90,'OI(Value)'!$A$7:$O$329,9,0)</f>
        <v>61</v>
      </c>
      <c r="N90" s="103">
        <f>VLOOKUP($A90,'OI(Value)'!$A$7:$O$329,11,0)</f>
        <v>1650</v>
      </c>
      <c r="O90" s="103">
        <f>VLOOKUP($A90,'OI(Value)'!$A$7:$O$329,12,0)</f>
        <v>-7</v>
      </c>
      <c r="P90" s="179">
        <f>VLOOKUP(A90,'OI(Value)'!A90:O314,8,0)</f>
        <v>2162</v>
      </c>
      <c r="Q90" s="179">
        <f>VLOOKUP(A90,'OI(Value)'!A90:O314,9,0)</f>
        <v>61</v>
      </c>
      <c r="R90" s="179">
        <f>VLOOKUP(A90,'OI(Value)'!A90:O314,11,0)</f>
        <v>1650</v>
      </c>
      <c r="S90" s="179">
        <f>VLOOKUP(A90,'OI(Value)'!A90:O314,11,0)</f>
        <v>1650</v>
      </c>
    </row>
    <row r="91" spans="1:19" x14ac:dyDescent="0.25">
      <c r="A91" s="105" t="str">
        <f>'Data Vlaue (Cr)'!C86</f>
        <v>HINDZINC</v>
      </c>
      <c r="B91" s="143">
        <f>VLOOKUP($A91,'Data shares'!$C:$FA,118)</f>
        <v>0.73</v>
      </c>
      <c r="C91" s="143">
        <f>VLOOKUP($A91,'Data shares'!$C:$FA,119)</f>
        <v>0.8</v>
      </c>
      <c r="D91" s="143">
        <f>VLOOKUP($A91,'Data shares'!$C:$FA,121)*100</f>
        <v>-8.75</v>
      </c>
      <c r="E91" s="143">
        <f>VLOOKUP($A91,'Data shares'!$C:$FA,124)</f>
        <v>0.47</v>
      </c>
      <c r="F91" s="143">
        <f>VLOOKUP($A91,'Data shares'!$C:$FA,125)</f>
        <v>0.39</v>
      </c>
      <c r="G91" s="143">
        <f>VLOOKUP($A91,'Data shares'!$C:$FA,127)*100</f>
        <v>20.51</v>
      </c>
      <c r="H91" s="103">
        <f>VLOOKUP($A91,'OI(Volume)'!$A$7:$O$445,8)</f>
        <v>23185575</v>
      </c>
      <c r="I91" s="103">
        <f>VLOOKUP($A91,'OI(Volume)'!$A$7:$O$445,9)</f>
        <v>1828925</v>
      </c>
      <c r="J91" s="103">
        <f>VLOOKUP($A91,'OI(Volume)'!$A$7:$O$445,11)</f>
        <v>16887850</v>
      </c>
      <c r="K91" s="103">
        <f>VLOOKUP($A91,'OI(Volume)'!$A$7:$O$445,12)</f>
        <v>-271950</v>
      </c>
      <c r="L91" s="103">
        <f>VLOOKUP($A91,'OI(Value)'!$A$7:$O$329,8,0)</f>
        <v>1377</v>
      </c>
      <c r="M91" s="103">
        <f>VLOOKUP($A91,'OI(Value)'!$A$7:$O$329,9,0)</f>
        <v>109</v>
      </c>
      <c r="N91" s="103">
        <f>VLOOKUP($A91,'OI(Value)'!$A$7:$O$329,11,0)</f>
        <v>1003</v>
      </c>
      <c r="O91" s="103">
        <f>VLOOKUP($A91,'OI(Value)'!$A$7:$O$329,12,0)</f>
        <v>-16</v>
      </c>
      <c r="P91" s="179">
        <f>VLOOKUP(A91,'OI(Value)'!A91:O315,8,0)</f>
        <v>1377</v>
      </c>
      <c r="Q91" s="179">
        <f>VLOOKUP(A91,'OI(Value)'!A91:O315,9,0)</f>
        <v>109</v>
      </c>
      <c r="R91" s="179">
        <f>VLOOKUP(A91,'OI(Value)'!A91:O315,11,0)</f>
        <v>1003</v>
      </c>
      <c r="S91" s="179">
        <f>VLOOKUP(A91,'OI(Value)'!A91:O315,11,0)</f>
        <v>1003</v>
      </c>
    </row>
    <row r="92" spans="1:19" x14ac:dyDescent="0.25">
      <c r="A92" s="105" t="str">
        <f>'Data Vlaue (Cr)'!C87</f>
        <v>HUDCO</v>
      </c>
      <c r="B92" s="143">
        <f>VLOOKUP($A92,'Data shares'!$C:$FA,118)</f>
        <v>0.96</v>
      </c>
      <c r="C92" s="143">
        <f>VLOOKUP($A92,'Data shares'!$C:$FA,119)</f>
        <v>0.81</v>
      </c>
      <c r="D92" s="143">
        <f>VLOOKUP($A92,'Data shares'!$C:$FA,121)*100</f>
        <v>18.52</v>
      </c>
      <c r="E92" s="143">
        <f>VLOOKUP($A92,'Data shares'!$C:$FA,124)</f>
        <v>0.45</v>
      </c>
      <c r="F92" s="143">
        <f>VLOOKUP($A92,'Data shares'!$C:$FA,125)</f>
        <v>0.34</v>
      </c>
      <c r="G92" s="143">
        <f>VLOOKUP($A92,'Data shares'!$C:$FA,127)*100</f>
        <v>32.35</v>
      </c>
      <c r="H92" s="103">
        <f>VLOOKUP($A92,'OI(Volume)'!$A$7:$O$445,8)</f>
        <v>12898200</v>
      </c>
      <c r="I92" s="103">
        <f>VLOOKUP($A92,'OI(Volume)'!$A$7:$O$445,9)</f>
        <v>-455100</v>
      </c>
      <c r="J92" s="103">
        <f>VLOOKUP($A92,'OI(Volume)'!$A$7:$O$445,11)</f>
        <v>12354300</v>
      </c>
      <c r="K92" s="103">
        <f>VLOOKUP($A92,'OI(Volume)'!$A$7:$O$445,12)</f>
        <v>1529025</v>
      </c>
      <c r="L92" s="103">
        <f>VLOOKUP($A92,'OI(Value)'!$A$7:$O$329,8,0)</f>
        <v>264</v>
      </c>
      <c r="M92" s="103">
        <f>VLOOKUP($A92,'OI(Value)'!$A$7:$O$329,9,0)</f>
        <v>-9</v>
      </c>
      <c r="N92" s="103">
        <f>VLOOKUP($A92,'OI(Value)'!$A$7:$O$329,11,0)</f>
        <v>253</v>
      </c>
      <c r="O92" s="103">
        <f>VLOOKUP($A92,'OI(Value)'!$A$7:$O$329,12,0)</f>
        <v>31</v>
      </c>
      <c r="P92" s="179">
        <f>VLOOKUP(A92,'OI(Value)'!A92:O316,8,0)</f>
        <v>264</v>
      </c>
      <c r="Q92" s="179">
        <f>VLOOKUP(A92,'OI(Value)'!A92:O316,9,0)</f>
        <v>-9</v>
      </c>
      <c r="R92" s="179">
        <f>VLOOKUP(A92,'OI(Value)'!A92:O316,11,0)</f>
        <v>253</v>
      </c>
      <c r="S92" s="179">
        <f>VLOOKUP(A92,'OI(Value)'!A92:O316,11,0)</f>
        <v>253</v>
      </c>
    </row>
    <row r="93" spans="1:19" x14ac:dyDescent="0.25">
      <c r="A93" s="105" t="str">
        <f>'Data Vlaue (Cr)'!C88</f>
        <v>HYUNDAI</v>
      </c>
      <c r="B93" s="143">
        <f>VLOOKUP($A93,'Data shares'!$C:$FA,118)</f>
        <v>0.55000000000000004</v>
      </c>
      <c r="C93" s="143">
        <f>VLOOKUP($A93,'Data shares'!$C:$FA,119)</f>
        <v>0.68</v>
      </c>
      <c r="D93" s="143">
        <f>VLOOKUP($A93,'Data shares'!$C:$FA,121)*100</f>
        <v>-19.12</v>
      </c>
      <c r="E93" s="143">
        <f>VLOOKUP($A93,'Data shares'!$C:$FA,124)</f>
        <v>0.34</v>
      </c>
      <c r="F93" s="143">
        <f>VLOOKUP($A93,'Data shares'!$C:$FA,125)</f>
        <v>0.27</v>
      </c>
      <c r="G93" s="143">
        <f>VLOOKUP($A93,'Data shares'!$C:$FA,127)*100</f>
        <v>25.929999999999996</v>
      </c>
      <c r="H93" s="103">
        <f>VLOOKUP($A93,'OI(Volume)'!$A$7:$O$445,8)</f>
        <v>1062600</v>
      </c>
      <c r="I93" s="103">
        <f>VLOOKUP($A93,'OI(Volume)'!$A$7:$O$445,9)</f>
        <v>65175</v>
      </c>
      <c r="J93" s="103">
        <f>VLOOKUP($A93,'OI(Volume)'!$A$7:$O$445,11)</f>
        <v>587675</v>
      </c>
      <c r="K93" s="103">
        <f>VLOOKUP($A93,'OI(Volume)'!$A$7:$O$445,12)</f>
        <v>-88275</v>
      </c>
      <c r="L93" s="103">
        <f>VLOOKUP($A93,'OI(Value)'!$A$7:$O$329,8,0)</f>
        <v>196</v>
      </c>
      <c r="M93" s="103">
        <f>VLOOKUP($A93,'OI(Value)'!$A$7:$O$329,9,0)</f>
        <v>12</v>
      </c>
      <c r="N93" s="103">
        <f>VLOOKUP($A93,'OI(Value)'!$A$7:$O$329,11,0)</f>
        <v>109</v>
      </c>
      <c r="O93" s="103">
        <f>VLOOKUP($A93,'OI(Value)'!$A$7:$O$329,12,0)</f>
        <v>-16</v>
      </c>
      <c r="P93" s="179">
        <f>VLOOKUP(A93,'OI(Value)'!A93:O317,8,0)</f>
        <v>196</v>
      </c>
      <c r="Q93" s="179">
        <f>VLOOKUP(A93,'OI(Value)'!A93:O317,9,0)</f>
        <v>12</v>
      </c>
      <c r="R93" s="179">
        <f>VLOOKUP(A93,'OI(Value)'!A93:O317,11,0)</f>
        <v>109</v>
      </c>
      <c r="S93" s="179">
        <f>VLOOKUP(A93,'OI(Value)'!A93:O317,11,0)</f>
        <v>109</v>
      </c>
    </row>
    <row r="94" spans="1:19" x14ac:dyDescent="0.25">
      <c r="A94" s="105" t="str">
        <f>'Data Vlaue (Cr)'!C89</f>
        <v>ICICIBANK</v>
      </c>
      <c r="B94" s="143">
        <f>VLOOKUP($A94,'Data shares'!$C:$FA,118)</f>
        <v>0.77</v>
      </c>
      <c r="C94" s="143">
        <f>VLOOKUP($A94,'Data shares'!$C:$FA,119)</f>
        <v>0.79</v>
      </c>
      <c r="D94" s="143">
        <f>VLOOKUP($A94,'Data shares'!$C:$FA,121)*100</f>
        <v>-2.5299999999999998</v>
      </c>
      <c r="E94" s="143">
        <f>VLOOKUP($A94,'Data shares'!$C:$FA,124)</f>
        <v>0.67</v>
      </c>
      <c r="F94" s="143">
        <f>VLOOKUP($A94,'Data shares'!$C:$FA,125)</f>
        <v>0.71</v>
      </c>
      <c r="G94" s="143">
        <f>VLOOKUP($A94,'Data shares'!$C:$FA,127)*100</f>
        <v>-5.63</v>
      </c>
      <c r="H94" s="103">
        <f>VLOOKUP($A94,'OI(Volume)'!$A$7:$O$445,8)</f>
        <v>28632100</v>
      </c>
      <c r="I94" s="103">
        <f>VLOOKUP($A94,'OI(Volume)'!$A$7:$O$445,9)</f>
        <v>-417200</v>
      </c>
      <c r="J94" s="103">
        <f>VLOOKUP($A94,'OI(Volume)'!$A$7:$O$445,11)</f>
        <v>22106000</v>
      </c>
      <c r="K94" s="103">
        <f>VLOOKUP($A94,'OI(Volume)'!$A$7:$O$445,12)</f>
        <v>-791700</v>
      </c>
      <c r="L94" s="103">
        <f>VLOOKUP($A94,'OI(Value)'!$A$7:$O$329,8,0)</f>
        <v>3857</v>
      </c>
      <c r="M94" s="103">
        <f>VLOOKUP($A94,'OI(Value)'!$A$7:$O$329,9,0)</f>
        <v>-56</v>
      </c>
      <c r="N94" s="103">
        <f>VLOOKUP($A94,'OI(Value)'!$A$7:$O$329,11,0)</f>
        <v>2978</v>
      </c>
      <c r="O94" s="103">
        <f>VLOOKUP($A94,'OI(Value)'!$A$7:$O$329,12,0)</f>
        <v>-107</v>
      </c>
      <c r="P94" s="179">
        <f>VLOOKUP(A94,'OI(Value)'!A94:O318,8,0)</f>
        <v>3857</v>
      </c>
      <c r="Q94" s="179">
        <f>VLOOKUP(A94,'OI(Value)'!A94:O318,9,0)</f>
        <v>-56</v>
      </c>
      <c r="R94" s="179">
        <f>VLOOKUP(A94,'OI(Value)'!A94:O318,11,0)</f>
        <v>2978</v>
      </c>
      <c r="S94" s="179">
        <f>VLOOKUP(A94,'OI(Value)'!A94:O318,11,0)</f>
        <v>2978</v>
      </c>
    </row>
    <row r="95" spans="1:19" x14ac:dyDescent="0.25">
      <c r="A95" s="105" t="str">
        <f>'Data Vlaue (Cr)'!C90</f>
        <v>ICICIGI</v>
      </c>
      <c r="B95" s="143">
        <f>VLOOKUP($A95,'Data shares'!$C:$FA,118)</f>
        <v>0.78</v>
      </c>
      <c r="C95" s="143">
        <f>VLOOKUP($A95,'Data shares'!$C:$FA,119)</f>
        <v>0.81</v>
      </c>
      <c r="D95" s="143">
        <f>VLOOKUP($A95,'Data shares'!$C:$FA,121)*100</f>
        <v>-3.6999999999999997</v>
      </c>
      <c r="E95" s="143">
        <f>VLOOKUP($A95,'Data shares'!$C:$FA,124)</f>
        <v>0.54</v>
      </c>
      <c r="F95" s="143">
        <f>VLOOKUP($A95,'Data shares'!$C:$FA,125)</f>
        <v>0.63</v>
      </c>
      <c r="G95" s="143">
        <f>VLOOKUP($A95,'Data shares'!$C:$FA,127)*100</f>
        <v>-14.29</v>
      </c>
      <c r="H95" s="103">
        <f>VLOOKUP($A95,'OI(Volume)'!$A$7:$O$445,8)</f>
        <v>1198925</v>
      </c>
      <c r="I95" s="103">
        <f>VLOOKUP($A95,'OI(Volume)'!$A$7:$O$445,9)</f>
        <v>-42250</v>
      </c>
      <c r="J95" s="103">
        <f>VLOOKUP($A95,'OI(Volume)'!$A$7:$O$445,11)</f>
        <v>931775</v>
      </c>
      <c r="K95" s="103">
        <f>VLOOKUP($A95,'OI(Volume)'!$A$7:$O$445,12)</f>
        <v>-72150</v>
      </c>
      <c r="L95" s="103">
        <f>VLOOKUP($A95,'OI(Value)'!$A$7:$O$329,8,0)</f>
        <v>217</v>
      </c>
      <c r="M95" s="103">
        <f>VLOOKUP($A95,'OI(Value)'!$A$7:$O$329,9,0)</f>
        <v>-8</v>
      </c>
      <c r="N95" s="103">
        <f>VLOOKUP($A95,'OI(Value)'!$A$7:$O$329,11,0)</f>
        <v>169</v>
      </c>
      <c r="O95" s="103">
        <f>VLOOKUP($A95,'OI(Value)'!$A$7:$O$329,12,0)</f>
        <v>-13</v>
      </c>
      <c r="P95" s="179">
        <f>VLOOKUP(A95,'OI(Value)'!A95:O319,8,0)</f>
        <v>217</v>
      </c>
      <c r="Q95" s="179">
        <f>VLOOKUP(A95,'OI(Value)'!A95:O319,9,0)</f>
        <v>-8</v>
      </c>
      <c r="R95" s="179">
        <f>VLOOKUP(A95,'OI(Value)'!A95:O319,11,0)</f>
        <v>169</v>
      </c>
      <c r="S95" s="179">
        <f>VLOOKUP(A95,'OI(Value)'!A95:O319,11,0)</f>
        <v>169</v>
      </c>
    </row>
    <row r="96" spans="1:19" x14ac:dyDescent="0.25">
      <c r="A96" s="105" t="str">
        <f>'Data Vlaue (Cr)'!C91</f>
        <v>ICICIPRULI</v>
      </c>
      <c r="B96" s="143">
        <f>VLOOKUP($A96,'Data shares'!$C:$FA,118)</f>
        <v>0.67</v>
      </c>
      <c r="C96" s="143">
        <f>VLOOKUP($A96,'Data shares'!$C:$FA,119)</f>
        <v>0.63</v>
      </c>
      <c r="D96" s="143">
        <f>VLOOKUP($A96,'Data shares'!$C:$FA,121)*100</f>
        <v>6.35</v>
      </c>
      <c r="E96" s="143">
        <f>VLOOKUP($A96,'Data shares'!$C:$FA,124)</f>
        <v>0.51</v>
      </c>
      <c r="F96" s="143">
        <f>VLOOKUP($A96,'Data shares'!$C:$FA,125)</f>
        <v>0.6</v>
      </c>
      <c r="G96" s="143">
        <f>VLOOKUP($A96,'Data shares'!$C:$FA,127)*100</f>
        <v>-15</v>
      </c>
      <c r="H96" s="103">
        <f>VLOOKUP($A96,'OI(Volume)'!$A$7:$O$445,8)</f>
        <v>7560950</v>
      </c>
      <c r="I96" s="103">
        <f>VLOOKUP($A96,'OI(Volume)'!$A$7:$O$445,9)</f>
        <v>-276575</v>
      </c>
      <c r="J96" s="103">
        <f>VLOOKUP($A96,'OI(Volume)'!$A$7:$O$445,11)</f>
        <v>5099525</v>
      </c>
      <c r="K96" s="103">
        <f>VLOOKUP($A96,'OI(Volume)'!$A$7:$O$445,12)</f>
        <v>196100</v>
      </c>
      <c r="L96" s="103">
        <f>VLOOKUP($A96,'OI(Value)'!$A$7:$O$329,8,0)</f>
        <v>404</v>
      </c>
      <c r="M96" s="103">
        <f>VLOOKUP($A96,'OI(Value)'!$A$7:$O$329,9,0)</f>
        <v>-15</v>
      </c>
      <c r="N96" s="103">
        <f>VLOOKUP($A96,'OI(Value)'!$A$7:$O$329,11,0)</f>
        <v>273</v>
      </c>
      <c r="O96" s="103">
        <f>VLOOKUP($A96,'OI(Value)'!$A$7:$O$329,12,0)</f>
        <v>10</v>
      </c>
      <c r="P96" s="179">
        <f>VLOOKUP(A96,'OI(Value)'!A96:O320,8,0)</f>
        <v>404</v>
      </c>
      <c r="Q96" s="179">
        <f>VLOOKUP(A96,'OI(Value)'!A96:O320,9,0)</f>
        <v>-15</v>
      </c>
      <c r="R96" s="179">
        <f>VLOOKUP(A96,'OI(Value)'!A96:O320,11,0)</f>
        <v>273</v>
      </c>
      <c r="S96" s="179">
        <f>VLOOKUP(A96,'OI(Value)'!A96:O320,11,0)</f>
        <v>273</v>
      </c>
    </row>
    <row r="97" spans="1:19" x14ac:dyDescent="0.25">
      <c r="A97" s="105" t="str">
        <f>'Data Vlaue (Cr)'!C92</f>
        <v>IDEA</v>
      </c>
      <c r="B97" s="143">
        <f>VLOOKUP($A97,'Data shares'!$C:$FA,118)</f>
        <v>0.49</v>
      </c>
      <c r="C97" s="143">
        <f>VLOOKUP($A97,'Data shares'!$C:$FA,119)</f>
        <v>0.5</v>
      </c>
      <c r="D97" s="143">
        <f>VLOOKUP($A97,'Data shares'!$C:$FA,121)*100</f>
        <v>-2</v>
      </c>
      <c r="E97" s="143">
        <f>VLOOKUP($A97,'Data shares'!$C:$FA,124)</f>
        <v>0.36</v>
      </c>
      <c r="F97" s="143">
        <f>VLOOKUP($A97,'Data shares'!$C:$FA,125)</f>
        <v>0.3</v>
      </c>
      <c r="G97" s="143">
        <f>VLOOKUP($A97,'Data shares'!$C:$FA,127)*100</f>
        <v>20</v>
      </c>
      <c r="H97" s="103">
        <f>VLOOKUP($A97,'OI(Volume)'!$A$7:$O$445,8)</f>
        <v>1502547450</v>
      </c>
      <c r="I97" s="103">
        <f>VLOOKUP($A97,'OI(Volume)'!$A$7:$O$445,9)</f>
        <v>4574400</v>
      </c>
      <c r="J97" s="103">
        <f>VLOOKUP($A97,'OI(Volume)'!$A$7:$O$445,11)</f>
        <v>737693475</v>
      </c>
      <c r="K97" s="103">
        <f>VLOOKUP($A97,'OI(Volume)'!$A$7:$O$445,12)</f>
        <v>-13222875</v>
      </c>
      <c r="L97" s="103">
        <f>VLOOKUP($A97,'OI(Value)'!$A$7:$O$329,8,0)</f>
        <v>1438</v>
      </c>
      <c r="M97" s="103">
        <f>VLOOKUP($A97,'OI(Value)'!$A$7:$O$329,9,0)</f>
        <v>4</v>
      </c>
      <c r="N97" s="103">
        <f>VLOOKUP($A97,'OI(Value)'!$A$7:$O$329,11,0)</f>
        <v>706</v>
      </c>
      <c r="O97" s="103">
        <f>VLOOKUP($A97,'OI(Value)'!$A$7:$O$329,12,0)</f>
        <v>-13</v>
      </c>
      <c r="P97" s="179">
        <f>VLOOKUP(A97,'OI(Value)'!A97:O321,8,0)</f>
        <v>1438</v>
      </c>
      <c r="Q97" s="179">
        <f>VLOOKUP(A97,'OI(Value)'!A97:O321,9,0)</f>
        <v>4</v>
      </c>
      <c r="R97" s="179">
        <f>VLOOKUP(A97,'OI(Value)'!A97:O321,11,0)</f>
        <v>706</v>
      </c>
      <c r="S97" s="179">
        <f>VLOOKUP(A97,'OI(Value)'!A97:O321,11,0)</f>
        <v>706</v>
      </c>
    </row>
    <row r="98" spans="1:19" x14ac:dyDescent="0.25">
      <c r="A98" s="105" t="str">
        <f>'Data Vlaue (Cr)'!C93</f>
        <v>IDFCFIRSTB</v>
      </c>
      <c r="B98" s="143">
        <f>VLOOKUP($A98,'Data shares'!$C:$FA,118)</f>
        <v>0.92</v>
      </c>
      <c r="C98" s="143">
        <f>VLOOKUP($A98,'Data shares'!$C:$FA,119)</f>
        <v>0.96</v>
      </c>
      <c r="D98" s="143">
        <f>VLOOKUP($A98,'Data shares'!$C:$FA,121)*100</f>
        <v>-4.17</v>
      </c>
      <c r="E98" s="143">
        <f>VLOOKUP($A98,'Data shares'!$C:$FA,124)</f>
        <v>0.89</v>
      </c>
      <c r="F98" s="143">
        <f>VLOOKUP($A98,'Data shares'!$C:$FA,125)</f>
        <v>1.1000000000000001</v>
      </c>
      <c r="G98" s="143">
        <f>VLOOKUP($A98,'Data shares'!$C:$FA,127)*100</f>
        <v>-19.09</v>
      </c>
      <c r="H98" s="103">
        <f>VLOOKUP($A98,'OI(Volume)'!$A$7:$O$445,8)</f>
        <v>128097025</v>
      </c>
      <c r="I98" s="103">
        <f>VLOOKUP($A98,'OI(Volume)'!$A$7:$O$445,9)</f>
        <v>2188900</v>
      </c>
      <c r="J98" s="103">
        <f>VLOOKUP($A98,'OI(Volume)'!$A$7:$O$445,11)</f>
        <v>117959450</v>
      </c>
      <c r="K98" s="103">
        <f>VLOOKUP($A98,'OI(Volume)'!$A$7:$O$445,12)</f>
        <v>-2300200</v>
      </c>
      <c r="L98" s="103">
        <f>VLOOKUP($A98,'OI(Value)'!$A$7:$O$329,8,0)</f>
        <v>867</v>
      </c>
      <c r="M98" s="103">
        <f>VLOOKUP($A98,'OI(Value)'!$A$7:$O$329,9,0)</f>
        <v>15</v>
      </c>
      <c r="N98" s="103">
        <f>VLOOKUP($A98,'OI(Value)'!$A$7:$O$329,11,0)</f>
        <v>799</v>
      </c>
      <c r="O98" s="103">
        <f>VLOOKUP($A98,'OI(Value)'!$A$7:$O$329,12,0)</f>
        <v>-16</v>
      </c>
      <c r="P98" s="179">
        <f>VLOOKUP(A98,'OI(Value)'!A98:O322,8,0)</f>
        <v>867</v>
      </c>
      <c r="Q98" s="179">
        <f>VLOOKUP(A98,'OI(Value)'!A98:O322,9,0)</f>
        <v>15</v>
      </c>
      <c r="R98" s="179">
        <f>VLOOKUP(A98,'OI(Value)'!A98:O322,11,0)</f>
        <v>799</v>
      </c>
      <c r="S98" s="179">
        <f>VLOOKUP(A98,'OI(Value)'!A98:O322,11,0)</f>
        <v>799</v>
      </c>
    </row>
    <row r="99" spans="1:19" x14ac:dyDescent="0.25">
      <c r="A99" s="105" t="str">
        <f>'Data Vlaue (Cr)'!C94</f>
        <v>IEX</v>
      </c>
      <c r="B99" s="143">
        <f>VLOOKUP($A99,'Data shares'!$C:$FA,118)</f>
        <v>0.76</v>
      </c>
      <c r="C99" s="143">
        <f>VLOOKUP($A99,'Data shares'!$C:$FA,119)</f>
        <v>0.74</v>
      </c>
      <c r="D99" s="143">
        <f>VLOOKUP($A99,'Data shares'!$C:$FA,121)*100</f>
        <v>2.7</v>
      </c>
      <c r="E99" s="143">
        <f>VLOOKUP($A99,'Data shares'!$C:$FA,124)</f>
        <v>0.46</v>
      </c>
      <c r="F99" s="143">
        <f>VLOOKUP($A99,'Data shares'!$C:$FA,125)</f>
        <v>0.65</v>
      </c>
      <c r="G99" s="143">
        <f>VLOOKUP($A99,'Data shares'!$C:$FA,127)*100</f>
        <v>-29.23</v>
      </c>
      <c r="H99" s="103">
        <f>VLOOKUP($A99,'OI(Volume)'!$A$7:$O$445,8)</f>
        <v>60686250</v>
      </c>
      <c r="I99" s="103">
        <f>VLOOKUP($A99,'OI(Volume)'!$A$7:$O$445,9)</f>
        <v>5846250</v>
      </c>
      <c r="J99" s="103">
        <f>VLOOKUP($A99,'OI(Volume)'!$A$7:$O$445,11)</f>
        <v>45975000</v>
      </c>
      <c r="K99" s="103">
        <f>VLOOKUP($A99,'OI(Volume)'!$A$7:$O$445,12)</f>
        <v>5490000</v>
      </c>
      <c r="L99" s="103">
        <f>VLOOKUP($A99,'OI(Value)'!$A$7:$O$329,8,0)</f>
        <v>774</v>
      </c>
      <c r="M99" s="103">
        <f>VLOOKUP($A99,'OI(Value)'!$A$7:$O$329,9,0)</f>
        <v>75</v>
      </c>
      <c r="N99" s="103">
        <f>VLOOKUP($A99,'OI(Value)'!$A$7:$O$329,11,0)</f>
        <v>586</v>
      </c>
      <c r="O99" s="103">
        <f>VLOOKUP($A99,'OI(Value)'!$A$7:$O$329,12,0)</f>
        <v>70</v>
      </c>
      <c r="P99" s="179">
        <f>VLOOKUP(A99,'OI(Value)'!A99:O323,8,0)</f>
        <v>774</v>
      </c>
      <c r="Q99" s="179">
        <f>VLOOKUP(A99,'OI(Value)'!A99:O323,9,0)</f>
        <v>75</v>
      </c>
      <c r="R99" s="179">
        <f>VLOOKUP(A99,'OI(Value)'!A99:O323,11,0)</f>
        <v>586</v>
      </c>
      <c r="S99" s="179">
        <f>VLOOKUP(A99,'OI(Value)'!A99:O323,11,0)</f>
        <v>586</v>
      </c>
    </row>
    <row r="100" spans="1:19" x14ac:dyDescent="0.25">
      <c r="A100" s="105" t="str">
        <f>'Data Vlaue (Cr)'!C95</f>
        <v>INDHOTEL</v>
      </c>
      <c r="B100" s="143">
        <f>VLOOKUP($A100,'Data shares'!$C:$FA,118)</f>
        <v>0.97</v>
      </c>
      <c r="C100" s="143">
        <f>VLOOKUP($A100,'Data shares'!$C:$FA,119)</f>
        <v>0.94</v>
      </c>
      <c r="D100" s="143">
        <f>VLOOKUP($A100,'Data shares'!$C:$FA,121)*100</f>
        <v>3.19</v>
      </c>
      <c r="E100" s="143">
        <f>VLOOKUP($A100,'Data shares'!$C:$FA,124)</f>
        <v>0.76</v>
      </c>
      <c r="F100" s="143">
        <f>VLOOKUP($A100,'Data shares'!$C:$FA,125)</f>
        <v>0.95</v>
      </c>
      <c r="G100" s="143">
        <f>VLOOKUP($A100,'Data shares'!$C:$FA,127)*100</f>
        <v>-20</v>
      </c>
      <c r="H100" s="103">
        <f>VLOOKUP($A100,'OI(Volume)'!$A$7:$O$445,8)</f>
        <v>6242000</v>
      </c>
      <c r="I100" s="103">
        <f>VLOOKUP($A100,'OI(Volume)'!$A$7:$O$445,9)</f>
        <v>-135000</v>
      </c>
      <c r="J100" s="103">
        <f>VLOOKUP($A100,'OI(Volume)'!$A$7:$O$445,11)</f>
        <v>6029000</v>
      </c>
      <c r="K100" s="103">
        <f>VLOOKUP($A100,'OI(Volume)'!$A$7:$O$445,12)</f>
        <v>18000</v>
      </c>
      <c r="L100" s="103">
        <f>VLOOKUP($A100,'OI(Value)'!$A$7:$O$329,8,0)</f>
        <v>399</v>
      </c>
      <c r="M100" s="103">
        <f>VLOOKUP($A100,'OI(Value)'!$A$7:$O$329,9,0)</f>
        <v>-9</v>
      </c>
      <c r="N100" s="103">
        <f>VLOOKUP($A100,'OI(Value)'!$A$7:$O$329,11,0)</f>
        <v>385</v>
      </c>
      <c r="O100" s="103">
        <f>VLOOKUP($A100,'OI(Value)'!$A$7:$O$329,12,0)</f>
        <v>1</v>
      </c>
      <c r="P100" s="179">
        <f>VLOOKUP(A100,'OI(Value)'!A100:O324,8,0)</f>
        <v>399</v>
      </c>
      <c r="Q100" s="179">
        <f>VLOOKUP(A100,'OI(Value)'!A100:O324,9,0)</f>
        <v>-9</v>
      </c>
      <c r="R100" s="179">
        <f>VLOOKUP(A100,'OI(Value)'!A100:O324,11,0)</f>
        <v>385</v>
      </c>
      <c r="S100" s="179">
        <f>VLOOKUP(A100,'OI(Value)'!A100:O324,11,0)</f>
        <v>385</v>
      </c>
    </row>
    <row r="101" spans="1:19" x14ac:dyDescent="0.25">
      <c r="A101" s="105" t="str">
        <f>'Data Vlaue (Cr)'!C96</f>
        <v>INDIANB</v>
      </c>
      <c r="B101" s="143">
        <f>VLOOKUP($A101,'Data shares'!$C:$FA,118)</f>
        <v>0.56000000000000005</v>
      </c>
      <c r="C101" s="143">
        <f>VLOOKUP($A101,'Data shares'!$C:$FA,119)</f>
        <v>0.53</v>
      </c>
      <c r="D101" s="143">
        <f>VLOOKUP($A101,'Data shares'!$C:$FA,121)*100</f>
        <v>5.66</v>
      </c>
      <c r="E101" s="143">
        <f>VLOOKUP($A101,'Data shares'!$C:$FA,124)</f>
        <v>0.46</v>
      </c>
      <c r="F101" s="143">
        <f>VLOOKUP($A101,'Data shares'!$C:$FA,125)</f>
        <v>0.3</v>
      </c>
      <c r="G101" s="143">
        <f>VLOOKUP($A101,'Data shares'!$C:$FA,127)*100</f>
        <v>53.33</v>
      </c>
      <c r="H101" s="103">
        <f>VLOOKUP($A101,'OI(Volume)'!$A$7:$O$445,8)</f>
        <v>6871000</v>
      </c>
      <c r="I101" s="103">
        <f>VLOOKUP($A101,'OI(Volume)'!$A$7:$O$445,9)</f>
        <v>-127000</v>
      </c>
      <c r="J101" s="103">
        <f>VLOOKUP($A101,'OI(Volume)'!$A$7:$O$445,11)</f>
        <v>3825000</v>
      </c>
      <c r="K101" s="103">
        <f>VLOOKUP($A101,'OI(Volume)'!$A$7:$O$445,12)</f>
        <v>124000</v>
      </c>
      <c r="L101" s="103">
        <f>VLOOKUP($A101,'OI(Value)'!$A$7:$O$329,8,0)</f>
        <v>630</v>
      </c>
      <c r="M101" s="103">
        <f>VLOOKUP($A101,'OI(Value)'!$A$7:$O$329,9,0)</f>
        <v>-12</v>
      </c>
      <c r="N101" s="103">
        <f>VLOOKUP($A101,'OI(Value)'!$A$7:$O$329,11,0)</f>
        <v>351</v>
      </c>
      <c r="O101" s="103">
        <f>VLOOKUP($A101,'OI(Value)'!$A$7:$O$329,12,0)</f>
        <v>11</v>
      </c>
      <c r="P101" s="179">
        <f>VLOOKUP(A101,'OI(Value)'!A101:O325,8,0)</f>
        <v>630</v>
      </c>
      <c r="Q101" s="179">
        <f>VLOOKUP(A101,'OI(Value)'!A101:O325,9,0)</f>
        <v>-12</v>
      </c>
      <c r="R101" s="179">
        <f>VLOOKUP(A101,'OI(Value)'!A101:O325,11,0)</f>
        <v>351</v>
      </c>
      <c r="S101" s="179">
        <f>VLOOKUP(A101,'OI(Value)'!A101:O325,11,0)</f>
        <v>351</v>
      </c>
    </row>
    <row r="102" spans="1:19" x14ac:dyDescent="0.25">
      <c r="A102" s="105" t="str">
        <f>'Data Vlaue (Cr)'!C97</f>
        <v>INDIAVIX</v>
      </c>
      <c r="B102" s="143">
        <f>VLOOKUP($A102,'Data shares'!$C:$FA,118)</f>
        <v>0</v>
      </c>
      <c r="C102" s="143">
        <f>VLOOKUP($A102,'Data shares'!$C:$FA,119)</f>
        <v>0</v>
      </c>
      <c r="D102" s="143">
        <f>VLOOKUP($A102,'Data shares'!$C:$FA,121)*100</f>
        <v>0</v>
      </c>
      <c r="E102" s="143">
        <f>VLOOKUP($A102,'Data shares'!$C:$FA,124)</f>
        <v>0</v>
      </c>
      <c r="F102" s="143">
        <f>VLOOKUP($A102,'Data shares'!$C:$FA,125)</f>
        <v>0</v>
      </c>
      <c r="G102" s="143">
        <f>VLOOKUP($A102,'Data shares'!$C:$FA,127)*100</f>
        <v>0</v>
      </c>
      <c r="H102" s="103">
        <f>VLOOKUP($A102,'OI(Volume)'!$A$7:$O$445,8)</f>
        <v>0</v>
      </c>
      <c r="I102" s="103">
        <f>VLOOKUP($A102,'OI(Volume)'!$A$7:$O$445,9)</f>
        <v>0</v>
      </c>
      <c r="J102" s="103">
        <f>VLOOKUP($A102,'OI(Volume)'!$A$7:$O$445,11)</f>
        <v>0</v>
      </c>
      <c r="K102" s="103">
        <f>VLOOKUP($A102,'OI(Volume)'!$A$7:$O$445,12)</f>
        <v>0</v>
      </c>
      <c r="L102" s="103">
        <f>VLOOKUP($A102,'OI(Value)'!$A$7:$O$329,8,0)</f>
        <v>0</v>
      </c>
      <c r="M102" s="103">
        <f>VLOOKUP($A102,'OI(Value)'!$A$7:$O$329,9,0)</f>
        <v>0</v>
      </c>
      <c r="N102" s="103">
        <f>VLOOKUP($A102,'OI(Value)'!$A$7:$O$329,11,0)</f>
        <v>0</v>
      </c>
      <c r="O102" s="103">
        <f>VLOOKUP($A102,'OI(Value)'!$A$7:$O$329,12,0)</f>
        <v>0</v>
      </c>
      <c r="P102" s="179">
        <f>VLOOKUP(A102,'OI(Value)'!A102:O326,8,0)</f>
        <v>0</v>
      </c>
      <c r="Q102" s="179">
        <f>VLOOKUP(A102,'OI(Value)'!A102:O326,9,0)</f>
        <v>0</v>
      </c>
      <c r="R102" s="179">
        <f>VLOOKUP(A102,'OI(Value)'!A102:O326,11,0)</f>
        <v>0</v>
      </c>
      <c r="S102" s="179">
        <f>VLOOKUP(A102,'OI(Value)'!A102:O326,11,0)</f>
        <v>0</v>
      </c>
    </row>
    <row r="103" spans="1:19" x14ac:dyDescent="0.25">
      <c r="A103" s="105" t="str">
        <f>'Data Vlaue (Cr)'!C98</f>
        <v>INDIGO</v>
      </c>
      <c r="B103" s="143">
        <f>VLOOKUP($A103,'Data shares'!$C:$FA,118)</f>
        <v>0.66</v>
      </c>
      <c r="C103" s="143">
        <f>VLOOKUP($A103,'Data shares'!$C:$FA,119)</f>
        <v>0.69</v>
      </c>
      <c r="D103" s="143">
        <f>VLOOKUP($A103,'Data shares'!$C:$FA,121)*100</f>
        <v>-4.3499999999999996</v>
      </c>
      <c r="E103" s="143">
        <f>VLOOKUP($A103,'Data shares'!$C:$FA,124)</f>
        <v>0.97</v>
      </c>
      <c r="F103" s="143">
        <f>VLOOKUP($A103,'Data shares'!$C:$FA,125)</f>
        <v>0.76</v>
      </c>
      <c r="G103" s="143">
        <f>VLOOKUP($A103,'Data shares'!$C:$FA,127)*100</f>
        <v>27.63</v>
      </c>
      <c r="H103" s="103">
        <f>VLOOKUP($A103,'OI(Volume)'!$A$7:$O$445,8)</f>
        <v>6527550</v>
      </c>
      <c r="I103" s="103">
        <f>VLOOKUP($A103,'OI(Volume)'!$A$7:$O$445,9)</f>
        <v>30900</v>
      </c>
      <c r="J103" s="103">
        <f>VLOOKUP($A103,'OI(Volume)'!$A$7:$O$445,11)</f>
        <v>4316250</v>
      </c>
      <c r="K103" s="103">
        <f>VLOOKUP($A103,'OI(Volume)'!$A$7:$O$445,12)</f>
        <v>-190800</v>
      </c>
      <c r="L103" s="103">
        <f>VLOOKUP($A103,'OI(Value)'!$A$7:$O$329,8,0)</f>
        <v>2980</v>
      </c>
      <c r="M103" s="103">
        <f>VLOOKUP($A103,'OI(Value)'!$A$7:$O$329,9,0)</f>
        <v>14</v>
      </c>
      <c r="N103" s="103">
        <f>VLOOKUP($A103,'OI(Value)'!$A$7:$O$329,11,0)</f>
        <v>1971</v>
      </c>
      <c r="O103" s="103">
        <f>VLOOKUP($A103,'OI(Value)'!$A$7:$O$329,12,0)</f>
        <v>-87</v>
      </c>
      <c r="P103" s="179">
        <f>VLOOKUP(A103,'OI(Value)'!A103:O327,8,0)</f>
        <v>2980</v>
      </c>
      <c r="Q103" s="179">
        <f>VLOOKUP(A103,'OI(Value)'!A103:O327,9,0)</f>
        <v>14</v>
      </c>
      <c r="R103" s="179">
        <f>VLOOKUP(A103,'OI(Value)'!A103:O327,11,0)</f>
        <v>1971</v>
      </c>
      <c r="S103" s="179">
        <f>VLOOKUP(A103,'OI(Value)'!A103:O327,11,0)</f>
        <v>1971</v>
      </c>
    </row>
    <row r="104" spans="1:19" x14ac:dyDescent="0.25">
      <c r="A104" s="105" t="str">
        <f>'Data Vlaue (Cr)'!C99</f>
        <v>INDUSINDBK</v>
      </c>
      <c r="B104" s="143">
        <f>VLOOKUP($A104,'Data shares'!$C:$FA,118)</f>
        <v>0.77</v>
      </c>
      <c r="C104" s="143">
        <f>VLOOKUP($A104,'Data shares'!$C:$FA,119)</f>
        <v>0.84</v>
      </c>
      <c r="D104" s="143">
        <f>VLOOKUP($A104,'Data shares'!$C:$FA,121)*100</f>
        <v>-8.33</v>
      </c>
      <c r="E104" s="143">
        <f>VLOOKUP($A104,'Data shares'!$C:$FA,124)</f>
        <v>0.67</v>
      </c>
      <c r="F104" s="143">
        <f>VLOOKUP($A104,'Data shares'!$C:$FA,125)</f>
        <v>0.66</v>
      </c>
      <c r="G104" s="143">
        <f>VLOOKUP($A104,'Data shares'!$C:$FA,127)*100</f>
        <v>1.52</v>
      </c>
      <c r="H104" s="103">
        <f>VLOOKUP($A104,'OI(Volume)'!$A$7:$O$445,8)</f>
        <v>8688400</v>
      </c>
      <c r="I104" s="103">
        <f>VLOOKUP($A104,'OI(Volume)'!$A$7:$O$445,9)</f>
        <v>674100</v>
      </c>
      <c r="J104" s="103">
        <f>VLOOKUP($A104,'OI(Volume)'!$A$7:$O$445,11)</f>
        <v>6688500</v>
      </c>
      <c r="K104" s="103">
        <f>VLOOKUP($A104,'OI(Volume)'!$A$7:$O$445,12)</f>
        <v>-42000</v>
      </c>
      <c r="L104" s="103">
        <f>VLOOKUP($A104,'OI(Value)'!$A$7:$O$329,8,0)</f>
        <v>747</v>
      </c>
      <c r="M104" s="103">
        <f>VLOOKUP($A104,'OI(Value)'!$A$7:$O$329,9,0)</f>
        <v>58</v>
      </c>
      <c r="N104" s="103">
        <f>VLOOKUP($A104,'OI(Value)'!$A$7:$O$329,11,0)</f>
        <v>575</v>
      </c>
      <c r="O104" s="103">
        <f>VLOOKUP($A104,'OI(Value)'!$A$7:$O$329,12,0)</f>
        <v>-4</v>
      </c>
      <c r="P104" s="179">
        <f>VLOOKUP(A104,'OI(Value)'!A104:O328,8,0)</f>
        <v>747</v>
      </c>
      <c r="Q104" s="179">
        <f>VLOOKUP(A104,'OI(Value)'!A104:O328,9,0)</f>
        <v>58</v>
      </c>
      <c r="R104" s="179">
        <f>VLOOKUP(A104,'OI(Value)'!A104:O328,11,0)</f>
        <v>575</v>
      </c>
      <c r="S104" s="179">
        <f>VLOOKUP(A104,'OI(Value)'!A104:O328,11,0)</f>
        <v>575</v>
      </c>
    </row>
    <row r="105" spans="1:19" x14ac:dyDescent="0.25">
      <c r="A105" s="105" t="str">
        <f>'Data Vlaue (Cr)'!C100</f>
        <v>INDUSTOWER</v>
      </c>
      <c r="B105" s="143">
        <f>VLOOKUP($A105,'Data shares'!$C:$FA,118)</f>
        <v>0.53</v>
      </c>
      <c r="C105" s="143">
        <f>VLOOKUP($A105,'Data shares'!$C:$FA,119)</f>
        <v>0.55000000000000004</v>
      </c>
      <c r="D105" s="143">
        <f>VLOOKUP($A105,'Data shares'!$C:$FA,121)*100</f>
        <v>-3.64</v>
      </c>
      <c r="E105" s="143">
        <f>VLOOKUP($A105,'Data shares'!$C:$FA,124)</f>
        <v>0.6</v>
      </c>
      <c r="F105" s="143">
        <f>VLOOKUP($A105,'Data shares'!$C:$FA,125)</f>
        <v>0.3</v>
      </c>
      <c r="G105" s="143">
        <f>VLOOKUP($A105,'Data shares'!$C:$FA,127)*100</f>
        <v>100</v>
      </c>
      <c r="H105" s="103">
        <f>VLOOKUP($A105,'OI(Volume)'!$A$7:$O$445,8)</f>
        <v>26169800</v>
      </c>
      <c r="I105" s="103">
        <f>VLOOKUP($A105,'OI(Volume)'!$A$7:$O$445,9)</f>
        <v>-479400</v>
      </c>
      <c r="J105" s="103">
        <f>VLOOKUP($A105,'OI(Volume)'!$A$7:$O$445,11)</f>
        <v>13980800</v>
      </c>
      <c r="K105" s="103">
        <f>VLOOKUP($A105,'OI(Volume)'!$A$7:$O$445,12)</f>
        <v>-719100</v>
      </c>
      <c r="L105" s="103">
        <f>VLOOKUP($A105,'OI(Value)'!$A$7:$O$329,8,0)</f>
        <v>1060</v>
      </c>
      <c r="M105" s="103">
        <f>VLOOKUP($A105,'OI(Value)'!$A$7:$O$329,9,0)</f>
        <v>-19</v>
      </c>
      <c r="N105" s="103">
        <f>VLOOKUP($A105,'OI(Value)'!$A$7:$O$329,11,0)</f>
        <v>566</v>
      </c>
      <c r="O105" s="103">
        <f>VLOOKUP($A105,'OI(Value)'!$A$7:$O$329,12,0)</f>
        <v>-29</v>
      </c>
      <c r="P105" s="179">
        <f>VLOOKUP(A105,'OI(Value)'!A105:O329,8,0)</f>
        <v>1060</v>
      </c>
      <c r="Q105" s="179">
        <f>VLOOKUP(A105,'OI(Value)'!A105:O329,9,0)</f>
        <v>-19</v>
      </c>
      <c r="R105" s="179">
        <f>VLOOKUP(A105,'OI(Value)'!A105:O329,11,0)</f>
        <v>566</v>
      </c>
      <c r="S105" s="179">
        <f>VLOOKUP(A105,'OI(Value)'!A105:O329,11,0)</f>
        <v>566</v>
      </c>
    </row>
    <row r="106" spans="1:19" x14ac:dyDescent="0.25">
      <c r="A106" s="105" t="str">
        <f>'Data Vlaue (Cr)'!C101</f>
        <v>INFY</v>
      </c>
      <c r="B106" s="143">
        <f>VLOOKUP($A106,'Data shares'!$C:$FA,118)</f>
        <v>0.78</v>
      </c>
      <c r="C106" s="143">
        <f>VLOOKUP($A106,'Data shares'!$C:$FA,119)</f>
        <v>0.78</v>
      </c>
      <c r="D106" s="143">
        <f>VLOOKUP($A106,'Data shares'!$C:$FA,121)*100</f>
        <v>0</v>
      </c>
      <c r="E106" s="143">
        <f>VLOOKUP($A106,'Data shares'!$C:$FA,124)</f>
        <v>0.97</v>
      </c>
      <c r="F106" s="143">
        <f>VLOOKUP($A106,'Data shares'!$C:$FA,125)</f>
        <v>0.67</v>
      </c>
      <c r="G106" s="143">
        <f>VLOOKUP($A106,'Data shares'!$C:$FA,127)*100</f>
        <v>44.78</v>
      </c>
      <c r="H106" s="103">
        <f>VLOOKUP($A106,'OI(Volume)'!$A$7:$O$445,8)</f>
        <v>41668000</v>
      </c>
      <c r="I106" s="103">
        <f>VLOOKUP($A106,'OI(Volume)'!$A$7:$O$445,9)</f>
        <v>7965600</v>
      </c>
      <c r="J106" s="103">
        <f>VLOOKUP($A106,'OI(Volume)'!$A$7:$O$445,11)</f>
        <v>32575200</v>
      </c>
      <c r="K106" s="103">
        <f>VLOOKUP($A106,'OI(Volume)'!$A$7:$O$445,12)</f>
        <v>6224000</v>
      </c>
      <c r="L106" s="103">
        <f>VLOOKUP($A106,'OI(Value)'!$A$7:$O$329,8,0)</f>
        <v>5157</v>
      </c>
      <c r="M106" s="103">
        <f>VLOOKUP($A106,'OI(Value)'!$A$7:$O$329,9,0)</f>
        <v>986</v>
      </c>
      <c r="N106" s="103">
        <f>VLOOKUP($A106,'OI(Value)'!$A$7:$O$329,11,0)</f>
        <v>4032</v>
      </c>
      <c r="O106" s="103">
        <f>VLOOKUP($A106,'OI(Value)'!$A$7:$O$329,12,0)</f>
        <v>770</v>
      </c>
      <c r="P106" s="179">
        <f>VLOOKUP(A106,'OI(Value)'!A106:O330,8,0)</f>
        <v>5157</v>
      </c>
      <c r="Q106" s="179">
        <f>VLOOKUP(A106,'OI(Value)'!A106:O330,9,0)</f>
        <v>986</v>
      </c>
      <c r="R106" s="179">
        <f>VLOOKUP(A106,'OI(Value)'!A106:O330,11,0)</f>
        <v>4032</v>
      </c>
      <c r="S106" s="179">
        <f>VLOOKUP(A106,'OI(Value)'!A106:O330,11,0)</f>
        <v>4032</v>
      </c>
    </row>
    <row r="107" spans="1:19" x14ac:dyDescent="0.25">
      <c r="A107" s="105" t="str">
        <f>'Data Vlaue (Cr)'!C102</f>
        <v>INOXWIND</v>
      </c>
      <c r="B107" s="143">
        <f>VLOOKUP($A107,'Data shares'!$C:$FA,118)</f>
        <v>0.9</v>
      </c>
      <c r="C107" s="143">
        <f>VLOOKUP($A107,'Data shares'!$C:$FA,119)</f>
        <v>0.9</v>
      </c>
      <c r="D107" s="143">
        <f>VLOOKUP($A107,'Data shares'!$C:$FA,121)*100</f>
        <v>0</v>
      </c>
      <c r="E107" s="143">
        <f>VLOOKUP($A107,'Data shares'!$C:$FA,124)</f>
        <v>0.65</v>
      </c>
      <c r="F107" s="143">
        <f>VLOOKUP($A107,'Data shares'!$C:$FA,125)</f>
        <v>0.35</v>
      </c>
      <c r="G107" s="143">
        <f>VLOOKUP($A107,'Data shares'!$C:$FA,127)*100</f>
        <v>85.71</v>
      </c>
      <c r="H107" s="103">
        <f>VLOOKUP($A107,'OI(Volume)'!$A$7:$O$445,8)</f>
        <v>26197600</v>
      </c>
      <c r="I107" s="103">
        <f>VLOOKUP($A107,'OI(Volume)'!$A$7:$O$445,9)</f>
        <v>289575</v>
      </c>
      <c r="J107" s="103">
        <f>VLOOKUP($A107,'OI(Volume)'!$A$7:$O$445,11)</f>
        <v>23659350</v>
      </c>
      <c r="K107" s="103">
        <f>VLOOKUP($A107,'OI(Volume)'!$A$7:$O$445,12)</f>
        <v>450450</v>
      </c>
      <c r="L107" s="103">
        <f>VLOOKUP($A107,'OI(Value)'!$A$7:$O$329,8,0)</f>
        <v>267</v>
      </c>
      <c r="M107" s="103">
        <f>VLOOKUP($A107,'OI(Value)'!$A$7:$O$329,9,0)</f>
        <v>3</v>
      </c>
      <c r="N107" s="103">
        <f>VLOOKUP($A107,'OI(Value)'!$A$7:$O$329,11,0)</f>
        <v>241</v>
      </c>
      <c r="O107" s="103">
        <f>VLOOKUP($A107,'OI(Value)'!$A$7:$O$329,12,0)</f>
        <v>5</v>
      </c>
      <c r="P107" s="179">
        <f>VLOOKUP(A107,'OI(Value)'!A107:O331,8,0)</f>
        <v>267</v>
      </c>
      <c r="Q107" s="179">
        <f>VLOOKUP(A107,'OI(Value)'!A107:O331,9,0)</f>
        <v>3</v>
      </c>
      <c r="R107" s="179">
        <f>VLOOKUP(A107,'OI(Value)'!A107:O331,11,0)</f>
        <v>241</v>
      </c>
      <c r="S107" s="179">
        <f>VLOOKUP(A107,'OI(Value)'!A107:O331,11,0)</f>
        <v>241</v>
      </c>
    </row>
    <row r="108" spans="1:19" x14ac:dyDescent="0.25">
      <c r="A108" s="105" t="str">
        <f>'Data Vlaue (Cr)'!C103</f>
        <v>IOC</v>
      </c>
      <c r="B108" s="143">
        <f>VLOOKUP($A108,'Data shares'!$C:$FA,118)</f>
        <v>0.74</v>
      </c>
      <c r="C108" s="143">
        <f>VLOOKUP($A108,'Data shares'!$C:$FA,119)</f>
        <v>0.73</v>
      </c>
      <c r="D108" s="143">
        <f>VLOOKUP($A108,'Data shares'!$C:$FA,121)*100</f>
        <v>1.37</v>
      </c>
      <c r="E108" s="143">
        <f>VLOOKUP($A108,'Data shares'!$C:$FA,124)</f>
        <v>0.75</v>
      </c>
      <c r="F108" s="143">
        <f>VLOOKUP($A108,'Data shares'!$C:$FA,125)</f>
        <v>0.62</v>
      </c>
      <c r="G108" s="143">
        <f>VLOOKUP($A108,'Data shares'!$C:$FA,127)*100</f>
        <v>20.97</v>
      </c>
      <c r="H108" s="103">
        <f>VLOOKUP($A108,'OI(Volume)'!$A$7:$O$445,8)</f>
        <v>66641250</v>
      </c>
      <c r="I108" s="103">
        <f>VLOOKUP($A108,'OI(Volume)'!$A$7:$O$445,9)</f>
        <v>-1677000</v>
      </c>
      <c r="J108" s="103">
        <f>VLOOKUP($A108,'OI(Volume)'!$A$7:$O$445,11)</f>
        <v>49383750</v>
      </c>
      <c r="K108" s="103">
        <f>VLOOKUP($A108,'OI(Volume)'!$A$7:$O$445,12)</f>
        <v>-394875</v>
      </c>
      <c r="L108" s="103">
        <f>VLOOKUP($A108,'OI(Value)'!$A$7:$O$329,8,0)</f>
        <v>969</v>
      </c>
      <c r="M108" s="103">
        <f>VLOOKUP($A108,'OI(Value)'!$A$7:$O$329,9,0)</f>
        <v>-24</v>
      </c>
      <c r="N108" s="103">
        <f>VLOOKUP($A108,'OI(Value)'!$A$7:$O$329,11,0)</f>
        <v>718</v>
      </c>
      <c r="O108" s="103">
        <f>VLOOKUP($A108,'OI(Value)'!$A$7:$O$329,12,0)</f>
        <v>-6</v>
      </c>
      <c r="P108" s="179">
        <f>VLOOKUP(A108,'OI(Value)'!A108:O332,8,0)</f>
        <v>969</v>
      </c>
      <c r="Q108" s="179">
        <f>VLOOKUP(A108,'OI(Value)'!A108:O332,9,0)</f>
        <v>-24</v>
      </c>
      <c r="R108" s="179">
        <f>VLOOKUP(A108,'OI(Value)'!A108:O332,11,0)</f>
        <v>718</v>
      </c>
      <c r="S108" s="179">
        <f>VLOOKUP(A108,'OI(Value)'!A108:O332,11,0)</f>
        <v>718</v>
      </c>
    </row>
    <row r="109" spans="1:19" x14ac:dyDescent="0.25">
      <c r="A109" s="105" t="str">
        <f>'Data Vlaue (Cr)'!C104</f>
        <v>IREDA</v>
      </c>
      <c r="B109" s="143">
        <f>VLOOKUP($A109,'Data shares'!$C:$FA,118)</f>
        <v>0.89</v>
      </c>
      <c r="C109" s="143">
        <f>VLOOKUP($A109,'Data shares'!$C:$FA,119)</f>
        <v>1.01</v>
      </c>
      <c r="D109" s="143">
        <f>VLOOKUP($A109,'Data shares'!$C:$FA,121)*100</f>
        <v>-11.88</v>
      </c>
      <c r="E109" s="143">
        <f>VLOOKUP($A109,'Data shares'!$C:$FA,124)</f>
        <v>0.66</v>
      </c>
      <c r="F109" s="143">
        <f>VLOOKUP($A109,'Data shares'!$C:$FA,125)</f>
        <v>0.36</v>
      </c>
      <c r="G109" s="143">
        <f>VLOOKUP($A109,'Data shares'!$C:$FA,127)*100</f>
        <v>83.33</v>
      </c>
      <c r="H109" s="103">
        <f>VLOOKUP($A109,'OI(Volume)'!$A$7:$O$445,8)</f>
        <v>34344750</v>
      </c>
      <c r="I109" s="103">
        <f>VLOOKUP($A109,'OI(Volume)'!$A$7:$O$445,9)</f>
        <v>1459350</v>
      </c>
      <c r="J109" s="103">
        <f>VLOOKUP($A109,'OI(Volume)'!$A$7:$O$445,11)</f>
        <v>30670500</v>
      </c>
      <c r="K109" s="103">
        <f>VLOOKUP($A109,'OI(Volume)'!$A$7:$O$445,12)</f>
        <v>-2473650</v>
      </c>
      <c r="L109" s="103">
        <f>VLOOKUP($A109,'OI(Value)'!$A$7:$O$329,8,0)</f>
        <v>472</v>
      </c>
      <c r="M109" s="103">
        <f>VLOOKUP($A109,'OI(Value)'!$A$7:$O$329,9,0)</f>
        <v>20</v>
      </c>
      <c r="N109" s="103">
        <f>VLOOKUP($A109,'OI(Value)'!$A$7:$O$329,11,0)</f>
        <v>422</v>
      </c>
      <c r="O109" s="103">
        <f>VLOOKUP($A109,'OI(Value)'!$A$7:$O$329,12,0)</f>
        <v>-34</v>
      </c>
      <c r="P109" s="179">
        <f>VLOOKUP(A109,'OI(Value)'!A109:O333,8,0)</f>
        <v>472</v>
      </c>
      <c r="Q109" s="179">
        <f>VLOOKUP(A109,'OI(Value)'!A109:O333,9,0)</f>
        <v>20</v>
      </c>
      <c r="R109" s="179">
        <f>VLOOKUP(A109,'OI(Value)'!A109:O333,11,0)</f>
        <v>422</v>
      </c>
      <c r="S109" s="179">
        <f>VLOOKUP(A109,'OI(Value)'!A109:O333,11,0)</f>
        <v>422</v>
      </c>
    </row>
    <row r="110" spans="1:19" x14ac:dyDescent="0.25">
      <c r="A110" s="105" t="str">
        <f>'Data Vlaue (Cr)'!C105</f>
        <v>IRFC</v>
      </c>
      <c r="B110" s="143">
        <f>VLOOKUP($A110,'Data shares'!$C:$FA,118)</f>
        <v>0.59</v>
      </c>
      <c r="C110" s="143">
        <f>VLOOKUP($A110,'Data shares'!$C:$FA,119)</f>
        <v>0.71</v>
      </c>
      <c r="D110" s="143">
        <f>VLOOKUP($A110,'Data shares'!$C:$FA,121)*100</f>
        <v>-16.900000000000002</v>
      </c>
      <c r="E110" s="143">
        <f>VLOOKUP($A110,'Data shares'!$C:$FA,124)</f>
        <v>0.26</v>
      </c>
      <c r="F110" s="143">
        <f>VLOOKUP($A110,'Data shares'!$C:$FA,125)</f>
        <v>0.26</v>
      </c>
      <c r="G110" s="143">
        <f>VLOOKUP($A110,'Data shares'!$C:$FA,127)*100</f>
        <v>0</v>
      </c>
      <c r="H110" s="103">
        <f>VLOOKUP($A110,'OI(Volume)'!$A$7:$O$445,8)</f>
        <v>54982250</v>
      </c>
      <c r="I110" s="103">
        <f>VLOOKUP($A110,'OI(Volume)'!$A$7:$O$445,9)</f>
        <v>11466500</v>
      </c>
      <c r="J110" s="103">
        <f>VLOOKUP($A110,'OI(Volume)'!$A$7:$O$445,11)</f>
        <v>32380750</v>
      </c>
      <c r="K110" s="103">
        <f>VLOOKUP($A110,'OI(Volume)'!$A$7:$O$445,12)</f>
        <v>1683000</v>
      </c>
      <c r="L110" s="103">
        <f>VLOOKUP($A110,'OI(Value)'!$A$7:$O$329,8,0)</f>
        <v>575</v>
      </c>
      <c r="M110" s="103">
        <f>VLOOKUP($A110,'OI(Value)'!$A$7:$O$329,9,0)</f>
        <v>120</v>
      </c>
      <c r="N110" s="103">
        <f>VLOOKUP($A110,'OI(Value)'!$A$7:$O$329,11,0)</f>
        <v>338</v>
      </c>
      <c r="O110" s="103">
        <f>VLOOKUP($A110,'OI(Value)'!$A$7:$O$329,12,0)</f>
        <v>18</v>
      </c>
      <c r="P110" s="179">
        <f>VLOOKUP(A110,'OI(Value)'!A110:O334,8,0)</f>
        <v>575</v>
      </c>
      <c r="Q110" s="179">
        <f>VLOOKUP(A110,'OI(Value)'!A110:O334,9,0)</f>
        <v>120</v>
      </c>
      <c r="R110" s="179">
        <f>VLOOKUP(A110,'OI(Value)'!A110:O334,11,0)</f>
        <v>338</v>
      </c>
      <c r="S110" s="179">
        <f>VLOOKUP(A110,'OI(Value)'!A110:O334,11,0)</f>
        <v>338</v>
      </c>
    </row>
    <row r="111" spans="1:19" x14ac:dyDescent="0.25">
      <c r="A111" s="105" t="str">
        <f>'Data Vlaue (Cr)'!C106</f>
        <v>ITC</v>
      </c>
      <c r="B111" s="143">
        <f>VLOOKUP($A111,'Data shares'!$C:$FA,118)</f>
        <v>0.5</v>
      </c>
      <c r="C111" s="143">
        <f>VLOOKUP($A111,'Data shares'!$C:$FA,119)</f>
        <v>0.5</v>
      </c>
      <c r="D111" s="143">
        <f>VLOOKUP($A111,'Data shares'!$C:$FA,121)*100</f>
        <v>0</v>
      </c>
      <c r="E111" s="143">
        <f>VLOOKUP($A111,'Data shares'!$C:$FA,124)</f>
        <v>0.4</v>
      </c>
      <c r="F111" s="143">
        <f>VLOOKUP($A111,'Data shares'!$C:$FA,125)</f>
        <v>0.36</v>
      </c>
      <c r="G111" s="143">
        <f>VLOOKUP($A111,'Data shares'!$C:$FA,127)*100</f>
        <v>11.110000000000001</v>
      </c>
      <c r="H111" s="103">
        <f>VLOOKUP($A111,'OI(Volume)'!$A$7:$O$445,8)</f>
        <v>125788800</v>
      </c>
      <c r="I111" s="103">
        <f>VLOOKUP($A111,'OI(Volume)'!$A$7:$O$445,9)</f>
        <v>-833600</v>
      </c>
      <c r="J111" s="103">
        <f>VLOOKUP($A111,'OI(Volume)'!$A$7:$O$445,11)</f>
        <v>63444800</v>
      </c>
      <c r="K111" s="103">
        <f>VLOOKUP($A111,'OI(Volume)'!$A$7:$O$445,12)</f>
        <v>488000</v>
      </c>
      <c r="L111" s="103">
        <f>VLOOKUP($A111,'OI(Value)'!$A$7:$O$329,8,0)</f>
        <v>3837</v>
      </c>
      <c r="M111" s="103">
        <f>VLOOKUP($A111,'OI(Value)'!$A$7:$O$329,9,0)</f>
        <v>-25</v>
      </c>
      <c r="N111" s="103">
        <f>VLOOKUP($A111,'OI(Value)'!$A$7:$O$329,11,0)</f>
        <v>1935</v>
      </c>
      <c r="O111" s="103">
        <f>VLOOKUP($A111,'OI(Value)'!$A$7:$O$329,12,0)</f>
        <v>15</v>
      </c>
      <c r="P111" s="179">
        <f>VLOOKUP(A111,'OI(Value)'!A111:O335,8,0)</f>
        <v>3837</v>
      </c>
      <c r="Q111" s="179">
        <f>VLOOKUP(A111,'OI(Value)'!A111:O335,9,0)</f>
        <v>-25</v>
      </c>
      <c r="R111" s="179">
        <f>VLOOKUP(A111,'OI(Value)'!A111:O335,11,0)</f>
        <v>1935</v>
      </c>
      <c r="S111" s="179">
        <f>VLOOKUP(A111,'OI(Value)'!A111:O335,11,0)</f>
        <v>1935</v>
      </c>
    </row>
    <row r="112" spans="1:19" x14ac:dyDescent="0.25">
      <c r="A112" s="105" t="str">
        <f>'Data Vlaue (Cr)'!C107</f>
        <v>JINDALSTEL</v>
      </c>
      <c r="B112" s="143">
        <f>VLOOKUP($A112,'Data shares'!$C:$FA,118)</f>
        <v>1.05</v>
      </c>
      <c r="C112" s="143">
        <f>VLOOKUP($A112,'Data shares'!$C:$FA,119)</f>
        <v>1.1200000000000001</v>
      </c>
      <c r="D112" s="143">
        <f>VLOOKUP($A112,'Data shares'!$C:$FA,121)*100</f>
        <v>-6.25</v>
      </c>
      <c r="E112" s="143">
        <f>VLOOKUP($A112,'Data shares'!$C:$FA,124)</f>
        <v>0.9</v>
      </c>
      <c r="F112" s="143">
        <f>VLOOKUP($A112,'Data shares'!$C:$FA,125)</f>
        <v>1.1299999999999999</v>
      </c>
      <c r="G112" s="143">
        <f>VLOOKUP($A112,'Data shares'!$C:$FA,127)*100</f>
        <v>-20.349999999999998</v>
      </c>
      <c r="H112" s="103">
        <f>VLOOKUP($A112,'OI(Volume)'!$A$7:$O$445,8)</f>
        <v>4054375</v>
      </c>
      <c r="I112" s="103">
        <f>VLOOKUP($A112,'OI(Volume)'!$A$7:$O$445,9)</f>
        <v>8750</v>
      </c>
      <c r="J112" s="103">
        <f>VLOOKUP($A112,'OI(Volume)'!$A$7:$O$445,11)</f>
        <v>4256250</v>
      </c>
      <c r="K112" s="103">
        <f>VLOOKUP($A112,'OI(Volume)'!$A$7:$O$445,12)</f>
        <v>-260625</v>
      </c>
      <c r="L112" s="103">
        <f>VLOOKUP($A112,'OI(Value)'!$A$7:$O$329,8,0)</f>
        <v>510</v>
      </c>
      <c r="M112" s="103">
        <f>VLOOKUP($A112,'OI(Value)'!$A$7:$O$329,9,0)</f>
        <v>1</v>
      </c>
      <c r="N112" s="103">
        <f>VLOOKUP($A112,'OI(Value)'!$A$7:$O$329,11,0)</f>
        <v>535</v>
      </c>
      <c r="O112" s="103">
        <f>VLOOKUP($A112,'OI(Value)'!$A$7:$O$329,12,0)</f>
        <v>-33</v>
      </c>
      <c r="P112" s="179">
        <f>VLOOKUP(A112,'OI(Value)'!A112:O336,8,0)</f>
        <v>510</v>
      </c>
      <c r="Q112" s="179">
        <f>VLOOKUP(A112,'OI(Value)'!A112:O336,9,0)</f>
        <v>1</v>
      </c>
      <c r="R112" s="179">
        <f>VLOOKUP(A112,'OI(Value)'!A112:O336,11,0)</f>
        <v>535</v>
      </c>
      <c r="S112" s="179">
        <f>VLOOKUP(A112,'OI(Value)'!A112:O336,11,0)</f>
        <v>535</v>
      </c>
    </row>
    <row r="113" spans="1:19" x14ac:dyDescent="0.25">
      <c r="A113" s="105" t="str">
        <f>'Data Vlaue (Cr)'!C108</f>
        <v>JIOFIN</v>
      </c>
      <c r="B113" s="143">
        <f>VLOOKUP($A113,'Data shares'!$C:$FA,118)</f>
        <v>0.71</v>
      </c>
      <c r="C113" s="143">
        <f>VLOOKUP($A113,'Data shares'!$C:$FA,119)</f>
        <v>0.67</v>
      </c>
      <c r="D113" s="143">
        <f>VLOOKUP($A113,'Data shares'!$C:$FA,121)*100</f>
        <v>5.9700000000000006</v>
      </c>
      <c r="E113" s="143">
        <f>VLOOKUP($A113,'Data shares'!$C:$FA,124)</f>
        <v>0.43</v>
      </c>
      <c r="F113" s="143">
        <f>VLOOKUP($A113,'Data shares'!$C:$FA,125)</f>
        <v>0.51</v>
      </c>
      <c r="G113" s="143">
        <f>VLOOKUP($A113,'Data shares'!$C:$FA,127)*100</f>
        <v>-15.690000000000001</v>
      </c>
      <c r="H113" s="103">
        <f>VLOOKUP($A113,'OI(Volume)'!$A$7:$O$445,8)</f>
        <v>72380000</v>
      </c>
      <c r="I113" s="103">
        <f>VLOOKUP($A113,'OI(Volume)'!$A$7:$O$445,9)</f>
        <v>-7263850</v>
      </c>
      <c r="J113" s="103">
        <f>VLOOKUP($A113,'OI(Volume)'!$A$7:$O$445,11)</f>
        <v>51554300</v>
      </c>
      <c r="K113" s="103">
        <f>VLOOKUP($A113,'OI(Volume)'!$A$7:$O$445,12)</f>
        <v>-1649700</v>
      </c>
      <c r="L113" s="103">
        <f>VLOOKUP($A113,'OI(Value)'!$A$7:$O$329,8,0)</f>
        <v>1802</v>
      </c>
      <c r="M113" s="103">
        <f>VLOOKUP($A113,'OI(Value)'!$A$7:$O$329,9,0)</f>
        <v>-181</v>
      </c>
      <c r="N113" s="103">
        <f>VLOOKUP($A113,'OI(Value)'!$A$7:$O$329,11,0)</f>
        <v>1283</v>
      </c>
      <c r="O113" s="103">
        <f>VLOOKUP($A113,'OI(Value)'!$A$7:$O$329,12,0)</f>
        <v>-41</v>
      </c>
      <c r="P113" s="179">
        <f>VLOOKUP(A113,'OI(Value)'!A113:O337,8,0)</f>
        <v>1802</v>
      </c>
      <c r="Q113" s="179">
        <f>VLOOKUP(A113,'OI(Value)'!A113:O337,9,0)</f>
        <v>-181</v>
      </c>
      <c r="R113" s="179">
        <f>VLOOKUP(A113,'OI(Value)'!A113:O337,11,0)</f>
        <v>1283</v>
      </c>
      <c r="S113" s="179">
        <f>VLOOKUP(A113,'OI(Value)'!A113:O337,11,0)</f>
        <v>1283</v>
      </c>
    </row>
    <row r="114" spans="1:19" x14ac:dyDescent="0.25">
      <c r="A114" s="105" t="str">
        <f>'Data Vlaue (Cr)'!C109</f>
        <v>JSWENERGY</v>
      </c>
      <c r="B114" s="143">
        <f>VLOOKUP($A114,'Data shares'!$C:$FA,118)</f>
        <v>0.75</v>
      </c>
      <c r="C114" s="143">
        <f>VLOOKUP($A114,'Data shares'!$C:$FA,119)</f>
        <v>0.7</v>
      </c>
      <c r="D114" s="143">
        <f>VLOOKUP($A114,'Data shares'!$C:$FA,121)*100</f>
        <v>7.1400000000000006</v>
      </c>
      <c r="E114" s="143">
        <f>VLOOKUP($A114,'Data shares'!$C:$FA,124)</f>
        <v>0.33</v>
      </c>
      <c r="F114" s="143">
        <f>VLOOKUP($A114,'Data shares'!$C:$FA,125)</f>
        <v>0.31</v>
      </c>
      <c r="G114" s="143">
        <f>VLOOKUP($A114,'Data shares'!$C:$FA,127)*100</f>
        <v>6.45</v>
      </c>
      <c r="H114" s="103">
        <f>VLOOKUP($A114,'OI(Volume)'!$A$7:$O$445,8)</f>
        <v>8017000</v>
      </c>
      <c r="I114" s="103">
        <f>VLOOKUP($A114,'OI(Volume)'!$A$7:$O$445,9)</f>
        <v>-168000</v>
      </c>
      <c r="J114" s="103">
        <f>VLOOKUP($A114,'OI(Volume)'!$A$7:$O$445,11)</f>
        <v>6047000</v>
      </c>
      <c r="K114" s="103">
        <f>VLOOKUP($A114,'OI(Volume)'!$A$7:$O$445,12)</f>
        <v>295000</v>
      </c>
      <c r="L114" s="103">
        <f>VLOOKUP($A114,'OI(Value)'!$A$7:$O$329,8,0)</f>
        <v>449</v>
      </c>
      <c r="M114" s="103">
        <f>VLOOKUP($A114,'OI(Value)'!$A$7:$O$329,9,0)</f>
        <v>-9</v>
      </c>
      <c r="N114" s="103">
        <f>VLOOKUP($A114,'OI(Value)'!$A$7:$O$329,11,0)</f>
        <v>339</v>
      </c>
      <c r="O114" s="103">
        <f>VLOOKUP($A114,'OI(Value)'!$A$7:$O$329,12,0)</f>
        <v>17</v>
      </c>
      <c r="P114" s="179">
        <f>VLOOKUP(A114,'OI(Value)'!A114:O338,8,0)</f>
        <v>449</v>
      </c>
      <c r="Q114" s="179">
        <f>VLOOKUP(A114,'OI(Value)'!A114:O338,9,0)</f>
        <v>-9</v>
      </c>
      <c r="R114" s="179">
        <f>VLOOKUP(A114,'OI(Value)'!A114:O338,11,0)</f>
        <v>339</v>
      </c>
      <c r="S114" s="179">
        <f>VLOOKUP(A114,'OI(Value)'!A114:O338,11,0)</f>
        <v>339</v>
      </c>
    </row>
    <row r="115" spans="1:19" x14ac:dyDescent="0.25">
      <c r="A115" s="105" t="str">
        <f>'Data Vlaue (Cr)'!C110</f>
        <v>JSWSTEEL</v>
      </c>
      <c r="B115" s="143">
        <f>VLOOKUP($A115,'Data shares'!$C:$FA,118)</f>
        <v>0.89</v>
      </c>
      <c r="C115" s="143">
        <f>VLOOKUP($A115,'Data shares'!$C:$FA,119)</f>
        <v>0.9</v>
      </c>
      <c r="D115" s="143">
        <f>VLOOKUP($A115,'Data shares'!$C:$FA,121)*100</f>
        <v>-1.1100000000000001</v>
      </c>
      <c r="E115" s="143">
        <f>VLOOKUP($A115,'Data shares'!$C:$FA,124)</f>
        <v>0.48</v>
      </c>
      <c r="F115" s="143">
        <f>VLOOKUP($A115,'Data shares'!$C:$FA,125)</f>
        <v>0.67</v>
      </c>
      <c r="G115" s="143">
        <f>VLOOKUP($A115,'Data shares'!$C:$FA,127)*100</f>
        <v>-28.360000000000003</v>
      </c>
      <c r="H115" s="103">
        <f>VLOOKUP($A115,'OI(Volume)'!$A$7:$O$445,8)</f>
        <v>6778350</v>
      </c>
      <c r="I115" s="103">
        <f>VLOOKUP($A115,'OI(Volume)'!$A$7:$O$445,9)</f>
        <v>-74925</v>
      </c>
      <c r="J115" s="103">
        <f>VLOOKUP($A115,'OI(Volume)'!$A$7:$O$445,11)</f>
        <v>6024375</v>
      </c>
      <c r="K115" s="103">
        <f>VLOOKUP($A115,'OI(Volume)'!$A$7:$O$445,12)</f>
        <v>-121500</v>
      </c>
      <c r="L115" s="103">
        <f>VLOOKUP($A115,'OI(Value)'!$A$7:$O$329,8,0)</f>
        <v>851</v>
      </c>
      <c r="M115" s="103">
        <f>VLOOKUP($A115,'OI(Value)'!$A$7:$O$329,9,0)</f>
        <v>-9</v>
      </c>
      <c r="N115" s="103">
        <f>VLOOKUP($A115,'OI(Value)'!$A$7:$O$329,11,0)</f>
        <v>756</v>
      </c>
      <c r="O115" s="103">
        <f>VLOOKUP($A115,'OI(Value)'!$A$7:$O$329,12,0)</f>
        <v>-15</v>
      </c>
      <c r="P115" s="179">
        <f>VLOOKUP(A115,'OI(Value)'!A115:O339,8,0)</f>
        <v>851</v>
      </c>
      <c r="Q115" s="179">
        <f>VLOOKUP(A115,'OI(Value)'!A115:O339,9,0)</f>
        <v>-9</v>
      </c>
      <c r="R115" s="179">
        <f>VLOOKUP(A115,'OI(Value)'!A115:O339,11,0)</f>
        <v>756</v>
      </c>
      <c r="S115" s="179">
        <f>VLOOKUP(A115,'OI(Value)'!A115:O339,11,0)</f>
        <v>756</v>
      </c>
    </row>
    <row r="116" spans="1:19" x14ac:dyDescent="0.25">
      <c r="A116" s="105" t="str">
        <f>'Data Vlaue (Cr)'!C111</f>
        <v>JUBLFOOD</v>
      </c>
      <c r="B116" s="143">
        <f>VLOOKUP($A116,'Data shares'!$C:$FA,118)</f>
        <v>0.86</v>
      </c>
      <c r="C116" s="143">
        <f>VLOOKUP($A116,'Data shares'!$C:$FA,119)</f>
        <v>0.87</v>
      </c>
      <c r="D116" s="143">
        <f>VLOOKUP($A116,'Data shares'!$C:$FA,121)*100</f>
        <v>-1.1499999999999999</v>
      </c>
      <c r="E116" s="143">
        <f>VLOOKUP($A116,'Data shares'!$C:$FA,124)</f>
        <v>0.46</v>
      </c>
      <c r="F116" s="143">
        <f>VLOOKUP($A116,'Data shares'!$C:$FA,125)</f>
        <v>0.45</v>
      </c>
      <c r="G116" s="143">
        <f>VLOOKUP($A116,'Data shares'!$C:$FA,127)*100</f>
        <v>2.2200000000000002</v>
      </c>
      <c r="H116" s="103">
        <f>VLOOKUP($A116,'OI(Volume)'!$A$7:$O$445,8)</f>
        <v>13303750</v>
      </c>
      <c r="I116" s="103">
        <f>VLOOKUP($A116,'OI(Volume)'!$A$7:$O$445,9)</f>
        <v>-325000</v>
      </c>
      <c r="J116" s="103">
        <f>VLOOKUP($A116,'OI(Volume)'!$A$7:$O$445,11)</f>
        <v>11460000</v>
      </c>
      <c r="K116" s="103">
        <f>VLOOKUP($A116,'OI(Volume)'!$A$7:$O$445,12)</f>
        <v>-382500</v>
      </c>
      <c r="L116" s="103">
        <f>VLOOKUP($A116,'OI(Value)'!$A$7:$O$329,8,0)</f>
        <v>653</v>
      </c>
      <c r="M116" s="103">
        <f>VLOOKUP($A116,'OI(Value)'!$A$7:$O$329,9,0)</f>
        <v>-16</v>
      </c>
      <c r="N116" s="103">
        <f>VLOOKUP($A116,'OI(Value)'!$A$7:$O$329,11,0)</f>
        <v>563</v>
      </c>
      <c r="O116" s="103">
        <f>VLOOKUP($A116,'OI(Value)'!$A$7:$O$329,12,0)</f>
        <v>-19</v>
      </c>
      <c r="P116" s="179">
        <f>VLOOKUP(A116,'OI(Value)'!A116:O340,8,0)</f>
        <v>653</v>
      </c>
      <c r="Q116" s="179">
        <f>VLOOKUP(A116,'OI(Value)'!A116:O340,9,0)</f>
        <v>-16</v>
      </c>
      <c r="R116" s="179">
        <f>VLOOKUP(A116,'OI(Value)'!A116:O340,11,0)</f>
        <v>563</v>
      </c>
      <c r="S116" s="179">
        <f>VLOOKUP(A116,'OI(Value)'!A116:O340,11,0)</f>
        <v>563</v>
      </c>
    </row>
    <row r="117" spans="1:19" x14ac:dyDescent="0.25">
      <c r="A117" s="105" t="str">
        <f>'Data Vlaue (Cr)'!C112</f>
        <v>KALYANKJIL</v>
      </c>
      <c r="B117" s="143">
        <f>VLOOKUP($A117,'Data shares'!$C:$FA,118)</f>
        <v>0.46</v>
      </c>
      <c r="C117" s="143">
        <f>VLOOKUP($A117,'Data shares'!$C:$FA,119)</f>
        <v>0.42</v>
      </c>
      <c r="D117" s="143">
        <f>VLOOKUP($A117,'Data shares'!$C:$FA,121)*100</f>
        <v>9.5200000000000014</v>
      </c>
      <c r="E117" s="143">
        <f>VLOOKUP($A117,'Data shares'!$C:$FA,124)</f>
        <v>0.36</v>
      </c>
      <c r="F117" s="143">
        <f>VLOOKUP($A117,'Data shares'!$C:$FA,125)</f>
        <v>0.43</v>
      </c>
      <c r="G117" s="143">
        <f>VLOOKUP($A117,'Data shares'!$C:$FA,127)*100</f>
        <v>-16.28</v>
      </c>
      <c r="H117" s="103">
        <f>VLOOKUP($A117,'OI(Volume)'!$A$7:$O$445,8)</f>
        <v>14332650</v>
      </c>
      <c r="I117" s="103">
        <f>VLOOKUP($A117,'OI(Volume)'!$A$7:$O$445,9)</f>
        <v>-1981050</v>
      </c>
      <c r="J117" s="103">
        <f>VLOOKUP($A117,'OI(Volume)'!$A$7:$O$445,11)</f>
        <v>6624650</v>
      </c>
      <c r="K117" s="103">
        <f>VLOOKUP($A117,'OI(Volume)'!$A$7:$O$445,12)</f>
        <v>-264375</v>
      </c>
      <c r="L117" s="103">
        <f>VLOOKUP($A117,'OI(Value)'!$A$7:$O$329,8,0)</f>
        <v>592</v>
      </c>
      <c r="M117" s="103">
        <f>VLOOKUP($A117,'OI(Value)'!$A$7:$O$329,9,0)</f>
        <v>-82</v>
      </c>
      <c r="N117" s="103">
        <f>VLOOKUP($A117,'OI(Value)'!$A$7:$O$329,11,0)</f>
        <v>274</v>
      </c>
      <c r="O117" s="103">
        <f>VLOOKUP($A117,'OI(Value)'!$A$7:$O$329,12,0)</f>
        <v>-11</v>
      </c>
      <c r="P117" s="179">
        <f>VLOOKUP(A117,'OI(Value)'!A117:O341,8,0)</f>
        <v>592</v>
      </c>
      <c r="Q117" s="179">
        <f>VLOOKUP(A117,'OI(Value)'!A117:O341,9,0)</f>
        <v>-82</v>
      </c>
      <c r="R117" s="179">
        <f>VLOOKUP(A117,'OI(Value)'!A117:O341,11,0)</f>
        <v>274</v>
      </c>
      <c r="S117" s="179">
        <f>VLOOKUP(A117,'OI(Value)'!A117:O341,11,0)</f>
        <v>274</v>
      </c>
    </row>
    <row r="118" spans="1:19" x14ac:dyDescent="0.25">
      <c r="A118" s="105" t="str">
        <f>'Data Vlaue (Cr)'!C113</f>
        <v>KAYNES</v>
      </c>
      <c r="B118" s="143">
        <f>VLOOKUP($A118,'Data shares'!$C:$FA,118)</f>
        <v>0.84</v>
      </c>
      <c r="C118" s="143">
        <f>VLOOKUP($A118,'Data shares'!$C:$FA,119)</f>
        <v>0.96</v>
      </c>
      <c r="D118" s="143">
        <f>VLOOKUP($A118,'Data shares'!$C:$FA,121)*100</f>
        <v>-12.5</v>
      </c>
      <c r="E118" s="143">
        <f>VLOOKUP($A118,'Data shares'!$C:$FA,124)</f>
        <v>0.71</v>
      </c>
      <c r="F118" s="143">
        <f>VLOOKUP($A118,'Data shares'!$C:$FA,125)</f>
        <v>0.57999999999999996</v>
      </c>
      <c r="G118" s="143">
        <f>VLOOKUP($A118,'Data shares'!$C:$FA,127)*100</f>
        <v>22.41</v>
      </c>
      <c r="H118" s="103">
        <f>VLOOKUP($A118,'OI(Volume)'!$A$7:$O$445,8)</f>
        <v>1700800</v>
      </c>
      <c r="I118" s="103">
        <f>VLOOKUP($A118,'OI(Volume)'!$A$7:$O$445,9)</f>
        <v>81500</v>
      </c>
      <c r="J118" s="103">
        <f>VLOOKUP($A118,'OI(Volume)'!$A$7:$O$445,11)</f>
        <v>1436400</v>
      </c>
      <c r="K118" s="103">
        <f>VLOOKUP($A118,'OI(Volume)'!$A$7:$O$445,12)</f>
        <v>-115700</v>
      </c>
      <c r="L118" s="103">
        <f>VLOOKUP($A118,'OI(Value)'!$A$7:$O$329,8,0)</f>
        <v>745</v>
      </c>
      <c r="M118" s="103">
        <f>VLOOKUP($A118,'OI(Value)'!$A$7:$O$329,9,0)</f>
        <v>36</v>
      </c>
      <c r="N118" s="103">
        <f>VLOOKUP($A118,'OI(Value)'!$A$7:$O$329,11,0)</f>
        <v>629</v>
      </c>
      <c r="O118" s="103">
        <f>VLOOKUP($A118,'OI(Value)'!$A$7:$O$329,12,0)</f>
        <v>-51</v>
      </c>
      <c r="P118" s="179">
        <f>VLOOKUP(A118,'OI(Value)'!A118:O342,8,0)</f>
        <v>745</v>
      </c>
      <c r="Q118" s="179">
        <f>VLOOKUP(A118,'OI(Value)'!A118:O342,9,0)</f>
        <v>36</v>
      </c>
      <c r="R118" s="179">
        <f>VLOOKUP(A118,'OI(Value)'!A118:O342,11,0)</f>
        <v>629</v>
      </c>
      <c r="S118" s="179">
        <f>VLOOKUP(A118,'OI(Value)'!A118:O342,11,0)</f>
        <v>629</v>
      </c>
    </row>
    <row r="119" spans="1:19" x14ac:dyDescent="0.25">
      <c r="A119" s="105" t="str">
        <f>'Data Vlaue (Cr)'!C114</f>
        <v>KEI</v>
      </c>
      <c r="B119" s="143">
        <f>VLOOKUP($A119,'Data shares'!$C:$FA,118)</f>
        <v>0.71</v>
      </c>
      <c r="C119" s="143">
        <f>VLOOKUP($A119,'Data shares'!$C:$FA,119)</f>
        <v>0.75</v>
      </c>
      <c r="D119" s="143">
        <f>VLOOKUP($A119,'Data shares'!$C:$FA,121)*100</f>
        <v>-5.33</v>
      </c>
      <c r="E119" s="143">
        <f>VLOOKUP($A119,'Data shares'!$C:$FA,124)</f>
        <v>1</v>
      </c>
      <c r="F119" s="143">
        <f>VLOOKUP($A119,'Data shares'!$C:$FA,125)</f>
        <v>1.7</v>
      </c>
      <c r="G119" s="143">
        <f>VLOOKUP($A119,'Data shares'!$C:$FA,127)*100</f>
        <v>-41.18</v>
      </c>
      <c r="H119" s="103">
        <f>VLOOKUP($A119,'OI(Volume)'!$A$7:$O$445,8)</f>
        <v>813925</v>
      </c>
      <c r="I119" s="103">
        <f>VLOOKUP($A119,'OI(Volume)'!$A$7:$O$445,9)</f>
        <v>32550</v>
      </c>
      <c r="J119" s="103">
        <f>VLOOKUP($A119,'OI(Volume)'!$A$7:$O$445,11)</f>
        <v>577675</v>
      </c>
      <c r="K119" s="103">
        <f>VLOOKUP($A119,'OI(Volume)'!$A$7:$O$445,12)</f>
        <v>-10500</v>
      </c>
      <c r="L119" s="103">
        <f>VLOOKUP($A119,'OI(Value)'!$A$7:$O$329,8,0)</f>
        <v>395</v>
      </c>
      <c r="M119" s="103">
        <f>VLOOKUP($A119,'OI(Value)'!$A$7:$O$329,9,0)</f>
        <v>16</v>
      </c>
      <c r="N119" s="103">
        <f>VLOOKUP($A119,'OI(Value)'!$A$7:$O$329,11,0)</f>
        <v>280</v>
      </c>
      <c r="O119" s="103">
        <f>VLOOKUP($A119,'OI(Value)'!$A$7:$O$329,12,0)</f>
        <v>-5</v>
      </c>
      <c r="P119" s="179">
        <f>VLOOKUP(A119,'OI(Value)'!A119:O343,8,0)</f>
        <v>395</v>
      </c>
      <c r="Q119" s="179">
        <f>VLOOKUP(A119,'OI(Value)'!A119:O343,9,0)</f>
        <v>16</v>
      </c>
      <c r="R119" s="179">
        <f>VLOOKUP(A119,'OI(Value)'!A119:O343,11,0)</f>
        <v>280</v>
      </c>
      <c r="S119" s="179">
        <f>VLOOKUP(A119,'OI(Value)'!A119:O343,11,0)</f>
        <v>280</v>
      </c>
    </row>
    <row r="120" spans="1:19" x14ac:dyDescent="0.25">
      <c r="A120" s="105" t="str">
        <f>'Data Vlaue (Cr)'!C115</f>
        <v>KFINTECH</v>
      </c>
      <c r="B120" s="143">
        <f>VLOOKUP($A120,'Data shares'!$C:$FA,118)</f>
        <v>0.67</v>
      </c>
      <c r="C120" s="143">
        <f>VLOOKUP($A120,'Data shares'!$C:$FA,119)</f>
        <v>0.61</v>
      </c>
      <c r="D120" s="143">
        <f>VLOOKUP($A120,'Data shares'!$C:$FA,121)*100</f>
        <v>9.84</v>
      </c>
      <c r="E120" s="143">
        <f>VLOOKUP($A120,'Data shares'!$C:$FA,124)</f>
        <v>0.37</v>
      </c>
      <c r="F120" s="143">
        <f>VLOOKUP($A120,'Data shares'!$C:$FA,125)</f>
        <v>0.21</v>
      </c>
      <c r="G120" s="143">
        <f>VLOOKUP($A120,'Data shares'!$C:$FA,127)*100</f>
        <v>76.19</v>
      </c>
      <c r="H120" s="103">
        <f>VLOOKUP($A120,'OI(Volume)'!$A$7:$O$445,8)</f>
        <v>2162500</v>
      </c>
      <c r="I120" s="103">
        <f>VLOOKUP($A120,'OI(Volume)'!$A$7:$O$445,9)</f>
        <v>-300500</v>
      </c>
      <c r="J120" s="103">
        <f>VLOOKUP($A120,'OI(Volume)'!$A$7:$O$445,11)</f>
        <v>1441000</v>
      </c>
      <c r="K120" s="103">
        <f>VLOOKUP($A120,'OI(Volume)'!$A$7:$O$445,12)</f>
        <v>-73500</v>
      </c>
      <c r="L120" s="103">
        <f>VLOOKUP($A120,'OI(Value)'!$A$7:$O$329,8,0)</f>
        <v>213</v>
      </c>
      <c r="M120" s="103">
        <f>VLOOKUP($A120,'OI(Value)'!$A$7:$O$329,9,0)</f>
        <v>-30</v>
      </c>
      <c r="N120" s="103">
        <f>VLOOKUP($A120,'OI(Value)'!$A$7:$O$329,11,0)</f>
        <v>142</v>
      </c>
      <c r="O120" s="103">
        <f>VLOOKUP($A120,'OI(Value)'!$A$7:$O$329,12,0)</f>
        <v>-7</v>
      </c>
      <c r="P120" s="179">
        <f>VLOOKUP(A120,'OI(Value)'!A120:O344,8,0)</f>
        <v>213</v>
      </c>
      <c r="Q120" s="179">
        <f>VLOOKUP(A120,'OI(Value)'!A120:O344,9,0)</f>
        <v>-30</v>
      </c>
      <c r="R120" s="179">
        <f>VLOOKUP(A120,'OI(Value)'!A120:O344,11,0)</f>
        <v>142</v>
      </c>
      <c r="S120" s="179">
        <f>VLOOKUP(A120,'OI(Value)'!A120:O344,11,0)</f>
        <v>142</v>
      </c>
    </row>
    <row r="121" spans="1:19" x14ac:dyDescent="0.25">
      <c r="A121" s="105" t="str">
        <f>'Data Vlaue (Cr)'!C116</f>
        <v>KOTAKBANK</v>
      </c>
      <c r="B121" s="143">
        <f>VLOOKUP($A121,'Data shares'!$C:$FA,118)</f>
        <v>0.8</v>
      </c>
      <c r="C121" s="143">
        <f>VLOOKUP($A121,'Data shares'!$C:$FA,119)</f>
        <v>0.81</v>
      </c>
      <c r="D121" s="143">
        <f>VLOOKUP($A121,'Data shares'!$C:$FA,121)*100</f>
        <v>-1.23</v>
      </c>
      <c r="E121" s="143">
        <f>VLOOKUP($A121,'Data shares'!$C:$FA,124)</f>
        <v>0.56999999999999995</v>
      </c>
      <c r="F121" s="143">
        <f>VLOOKUP($A121,'Data shares'!$C:$FA,125)</f>
        <v>0.42</v>
      </c>
      <c r="G121" s="143">
        <f>VLOOKUP($A121,'Data shares'!$C:$FA,127)*100</f>
        <v>35.709999999999994</v>
      </c>
      <c r="H121" s="103">
        <f>VLOOKUP($A121,'OI(Volume)'!$A$7:$O$445,8)</f>
        <v>37174000</v>
      </c>
      <c r="I121" s="103">
        <f>VLOOKUP($A121,'OI(Volume)'!$A$7:$O$445,9)</f>
        <v>1444000</v>
      </c>
      <c r="J121" s="103">
        <f>VLOOKUP($A121,'OI(Volume)'!$A$7:$O$445,11)</f>
        <v>29858000</v>
      </c>
      <c r="K121" s="103">
        <f>VLOOKUP($A121,'OI(Volume)'!$A$7:$O$445,12)</f>
        <v>750000</v>
      </c>
      <c r="L121" s="103">
        <f>VLOOKUP($A121,'OI(Value)'!$A$7:$O$329,8,0)</f>
        <v>1378</v>
      </c>
      <c r="M121" s="103">
        <f>VLOOKUP($A121,'OI(Value)'!$A$7:$O$329,9,0)</f>
        <v>54</v>
      </c>
      <c r="N121" s="103">
        <f>VLOOKUP($A121,'OI(Value)'!$A$7:$O$329,11,0)</f>
        <v>1107</v>
      </c>
      <c r="O121" s="103">
        <f>VLOOKUP($A121,'OI(Value)'!$A$7:$O$329,12,0)</f>
        <v>28</v>
      </c>
      <c r="P121" s="179">
        <f>VLOOKUP(A121,'OI(Value)'!A121:O345,8,0)</f>
        <v>1378</v>
      </c>
      <c r="Q121" s="179">
        <f>VLOOKUP(A121,'OI(Value)'!A121:O345,9,0)</f>
        <v>54</v>
      </c>
      <c r="R121" s="179">
        <f>VLOOKUP(A121,'OI(Value)'!A121:O345,11,0)</f>
        <v>1107</v>
      </c>
      <c r="S121" s="179">
        <f>VLOOKUP(A121,'OI(Value)'!A121:O345,11,0)</f>
        <v>1107</v>
      </c>
    </row>
    <row r="122" spans="1:19" x14ac:dyDescent="0.25">
      <c r="A122" s="105" t="str">
        <f>'Data Vlaue (Cr)'!C117</f>
        <v>KPITTECH</v>
      </c>
      <c r="B122" s="143">
        <f>VLOOKUP($A122,'Data shares'!$C:$FA,118)</f>
        <v>0.57999999999999996</v>
      </c>
      <c r="C122" s="143">
        <f>VLOOKUP($A122,'Data shares'!$C:$FA,119)</f>
        <v>0.6</v>
      </c>
      <c r="D122" s="143">
        <f>VLOOKUP($A122,'Data shares'!$C:$FA,121)*100</f>
        <v>-3.3300000000000005</v>
      </c>
      <c r="E122" s="143">
        <f>VLOOKUP($A122,'Data shares'!$C:$FA,124)</f>
        <v>0.44</v>
      </c>
      <c r="F122" s="143">
        <f>VLOOKUP($A122,'Data shares'!$C:$FA,125)</f>
        <v>0.86</v>
      </c>
      <c r="G122" s="143">
        <f>VLOOKUP($A122,'Data shares'!$C:$FA,127)*100</f>
        <v>-48.84</v>
      </c>
      <c r="H122" s="103">
        <f>VLOOKUP($A122,'OI(Volume)'!$A$7:$O$445,8)</f>
        <v>3664350</v>
      </c>
      <c r="I122" s="103">
        <f>VLOOKUP($A122,'OI(Volume)'!$A$7:$O$445,9)</f>
        <v>30600</v>
      </c>
      <c r="J122" s="103">
        <f>VLOOKUP($A122,'OI(Volume)'!$A$7:$O$445,11)</f>
        <v>2138600</v>
      </c>
      <c r="K122" s="103">
        <f>VLOOKUP($A122,'OI(Volume)'!$A$7:$O$445,12)</f>
        <v>-34850</v>
      </c>
      <c r="L122" s="103">
        <f>VLOOKUP($A122,'OI(Value)'!$A$7:$O$329,8,0)</f>
        <v>269</v>
      </c>
      <c r="M122" s="103">
        <f>VLOOKUP($A122,'OI(Value)'!$A$7:$O$329,9,0)</f>
        <v>2</v>
      </c>
      <c r="N122" s="103">
        <f>VLOOKUP($A122,'OI(Value)'!$A$7:$O$329,11,0)</f>
        <v>157</v>
      </c>
      <c r="O122" s="103">
        <f>VLOOKUP($A122,'OI(Value)'!$A$7:$O$329,12,0)</f>
        <v>-3</v>
      </c>
      <c r="P122" s="179">
        <f>VLOOKUP(A122,'OI(Value)'!A122:O346,8,0)</f>
        <v>269</v>
      </c>
      <c r="Q122" s="179">
        <f>VLOOKUP(A122,'OI(Value)'!A122:O346,9,0)</f>
        <v>2</v>
      </c>
      <c r="R122" s="179">
        <f>VLOOKUP(A122,'OI(Value)'!A122:O346,11,0)</f>
        <v>157</v>
      </c>
      <c r="S122" s="179">
        <f>VLOOKUP(A122,'OI(Value)'!A122:O346,11,0)</f>
        <v>157</v>
      </c>
    </row>
    <row r="123" spans="1:19" x14ac:dyDescent="0.25">
      <c r="A123" s="105" t="str">
        <f>'Data Vlaue (Cr)'!C118</f>
        <v>LAURUSLABS</v>
      </c>
      <c r="B123" s="143">
        <f>VLOOKUP($A123,'Data shares'!$C:$FA,118)</f>
        <v>0.79</v>
      </c>
      <c r="C123" s="143">
        <f>VLOOKUP($A123,'Data shares'!$C:$FA,119)</f>
        <v>0.8</v>
      </c>
      <c r="D123" s="143">
        <f>VLOOKUP($A123,'Data shares'!$C:$FA,121)*100</f>
        <v>-1.25</v>
      </c>
      <c r="E123" s="143">
        <f>VLOOKUP($A123,'Data shares'!$C:$FA,124)</f>
        <v>0.26</v>
      </c>
      <c r="F123" s="143">
        <f>VLOOKUP($A123,'Data shares'!$C:$FA,125)</f>
        <v>0.5</v>
      </c>
      <c r="G123" s="143">
        <f>VLOOKUP($A123,'Data shares'!$C:$FA,127)*100</f>
        <v>-48</v>
      </c>
      <c r="H123" s="103">
        <f>VLOOKUP($A123,'OI(Volume)'!$A$7:$O$445,8)</f>
        <v>6007800</v>
      </c>
      <c r="I123" s="103">
        <f>VLOOKUP($A123,'OI(Volume)'!$A$7:$O$445,9)</f>
        <v>141100</v>
      </c>
      <c r="J123" s="103">
        <f>VLOOKUP($A123,'OI(Volume)'!$A$7:$O$445,11)</f>
        <v>4764250</v>
      </c>
      <c r="K123" s="103">
        <f>VLOOKUP($A123,'OI(Volume)'!$A$7:$O$445,12)</f>
        <v>49300</v>
      </c>
      <c r="L123" s="103">
        <f>VLOOKUP($A123,'OI(Value)'!$A$7:$O$329,8,0)</f>
        <v>678</v>
      </c>
      <c r="M123" s="103">
        <f>VLOOKUP($A123,'OI(Value)'!$A$7:$O$329,9,0)</f>
        <v>16</v>
      </c>
      <c r="N123" s="103">
        <f>VLOOKUP($A123,'OI(Value)'!$A$7:$O$329,11,0)</f>
        <v>538</v>
      </c>
      <c r="O123" s="103">
        <f>VLOOKUP($A123,'OI(Value)'!$A$7:$O$329,12,0)</f>
        <v>6</v>
      </c>
      <c r="P123" s="179">
        <f>VLOOKUP(A123,'OI(Value)'!A123:O347,8,0)</f>
        <v>678</v>
      </c>
      <c r="Q123" s="179">
        <f>VLOOKUP(A123,'OI(Value)'!A123:O347,9,0)</f>
        <v>16</v>
      </c>
      <c r="R123" s="179">
        <f>VLOOKUP(A123,'OI(Value)'!A123:O347,11,0)</f>
        <v>538</v>
      </c>
      <c r="S123" s="179">
        <f>VLOOKUP(A123,'OI(Value)'!A123:O347,11,0)</f>
        <v>538</v>
      </c>
    </row>
    <row r="124" spans="1:19" x14ac:dyDescent="0.25">
      <c r="A124" s="105" t="str">
        <f>'Data Vlaue (Cr)'!C119</f>
        <v>LICHSGFIN</v>
      </c>
      <c r="B124" s="143">
        <f>VLOOKUP($A124,'Data shares'!$C:$FA,118)</f>
        <v>0.83</v>
      </c>
      <c r="C124" s="143">
        <f>VLOOKUP($A124,'Data shares'!$C:$FA,119)</f>
        <v>0.88</v>
      </c>
      <c r="D124" s="143">
        <f>VLOOKUP($A124,'Data shares'!$C:$FA,121)*100</f>
        <v>-5.6800000000000006</v>
      </c>
      <c r="E124" s="143">
        <f>VLOOKUP($A124,'Data shares'!$C:$FA,124)</f>
        <v>0.56000000000000005</v>
      </c>
      <c r="F124" s="143">
        <f>VLOOKUP($A124,'Data shares'!$C:$FA,125)</f>
        <v>0.42</v>
      </c>
      <c r="G124" s="143">
        <f>VLOOKUP($A124,'Data shares'!$C:$FA,127)*100</f>
        <v>33.33</v>
      </c>
      <c r="H124" s="103">
        <f>VLOOKUP($A124,'OI(Volume)'!$A$7:$O$445,8)</f>
        <v>8394000</v>
      </c>
      <c r="I124" s="103">
        <f>VLOOKUP($A124,'OI(Volume)'!$A$7:$O$445,9)</f>
        <v>294000</v>
      </c>
      <c r="J124" s="103">
        <f>VLOOKUP($A124,'OI(Volume)'!$A$7:$O$445,11)</f>
        <v>6947000</v>
      </c>
      <c r="K124" s="103">
        <f>VLOOKUP($A124,'OI(Volume)'!$A$7:$O$445,12)</f>
        <v>-196000</v>
      </c>
      <c r="L124" s="103">
        <f>VLOOKUP($A124,'OI(Value)'!$A$7:$O$329,8,0)</f>
        <v>458</v>
      </c>
      <c r="M124" s="103">
        <f>VLOOKUP($A124,'OI(Value)'!$A$7:$O$329,9,0)</f>
        <v>16</v>
      </c>
      <c r="N124" s="103">
        <f>VLOOKUP($A124,'OI(Value)'!$A$7:$O$329,11,0)</f>
        <v>379</v>
      </c>
      <c r="O124" s="103">
        <f>VLOOKUP($A124,'OI(Value)'!$A$7:$O$329,12,0)</f>
        <v>-11</v>
      </c>
      <c r="P124" s="179">
        <f>VLOOKUP(A124,'OI(Value)'!A124:O348,8,0)</f>
        <v>458</v>
      </c>
      <c r="Q124" s="179">
        <f>VLOOKUP(A124,'OI(Value)'!A124:O348,9,0)</f>
        <v>16</v>
      </c>
      <c r="R124" s="179">
        <f>VLOOKUP(A124,'OI(Value)'!A124:O348,11,0)</f>
        <v>379</v>
      </c>
      <c r="S124" s="179">
        <f>VLOOKUP(A124,'OI(Value)'!A124:O348,11,0)</f>
        <v>379</v>
      </c>
    </row>
    <row r="125" spans="1:19" x14ac:dyDescent="0.25">
      <c r="A125" s="105" t="str">
        <f>'Data Vlaue (Cr)'!C120</f>
        <v>LICI</v>
      </c>
      <c r="B125" s="143">
        <f>VLOOKUP($A125,'Data shares'!$C:$FA,118)</f>
        <v>0.7</v>
      </c>
      <c r="C125" s="143">
        <f>VLOOKUP($A125,'Data shares'!$C:$FA,119)</f>
        <v>0.65</v>
      </c>
      <c r="D125" s="143">
        <f>VLOOKUP($A125,'Data shares'!$C:$FA,121)*100</f>
        <v>7.6899999999999995</v>
      </c>
      <c r="E125" s="143">
        <f>VLOOKUP($A125,'Data shares'!$C:$FA,124)</f>
        <v>0.54</v>
      </c>
      <c r="F125" s="143">
        <f>VLOOKUP($A125,'Data shares'!$C:$FA,125)</f>
        <v>0.31</v>
      </c>
      <c r="G125" s="143">
        <f>VLOOKUP($A125,'Data shares'!$C:$FA,127)*100</f>
        <v>74.19</v>
      </c>
      <c r="H125" s="103">
        <f>VLOOKUP($A125,'OI(Volume)'!$A$7:$O$445,8)</f>
        <v>6815900</v>
      </c>
      <c r="I125" s="103">
        <f>VLOOKUP($A125,'OI(Volume)'!$A$7:$O$445,9)</f>
        <v>-380800</v>
      </c>
      <c r="J125" s="103">
        <f>VLOOKUP($A125,'OI(Volume)'!$A$7:$O$445,11)</f>
        <v>4783100</v>
      </c>
      <c r="K125" s="103">
        <f>VLOOKUP($A125,'OI(Volume)'!$A$7:$O$445,12)</f>
        <v>139300</v>
      </c>
      <c r="L125" s="103">
        <f>VLOOKUP($A125,'OI(Value)'!$A$7:$O$329,8,0)</f>
        <v>553</v>
      </c>
      <c r="M125" s="103">
        <f>VLOOKUP($A125,'OI(Value)'!$A$7:$O$329,9,0)</f>
        <v>-31</v>
      </c>
      <c r="N125" s="103">
        <f>VLOOKUP($A125,'OI(Value)'!$A$7:$O$329,11,0)</f>
        <v>388</v>
      </c>
      <c r="O125" s="103">
        <f>VLOOKUP($A125,'OI(Value)'!$A$7:$O$329,12,0)</f>
        <v>11</v>
      </c>
      <c r="P125" s="179">
        <f>VLOOKUP(A125,'OI(Value)'!A125:O349,8,0)</f>
        <v>553</v>
      </c>
      <c r="Q125" s="179">
        <f>VLOOKUP(A125,'OI(Value)'!A125:O349,9,0)</f>
        <v>-31</v>
      </c>
      <c r="R125" s="179">
        <f>VLOOKUP(A125,'OI(Value)'!A125:O349,11,0)</f>
        <v>388</v>
      </c>
      <c r="S125" s="179">
        <f>VLOOKUP(A125,'OI(Value)'!A125:O349,11,0)</f>
        <v>388</v>
      </c>
    </row>
    <row r="126" spans="1:19" x14ac:dyDescent="0.25">
      <c r="A126" s="105" t="str">
        <f>'Data Vlaue (Cr)'!C121</f>
        <v>LODHA</v>
      </c>
      <c r="B126" s="143">
        <f>VLOOKUP($A126,'Data shares'!$C:$FA,118)</f>
        <v>0.86</v>
      </c>
      <c r="C126" s="143">
        <f>VLOOKUP($A126,'Data shares'!$C:$FA,119)</f>
        <v>0.84</v>
      </c>
      <c r="D126" s="143">
        <f>VLOOKUP($A126,'Data shares'!$C:$FA,121)*100</f>
        <v>2.3800000000000003</v>
      </c>
      <c r="E126" s="143">
        <f>VLOOKUP($A126,'Data shares'!$C:$FA,124)</f>
        <v>0.83</v>
      </c>
      <c r="F126" s="143">
        <f>VLOOKUP($A126,'Data shares'!$C:$FA,125)</f>
        <v>0.57999999999999996</v>
      </c>
      <c r="G126" s="143">
        <f>VLOOKUP($A126,'Data shares'!$C:$FA,127)*100</f>
        <v>43.1</v>
      </c>
      <c r="H126" s="103">
        <f>VLOOKUP($A126,'OI(Volume)'!$A$7:$O$445,8)</f>
        <v>6072300</v>
      </c>
      <c r="I126" s="103">
        <f>VLOOKUP($A126,'OI(Volume)'!$A$7:$O$445,9)</f>
        <v>85050</v>
      </c>
      <c r="J126" s="103">
        <f>VLOOKUP($A126,'OI(Volume)'!$A$7:$O$445,11)</f>
        <v>5229000</v>
      </c>
      <c r="K126" s="103">
        <f>VLOOKUP($A126,'OI(Volume)'!$A$7:$O$445,12)</f>
        <v>225900</v>
      </c>
      <c r="L126" s="103">
        <f>VLOOKUP($A126,'OI(Value)'!$A$7:$O$329,8,0)</f>
        <v>521</v>
      </c>
      <c r="M126" s="103">
        <f>VLOOKUP($A126,'OI(Value)'!$A$7:$O$329,9,0)</f>
        <v>7</v>
      </c>
      <c r="N126" s="103">
        <f>VLOOKUP($A126,'OI(Value)'!$A$7:$O$329,11,0)</f>
        <v>448</v>
      </c>
      <c r="O126" s="103">
        <f>VLOOKUP($A126,'OI(Value)'!$A$7:$O$329,12,0)</f>
        <v>19</v>
      </c>
      <c r="P126" s="179">
        <f>VLOOKUP(A126,'OI(Value)'!A126:O350,8,0)</f>
        <v>521</v>
      </c>
      <c r="Q126" s="179">
        <f>VLOOKUP(A126,'OI(Value)'!A126:O350,9,0)</f>
        <v>7</v>
      </c>
      <c r="R126" s="179">
        <f>VLOOKUP(A126,'OI(Value)'!A126:O350,11,0)</f>
        <v>448</v>
      </c>
      <c r="S126" s="179">
        <f>VLOOKUP(A126,'OI(Value)'!A126:O350,11,0)</f>
        <v>448</v>
      </c>
    </row>
    <row r="127" spans="1:19" x14ac:dyDescent="0.25">
      <c r="A127" s="105" t="str">
        <f>'Data Vlaue (Cr)'!C122</f>
        <v>LT</v>
      </c>
      <c r="B127" s="143">
        <f>VLOOKUP($A127,'Data shares'!$C:$FA,118)</f>
        <v>0.81</v>
      </c>
      <c r="C127" s="143">
        <f>VLOOKUP($A127,'Data shares'!$C:$FA,119)</f>
        <v>0.77</v>
      </c>
      <c r="D127" s="143">
        <f>VLOOKUP($A127,'Data shares'!$C:$FA,121)*100</f>
        <v>5.19</v>
      </c>
      <c r="E127" s="143">
        <f>VLOOKUP($A127,'Data shares'!$C:$FA,124)</f>
        <v>0.63</v>
      </c>
      <c r="F127" s="143">
        <f>VLOOKUP($A127,'Data shares'!$C:$FA,125)</f>
        <v>0.54</v>
      </c>
      <c r="G127" s="143">
        <f>VLOOKUP($A127,'Data shares'!$C:$FA,127)*100</f>
        <v>16.669999999999998</v>
      </c>
      <c r="H127" s="103">
        <f>VLOOKUP($A127,'OI(Volume)'!$A$7:$O$445,8)</f>
        <v>10001600</v>
      </c>
      <c r="I127" s="103">
        <f>VLOOKUP($A127,'OI(Volume)'!$A$7:$O$445,9)</f>
        <v>-352275</v>
      </c>
      <c r="J127" s="103">
        <f>VLOOKUP($A127,'OI(Volume)'!$A$7:$O$445,11)</f>
        <v>8061725</v>
      </c>
      <c r="K127" s="103">
        <f>VLOOKUP($A127,'OI(Volume)'!$A$7:$O$445,12)</f>
        <v>114275</v>
      </c>
      <c r="L127" s="103">
        <f>VLOOKUP($A127,'OI(Value)'!$A$7:$O$329,8,0)</f>
        <v>4058</v>
      </c>
      <c r="M127" s="103">
        <f>VLOOKUP($A127,'OI(Value)'!$A$7:$O$329,9,0)</f>
        <v>-143</v>
      </c>
      <c r="N127" s="103">
        <f>VLOOKUP($A127,'OI(Value)'!$A$7:$O$329,11,0)</f>
        <v>3271</v>
      </c>
      <c r="O127" s="103">
        <f>VLOOKUP($A127,'OI(Value)'!$A$7:$O$329,12,0)</f>
        <v>46</v>
      </c>
      <c r="P127" s="179">
        <f>VLOOKUP(A127,'OI(Value)'!A127:O351,8,0)</f>
        <v>4058</v>
      </c>
      <c r="Q127" s="179">
        <f>VLOOKUP(A127,'OI(Value)'!A127:O351,9,0)</f>
        <v>-143</v>
      </c>
      <c r="R127" s="179">
        <f>VLOOKUP(A127,'OI(Value)'!A127:O351,11,0)</f>
        <v>3271</v>
      </c>
      <c r="S127" s="179">
        <f>VLOOKUP(A127,'OI(Value)'!A127:O351,11,0)</f>
        <v>3271</v>
      </c>
    </row>
    <row r="128" spans="1:19" x14ac:dyDescent="0.25">
      <c r="A128" s="105" t="str">
        <f>'Data Vlaue (Cr)'!C123</f>
        <v>LTF</v>
      </c>
      <c r="B128" s="143">
        <f>VLOOKUP($A128,'Data shares'!$C:$FA,118)</f>
        <v>0.87</v>
      </c>
      <c r="C128" s="143">
        <f>VLOOKUP($A128,'Data shares'!$C:$FA,119)</f>
        <v>0.87</v>
      </c>
      <c r="D128" s="143">
        <f>VLOOKUP($A128,'Data shares'!$C:$FA,121)*100</f>
        <v>0</v>
      </c>
      <c r="E128" s="143">
        <f>VLOOKUP($A128,'Data shares'!$C:$FA,124)</f>
        <v>0.72</v>
      </c>
      <c r="F128" s="143">
        <f>VLOOKUP($A128,'Data shares'!$C:$FA,125)</f>
        <v>0.6</v>
      </c>
      <c r="G128" s="143">
        <f>VLOOKUP($A128,'Data shares'!$C:$FA,127)*100</f>
        <v>20</v>
      </c>
      <c r="H128" s="103">
        <f>VLOOKUP($A128,'OI(Volume)'!$A$7:$O$445,8)</f>
        <v>20940750</v>
      </c>
      <c r="I128" s="103">
        <f>VLOOKUP($A128,'OI(Volume)'!$A$7:$O$445,9)</f>
        <v>708750</v>
      </c>
      <c r="J128" s="103">
        <f>VLOOKUP($A128,'OI(Volume)'!$A$7:$O$445,11)</f>
        <v>18186750</v>
      </c>
      <c r="K128" s="103">
        <f>VLOOKUP($A128,'OI(Volume)'!$A$7:$O$445,12)</f>
        <v>492750</v>
      </c>
      <c r="L128" s="103">
        <f>VLOOKUP($A128,'OI(Value)'!$A$7:$O$329,8,0)</f>
        <v>612</v>
      </c>
      <c r="M128" s="103">
        <f>VLOOKUP($A128,'OI(Value)'!$A$7:$O$329,9,0)</f>
        <v>21</v>
      </c>
      <c r="N128" s="103">
        <f>VLOOKUP($A128,'OI(Value)'!$A$7:$O$329,11,0)</f>
        <v>531</v>
      </c>
      <c r="O128" s="103">
        <f>VLOOKUP($A128,'OI(Value)'!$A$7:$O$329,12,0)</f>
        <v>14</v>
      </c>
      <c r="P128" s="179">
        <f>VLOOKUP(A128,'OI(Value)'!A128:O352,8,0)</f>
        <v>612</v>
      </c>
      <c r="Q128" s="179">
        <f>VLOOKUP(A128,'OI(Value)'!A128:O352,9,0)</f>
        <v>21</v>
      </c>
      <c r="R128" s="179">
        <f>VLOOKUP(A128,'OI(Value)'!A128:O352,11,0)</f>
        <v>531</v>
      </c>
      <c r="S128" s="179">
        <f>VLOOKUP(A128,'OI(Value)'!A128:O352,11,0)</f>
        <v>531</v>
      </c>
    </row>
    <row r="129" spans="1:19" x14ac:dyDescent="0.25">
      <c r="A129" s="105" t="str">
        <f>'Data Vlaue (Cr)'!C124</f>
        <v>LTM</v>
      </c>
      <c r="B129" s="143">
        <f>VLOOKUP($A129,'Data shares'!$C:$FA,118)</f>
        <v>0.98</v>
      </c>
      <c r="C129" s="143">
        <f>VLOOKUP($A129,'Data shares'!$C:$FA,119)</f>
        <v>0.95</v>
      </c>
      <c r="D129" s="143">
        <f>VLOOKUP($A129,'Data shares'!$C:$FA,121)*100</f>
        <v>3.16</v>
      </c>
      <c r="E129" s="143">
        <f>VLOOKUP($A129,'Data shares'!$C:$FA,124)</f>
        <v>0.95</v>
      </c>
      <c r="F129" s="143">
        <f>VLOOKUP($A129,'Data shares'!$C:$FA,125)</f>
        <v>0.91</v>
      </c>
      <c r="G129" s="143">
        <f>VLOOKUP($A129,'Data shares'!$C:$FA,127)*100</f>
        <v>4.3999999999999995</v>
      </c>
      <c r="H129" s="103">
        <f>VLOOKUP($A129,'OI(Volume)'!$A$7:$O$445,8)</f>
        <v>1361700</v>
      </c>
      <c r="I129" s="103">
        <f>VLOOKUP($A129,'OI(Volume)'!$A$7:$O$445,9)</f>
        <v>192000</v>
      </c>
      <c r="J129" s="103">
        <f>VLOOKUP($A129,'OI(Volume)'!$A$7:$O$445,11)</f>
        <v>1338450</v>
      </c>
      <c r="K129" s="103">
        <f>VLOOKUP($A129,'OI(Volume)'!$A$7:$O$445,12)</f>
        <v>227550</v>
      </c>
      <c r="L129" s="103">
        <f>VLOOKUP($A129,'OI(Value)'!$A$7:$O$329,8,0)</f>
        <v>617</v>
      </c>
      <c r="M129" s="103">
        <f>VLOOKUP($A129,'OI(Value)'!$A$7:$O$329,9,0)</f>
        <v>87</v>
      </c>
      <c r="N129" s="103">
        <f>VLOOKUP($A129,'OI(Value)'!$A$7:$O$329,11,0)</f>
        <v>607</v>
      </c>
      <c r="O129" s="103">
        <f>VLOOKUP($A129,'OI(Value)'!$A$7:$O$329,12,0)</f>
        <v>103</v>
      </c>
      <c r="P129" s="179">
        <f>VLOOKUP(A129,'OI(Value)'!A129:O353,8,0)</f>
        <v>617</v>
      </c>
      <c r="Q129" s="179">
        <f>VLOOKUP(A129,'OI(Value)'!A129:O353,9,0)</f>
        <v>87</v>
      </c>
      <c r="R129" s="179">
        <f>VLOOKUP(A129,'OI(Value)'!A129:O353,11,0)</f>
        <v>607</v>
      </c>
      <c r="S129" s="179">
        <f>VLOOKUP(A129,'OI(Value)'!A129:O353,11,0)</f>
        <v>607</v>
      </c>
    </row>
    <row r="130" spans="1:19" x14ac:dyDescent="0.25">
      <c r="A130" s="105" t="str">
        <f>'Data Vlaue (Cr)'!C125</f>
        <v>LUPIN</v>
      </c>
      <c r="B130" s="143">
        <f>VLOOKUP($A130,'Data shares'!$C:$FA,118)</f>
        <v>0.69</v>
      </c>
      <c r="C130" s="143">
        <f>VLOOKUP($A130,'Data shares'!$C:$FA,119)</f>
        <v>0.75</v>
      </c>
      <c r="D130" s="143">
        <f>VLOOKUP($A130,'Data shares'!$C:$FA,121)*100</f>
        <v>-8</v>
      </c>
      <c r="E130" s="143">
        <f>VLOOKUP($A130,'Data shares'!$C:$FA,124)</f>
        <v>0.32</v>
      </c>
      <c r="F130" s="143">
        <f>VLOOKUP($A130,'Data shares'!$C:$FA,125)</f>
        <v>0.56999999999999995</v>
      </c>
      <c r="G130" s="143">
        <f>VLOOKUP($A130,'Data shares'!$C:$FA,127)*100</f>
        <v>-43.86</v>
      </c>
      <c r="H130" s="103">
        <f>VLOOKUP($A130,'OI(Volume)'!$A$7:$O$445,8)</f>
        <v>2772275</v>
      </c>
      <c r="I130" s="103">
        <f>VLOOKUP($A130,'OI(Volume)'!$A$7:$O$445,9)</f>
        <v>429675</v>
      </c>
      <c r="J130" s="103">
        <f>VLOOKUP($A130,'OI(Volume)'!$A$7:$O$445,11)</f>
        <v>1925250</v>
      </c>
      <c r="K130" s="103">
        <f>VLOOKUP($A130,'OI(Volume)'!$A$7:$O$445,12)</f>
        <v>172125</v>
      </c>
      <c r="L130" s="103">
        <f>VLOOKUP($A130,'OI(Value)'!$A$7:$O$329,8,0)</f>
        <v>650</v>
      </c>
      <c r="M130" s="103">
        <f>VLOOKUP($A130,'OI(Value)'!$A$7:$O$329,9,0)</f>
        <v>101</v>
      </c>
      <c r="N130" s="103">
        <f>VLOOKUP($A130,'OI(Value)'!$A$7:$O$329,11,0)</f>
        <v>451</v>
      </c>
      <c r="O130" s="103">
        <f>VLOOKUP($A130,'OI(Value)'!$A$7:$O$329,12,0)</f>
        <v>40</v>
      </c>
      <c r="P130" s="179">
        <f>VLOOKUP(A130,'OI(Value)'!A130:O354,8,0)</f>
        <v>650</v>
      </c>
      <c r="Q130" s="179">
        <f>VLOOKUP(A130,'OI(Value)'!A130:O354,9,0)</f>
        <v>101</v>
      </c>
      <c r="R130" s="179">
        <f>VLOOKUP(A130,'OI(Value)'!A130:O354,11,0)</f>
        <v>451</v>
      </c>
      <c r="S130" s="179">
        <f>VLOOKUP(A130,'OI(Value)'!A130:O354,11,0)</f>
        <v>451</v>
      </c>
    </row>
    <row r="131" spans="1:19" x14ac:dyDescent="0.25">
      <c r="A131" s="105" t="str">
        <f>'Data Vlaue (Cr)'!C126</f>
        <v>M&amp;M</v>
      </c>
      <c r="B131" s="143">
        <f>VLOOKUP($A131,'Data shares'!$C:$FA,118)</f>
        <v>0.64</v>
      </c>
      <c r="C131" s="143">
        <f>VLOOKUP($A131,'Data shares'!$C:$FA,119)</f>
        <v>0.67</v>
      </c>
      <c r="D131" s="143">
        <f>VLOOKUP($A131,'Data shares'!$C:$FA,121)*100</f>
        <v>-4.4799999999999995</v>
      </c>
      <c r="E131" s="143">
        <f>VLOOKUP($A131,'Data shares'!$C:$FA,124)</f>
        <v>0.57999999999999996</v>
      </c>
      <c r="F131" s="143">
        <f>VLOOKUP($A131,'Data shares'!$C:$FA,125)</f>
        <v>0.55000000000000004</v>
      </c>
      <c r="G131" s="143">
        <f>VLOOKUP($A131,'Data shares'!$C:$FA,127)*100</f>
        <v>5.45</v>
      </c>
      <c r="H131" s="103">
        <f>VLOOKUP($A131,'OI(Volume)'!$A$7:$O$445,8)</f>
        <v>5781600</v>
      </c>
      <c r="I131" s="103">
        <f>VLOOKUP($A131,'OI(Volume)'!$A$7:$O$445,9)</f>
        <v>357600</v>
      </c>
      <c r="J131" s="103">
        <f>VLOOKUP($A131,'OI(Volume)'!$A$7:$O$445,11)</f>
        <v>3721400</v>
      </c>
      <c r="K131" s="103">
        <f>VLOOKUP($A131,'OI(Volume)'!$A$7:$O$445,12)</f>
        <v>64600</v>
      </c>
      <c r="L131" s="103">
        <f>VLOOKUP($A131,'OI(Value)'!$A$7:$O$329,8,0)</f>
        <v>1763</v>
      </c>
      <c r="M131" s="103">
        <f>VLOOKUP($A131,'OI(Value)'!$A$7:$O$329,9,0)</f>
        <v>109</v>
      </c>
      <c r="N131" s="103">
        <f>VLOOKUP($A131,'OI(Value)'!$A$7:$O$329,11,0)</f>
        <v>1134</v>
      </c>
      <c r="O131" s="103">
        <f>VLOOKUP($A131,'OI(Value)'!$A$7:$O$329,12,0)</f>
        <v>20</v>
      </c>
      <c r="P131" s="179">
        <f>VLOOKUP(A131,'OI(Value)'!A131:O355,8,0)</f>
        <v>1763</v>
      </c>
      <c r="Q131" s="179">
        <f>VLOOKUP(A131,'OI(Value)'!A131:O355,9,0)</f>
        <v>109</v>
      </c>
      <c r="R131" s="179">
        <f>VLOOKUP(A131,'OI(Value)'!A131:O355,11,0)</f>
        <v>1134</v>
      </c>
      <c r="S131" s="179">
        <f>VLOOKUP(A131,'OI(Value)'!A131:O355,11,0)</f>
        <v>1134</v>
      </c>
    </row>
    <row r="132" spans="1:19" x14ac:dyDescent="0.25">
      <c r="A132" s="105" t="str">
        <f>'Data Vlaue (Cr)'!C127</f>
        <v>MANAPPURAM</v>
      </c>
      <c r="B132" s="143">
        <f>VLOOKUP($A132,'Data shares'!$C:$FA,118)</f>
        <v>0.87</v>
      </c>
      <c r="C132" s="143">
        <f>VLOOKUP($A132,'Data shares'!$C:$FA,119)</f>
        <v>0.89</v>
      </c>
      <c r="D132" s="143">
        <f>VLOOKUP($A132,'Data shares'!$C:$FA,121)*100</f>
        <v>-2.25</v>
      </c>
      <c r="E132" s="143">
        <f>VLOOKUP($A132,'Data shares'!$C:$FA,124)</f>
        <v>0.52</v>
      </c>
      <c r="F132" s="143">
        <f>VLOOKUP($A132,'Data shares'!$C:$FA,125)</f>
        <v>0.56000000000000005</v>
      </c>
      <c r="G132" s="143">
        <f>VLOOKUP($A132,'Data shares'!$C:$FA,127)*100</f>
        <v>-7.1400000000000006</v>
      </c>
      <c r="H132" s="103">
        <f>VLOOKUP($A132,'OI(Volume)'!$A$7:$O$445,8)</f>
        <v>17715000</v>
      </c>
      <c r="I132" s="103">
        <f>VLOOKUP($A132,'OI(Volume)'!$A$7:$O$445,9)</f>
        <v>-381000</v>
      </c>
      <c r="J132" s="103">
        <f>VLOOKUP($A132,'OI(Volume)'!$A$7:$O$445,11)</f>
        <v>15441000</v>
      </c>
      <c r="K132" s="103">
        <f>VLOOKUP($A132,'OI(Volume)'!$A$7:$O$445,12)</f>
        <v>-642000</v>
      </c>
      <c r="L132" s="103">
        <f>VLOOKUP($A132,'OI(Value)'!$A$7:$O$329,8,0)</f>
        <v>518</v>
      </c>
      <c r="M132" s="103">
        <f>VLOOKUP($A132,'OI(Value)'!$A$7:$O$329,9,0)</f>
        <v>-11</v>
      </c>
      <c r="N132" s="103">
        <f>VLOOKUP($A132,'OI(Value)'!$A$7:$O$329,11,0)</f>
        <v>451</v>
      </c>
      <c r="O132" s="103">
        <f>VLOOKUP($A132,'OI(Value)'!$A$7:$O$329,12,0)</f>
        <v>-19</v>
      </c>
      <c r="P132" s="179">
        <f>VLOOKUP(A132,'OI(Value)'!A132:O356,8,0)</f>
        <v>518</v>
      </c>
      <c r="Q132" s="179">
        <f>VLOOKUP(A132,'OI(Value)'!A132:O356,9,0)</f>
        <v>-11</v>
      </c>
      <c r="R132" s="179">
        <f>VLOOKUP(A132,'OI(Value)'!A132:O356,11,0)</f>
        <v>451</v>
      </c>
      <c r="S132" s="179">
        <f>VLOOKUP(A132,'OI(Value)'!A132:O356,11,0)</f>
        <v>451</v>
      </c>
    </row>
    <row r="133" spans="1:19" x14ac:dyDescent="0.25">
      <c r="A133" s="105" t="str">
        <f>'Data Vlaue (Cr)'!C128</f>
        <v>MANKIND</v>
      </c>
      <c r="B133" s="143">
        <f>VLOOKUP($A133,'Data shares'!$C:$FA,118)</f>
        <v>0.99</v>
      </c>
      <c r="C133" s="143">
        <f>VLOOKUP($A133,'Data shares'!$C:$FA,119)</f>
        <v>0.79</v>
      </c>
      <c r="D133" s="143">
        <f>VLOOKUP($A133,'Data shares'!$C:$FA,121)*100</f>
        <v>25.319999999999997</v>
      </c>
      <c r="E133" s="143">
        <f>VLOOKUP($A133,'Data shares'!$C:$FA,124)</f>
        <v>0.39</v>
      </c>
      <c r="F133" s="143">
        <f>VLOOKUP($A133,'Data shares'!$C:$FA,125)</f>
        <v>0.43</v>
      </c>
      <c r="G133" s="143">
        <f>VLOOKUP($A133,'Data shares'!$C:$FA,127)*100</f>
        <v>-9.3000000000000007</v>
      </c>
      <c r="H133" s="103">
        <f>VLOOKUP($A133,'OI(Volume)'!$A$7:$O$445,8)</f>
        <v>857925</v>
      </c>
      <c r="I133" s="103">
        <f>VLOOKUP($A133,'OI(Volume)'!$A$7:$O$445,9)</f>
        <v>115425</v>
      </c>
      <c r="J133" s="103">
        <f>VLOOKUP($A133,'OI(Volume)'!$A$7:$O$445,11)</f>
        <v>849150</v>
      </c>
      <c r="K133" s="103">
        <f>VLOOKUP($A133,'OI(Volume)'!$A$7:$O$445,12)</f>
        <v>261450</v>
      </c>
      <c r="L133" s="103">
        <f>VLOOKUP($A133,'OI(Value)'!$A$7:$O$329,8,0)</f>
        <v>197</v>
      </c>
      <c r="M133" s="103">
        <f>VLOOKUP($A133,'OI(Value)'!$A$7:$O$329,9,0)</f>
        <v>26</v>
      </c>
      <c r="N133" s="103">
        <f>VLOOKUP($A133,'OI(Value)'!$A$7:$O$329,11,0)</f>
        <v>195</v>
      </c>
      <c r="O133" s="103">
        <f>VLOOKUP($A133,'OI(Value)'!$A$7:$O$329,12,0)</f>
        <v>60</v>
      </c>
      <c r="P133" s="179">
        <f>VLOOKUP(A133,'OI(Value)'!A133:O357,8,0)</f>
        <v>197</v>
      </c>
      <c r="Q133" s="179">
        <f>VLOOKUP(A133,'OI(Value)'!A133:O357,9,0)</f>
        <v>26</v>
      </c>
      <c r="R133" s="179">
        <f>VLOOKUP(A133,'OI(Value)'!A133:O357,11,0)</f>
        <v>195</v>
      </c>
      <c r="S133" s="179">
        <f>VLOOKUP(A133,'OI(Value)'!A133:O357,11,0)</f>
        <v>195</v>
      </c>
    </row>
    <row r="134" spans="1:19" x14ac:dyDescent="0.25">
      <c r="A134" s="105" t="str">
        <f>'Data Vlaue (Cr)'!C129</f>
        <v>MARICO</v>
      </c>
      <c r="B134" s="143">
        <f>VLOOKUP($A134,'Data shares'!$C:$FA,118)</f>
        <v>1.02</v>
      </c>
      <c r="C134" s="143">
        <f>VLOOKUP($A134,'Data shares'!$C:$FA,119)</f>
        <v>1.06</v>
      </c>
      <c r="D134" s="143">
        <f>VLOOKUP($A134,'Data shares'!$C:$FA,121)*100</f>
        <v>-3.7699999999999996</v>
      </c>
      <c r="E134" s="143">
        <f>VLOOKUP($A134,'Data shares'!$C:$FA,124)</f>
        <v>0.3</v>
      </c>
      <c r="F134" s="143">
        <f>VLOOKUP($A134,'Data shares'!$C:$FA,125)</f>
        <v>0.38</v>
      </c>
      <c r="G134" s="143">
        <f>VLOOKUP($A134,'Data shares'!$C:$FA,127)*100</f>
        <v>-21.05</v>
      </c>
      <c r="H134" s="103">
        <f>VLOOKUP($A134,'OI(Volume)'!$A$7:$O$445,8)</f>
        <v>4456800</v>
      </c>
      <c r="I134" s="103">
        <f>VLOOKUP($A134,'OI(Volume)'!$A$7:$O$445,9)</f>
        <v>278400</v>
      </c>
      <c r="J134" s="103">
        <f>VLOOKUP($A134,'OI(Volume)'!$A$7:$O$445,11)</f>
        <v>4527600</v>
      </c>
      <c r="K134" s="103">
        <f>VLOOKUP($A134,'OI(Volume)'!$A$7:$O$445,12)</f>
        <v>94800</v>
      </c>
      <c r="L134" s="103">
        <f>VLOOKUP($A134,'OI(Value)'!$A$7:$O$329,8,0)</f>
        <v>347</v>
      </c>
      <c r="M134" s="103">
        <f>VLOOKUP($A134,'OI(Value)'!$A$7:$O$329,9,0)</f>
        <v>22</v>
      </c>
      <c r="N134" s="103">
        <f>VLOOKUP($A134,'OI(Value)'!$A$7:$O$329,11,0)</f>
        <v>352</v>
      </c>
      <c r="O134" s="103">
        <f>VLOOKUP($A134,'OI(Value)'!$A$7:$O$329,12,0)</f>
        <v>7</v>
      </c>
      <c r="P134" s="179">
        <f>VLOOKUP(A134,'OI(Value)'!A134:O358,8,0)</f>
        <v>347</v>
      </c>
      <c r="Q134" s="179">
        <f>VLOOKUP(A134,'OI(Value)'!A134:O358,9,0)</f>
        <v>22</v>
      </c>
      <c r="R134" s="179">
        <f>VLOOKUP(A134,'OI(Value)'!A134:O358,11,0)</f>
        <v>352</v>
      </c>
      <c r="S134" s="179">
        <f>VLOOKUP(A134,'OI(Value)'!A134:O358,11,0)</f>
        <v>352</v>
      </c>
    </row>
    <row r="135" spans="1:19" x14ac:dyDescent="0.25">
      <c r="A135" s="105" t="str">
        <f>'Data Vlaue (Cr)'!C130</f>
        <v>MARUTI</v>
      </c>
      <c r="B135" s="143">
        <f>VLOOKUP($A135,'Data shares'!$C:$FA,118)</f>
        <v>0.5</v>
      </c>
      <c r="C135" s="143">
        <f>VLOOKUP($A135,'Data shares'!$C:$FA,119)</f>
        <v>0.54</v>
      </c>
      <c r="D135" s="143">
        <f>VLOOKUP($A135,'Data shares'!$C:$FA,121)*100</f>
        <v>-7.41</v>
      </c>
      <c r="E135" s="143">
        <f>VLOOKUP($A135,'Data shares'!$C:$FA,124)</f>
        <v>0.44</v>
      </c>
      <c r="F135" s="143">
        <f>VLOOKUP($A135,'Data shares'!$C:$FA,125)</f>
        <v>0.57999999999999996</v>
      </c>
      <c r="G135" s="143">
        <f>VLOOKUP($A135,'Data shares'!$C:$FA,127)*100</f>
        <v>-24.14</v>
      </c>
      <c r="H135" s="103">
        <f>VLOOKUP($A135,'OI(Volume)'!$A$7:$O$445,8)</f>
        <v>2258550</v>
      </c>
      <c r="I135" s="103">
        <f>VLOOKUP($A135,'OI(Volume)'!$A$7:$O$445,9)</f>
        <v>110750</v>
      </c>
      <c r="J135" s="103">
        <f>VLOOKUP($A135,'OI(Volume)'!$A$7:$O$445,11)</f>
        <v>1135700</v>
      </c>
      <c r="K135" s="103">
        <f>VLOOKUP($A135,'OI(Volume)'!$A$7:$O$445,12)</f>
        <v>-15250</v>
      </c>
      <c r="L135" s="103">
        <f>VLOOKUP($A135,'OI(Value)'!$A$7:$O$329,8,0)</f>
        <v>2968</v>
      </c>
      <c r="M135" s="103">
        <f>VLOOKUP($A135,'OI(Value)'!$A$7:$O$329,9,0)</f>
        <v>146</v>
      </c>
      <c r="N135" s="103">
        <f>VLOOKUP($A135,'OI(Value)'!$A$7:$O$329,11,0)</f>
        <v>1492</v>
      </c>
      <c r="O135" s="103">
        <f>VLOOKUP($A135,'OI(Value)'!$A$7:$O$329,12,0)</f>
        <v>-20</v>
      </c>
      <c r="P135" s="179">
        <f>VLOOKUP(A135,'OI(Value)'!A135:O359,8,0)</f>
        <v>2968</v>
      </c>
      <c r="Q135" s="179">
        <f>VLOOKUP(A135,'OI(Value)'!A135:O359,9,0)</f>
        <v>146</v>
      </c>
      <c r="R135" s="179">
        <f>VLOOKUP(A135,'OI(Value)'!A135:O359,11,0)</f>
        <v>1492</v>
      </c>
      <c r="S135" s="179">
        <f>VLOOKUP(A135,'OI(Value)'!A135:O359,11,0)</f>
        <v>1492</v>
      </c>
    </row>
    <row r="136" spans="1:19" x14ac:dyDescent="0.25">
      <c r="A136" s="105" t="str">
        <f>'Data Vlaue (Cr)'!C131</f>
        <v>MAXHEALTH</v>
      </c>
      <c r="B136" s="143">
        <f>VLOOKUP($A136,'Data shares'!$C:$FA,118)</f>
        <v>0.62</v>
      </c>
      <c r="C136" s="143">
        <f>VLOOKUP($A136,'Data shares'!$C:$FA,119)</f>
        <v>0.62</v>
      </c>
      <c r="D136" s="143">
        <f>VLOOKUP($A136,'Data shares'!$C:$FA,121)*100</f>
        <v>0</v>
      </c>
      <c r="E136" s="143">
        <f>VLOOKUP($A136,'Data shares'!$C:$FA,124)</f>
        <v>0.61</v>
      </c>
      <c r="F136" s="143">
        <f>VLOOKUP($A136,'Data shares'!$C:$FA,125)</f>
        <v>0.93</v>
      </c>
      <c r="G136" s="143">
        <f>VLOOKUP($A136,'Data shares'!$C:$FA,127)*100</f>
        <v>-34.410000000000004</v>
      </c>
      <c r="H136" s="103">
        <f>VLOOKUP($A136,'OI(Volume)'!$A$7:$O$445,8)</f>
        <v>4057725</v>
      </c>
      <c r="I136" s="103">
        <f>VLOOKUP($A136,'OI(Volume)'!$A$7:$O$445,9)</f>
        <v>8400</v>
      </c>
      <c r="J136" s="103">
        <f>VLOOKUP($A136,'OI(Volume)'!$A$7:$O$445,11)</f>
        <v>2526300</v>
      </c>
      <c r="K136" s="103">
        <f>VLOOKUP($A136,'OI(Volume)'!$A$7:$O$445,12)</f>
        <v>3675</v>
      </c>
      <c r="L136" s="103">
        <f>VLOOKUP($A136,'OI(Value)'!$A$7:$O$329,8,0)</f>
        <v>409</v>
      </c>
      <c r="M136" s="103">
        <f>VLOOKUP($A136,'OI(Value)'!$A$7:$O$329,9,0)</f>
        <v>1</v>
      </c>
      <c r="N136" s="103">
        <f>VLOOKUP($A136,'OI(Value)'!$A$7:$O$329,11,0)</f>
        <v>255</v>
      </c>
      <c r="O136" s="103">
        <f>VLOOKUP($A136,'OI(Value)'!$A$7:$O$329,12,0)</f>
        <v>0</v>
      </c>
      <c r="P136" s="179">
        <f>VLOOKUP(A136,'OI(Value)'!A136:O360,8,0)</f>
        <v>409</v>
      </c>
      <c r="Q136" s="179">
        <f>VLOOKUP(A136,'OI(Value)'!A136:O360,9,0)</f>
        <v>1</v>
      </c>
      <c r="R136" s="179">
        <f>VLOOKUP(A136,'OI(Value)'!A136:O360,11,0)</f>
        <v>255</v>
      </c>
      <c r="S136" s="179">
        <f>VLOOKUP(A136,'OI(Value)'!A136:O360,11,0)</f>
        <v>255</v>
      </c>
    </row>
    <row r="137" spans="1:19" x14ac:dyDescent="0.25">
      <c r="A137" s="105" t="str">
        <f>'Data Vlaue (Cr)'!C132</f>
        <v>MAZDOCK</v>
      </c>
      <c r="B137" s="143">
        <f>VLOOKUP($A137,'Data shares'!$C:$FA,118)</f>
        <v>0.85</v>
      </c>
      <c r="C137" s="143">
        <f>VLOOKUP($A137,'Data shares'!$C:$FA,119)</f>
        <v>0.82</v>
      </c>
      <c r="D137" s="143">
        <f>VLOOKUP($A137,'Data shares'!$C:$FA,121)*100</f>
        <v>3.66</v>
      </c>
      <c r="E137" s="143">
        <f>VLOOKUP($A137,'Data shares'!$C:$FA,124)</f>
        <v>0.42</v>
      </c>
      <c r="F137" s="143">
        <f>VLOOKUP($A137,'Data shares'!$C:$FA,125)</f>
        <v>0.43</v>
      </c>
      <c r="G137" s="143">
        <f>VLOOKUP($A137,'Data shares'!$C:$FA,127)*100</f>
        <v>-2.33</v>
      </c>
      <c r="H137" s="103">
        <f>VLOOKUP($A137,'OI(Volume)'!$A$7:$O$445,8)</f>
        <v>3822600</v>
      </c>
      <c r="I137" s="103">
        <f>VLOOKUP($A137,'OI(Volume)'!$A$7:$O$445,9)</f>
        <v>-50600</v>
      </c>
      <c r="J137" s="103">
        <f>VLOOKUP($A137,'OI(Volume)'!$A$7:$O$445,11)</f>
        <v>3241400</v>
      </c>
      <c r="K137" s="103">
        <f>VLOOKUP($A137,'OI(Volume)'!$A$7:$O$445,12)</f>
        <v>79800</v>
      </c>
      <c r="L137" s="103">
        <f>VLOOKUP($A137,'OI(Value)'!$A$7:$O$329,8,0)</f>
        <v>1030</v>
      </c>
      <c r="M137" s="103">
        <f>VLOOKUP($A137,'OI(Value)'!$A$7:$O$329,9,0)</f>
        <v>-14</v>
      </c>
      <c r="N137" s="103">
        <f>VLOOKUP($A137,'OI(Value)'!$A$7:$O$329,11,0)</f>
        <v>873</v>
      </c>
      <c r="O137" s="103">
        <f>VLOOKUP($A137,'OI(Value)'!$A$7:$O$329,12,0)</f>
        <v>21</v>
      </c>
      <c r="P137" s="179">
        <f>VLOOKUP(A137,'OI(Value)'!A137:O361,8,0)</f>
        <v>1030</v>
      </c>
      <c r="Q137" s="179">
        <f>VLOOKUP(A137,'OI(Value)'!A137:O361,9,0)</f>
        <v>-14</v>
      </c>
      <c r="R137" s="179">
        <f>VLOOKUP(A137,'OI(Value)'!A137:O361,11,0)</f>
        <v>873</v>
      </c>
      <c r="S137" s="179">
        <f>VLOOKUP(A137,'OI(Value)'!A137:O361,11,0)</f>
        <v>873</v>
      </c>
    </row>
    <row r="138" spans="1:19" x14ac:dyDescent="0.25">
      <c r="A138" s="105" t="str">
        <f>'Data Vlaue (Cr)'!C133</f>
        <v>MCX</v>
      </c>
      <c r="B138" s="143">
        <f>VLOOKUP($A138,'Data shares'!$C:$FA,118)</f>
        <v>0.75</v>
      </c>
      <c r="C138" s="143">
        <f>VLOOKUP($A138,'Data shares'!$C:$FA,119)</f>
        <v>0.79</v>
      </c>
      <c r="D138" s="143">
        <f>VLOOKUP($A138,'Data shares'!$C:$FA,121)*100</f>
        <v>-5.0599999999999996</v>
      </c>
      <c r="E138" s="143">
        <f>VLOOKUP($A138,'Data shares'!$C:$FA,124)</f>
        <v>0.5</v>
      </c>
      <c r="F138" s="143">
        <f>VLOOKUP($A138,'Data shares'!$C:$FA,125)</f>
        <v>0.72</v>
      </c>
      <c r="G138" s="143">
        <f>VLOOKUP($A138,'Data shares'!$C:$FA,127)*100</f>
        <v>-30.56</v>
      </c>
      <c r="H138" s="103">
        <f>VLOOKUP($A138,'OI(Volume)'!$A$7:$O$445,8)</f>
        <v>9896250</v>
      </c>
      <c r="I138" s="103">
        <f>VLOOKUP($A138,'OI(Volume)'!$A$7:$O$445,9)</f>
        <v>-117500</v>
      </c>
      <c r="J138" s="103">
        <f>VLOOKUP($A138,'OI(Volume)'!$A$7:$O$445,11)</f>
        <v>7451875</v>
      </c>
      <c r="K138" s="103">
        <f>VLOOKUP($A138,'OI(Volume)'!$A$7:$O$445,12)</f>
        <v>-415625</v>
      </c>
      <c r="L138" s="103">
        <f>VLOOKUP($A138,'OI(Value)'!$A$7:$O$329,8,0)</f>
        <v>2765</v>
      </c>
      <c r="M138" s="103">
        <f>VLOOKUP($A138,'OI(Value)'!$A$7:$O$329,9,0)</f>
        <v>-33</v>
      </c>
      <c r="N138" s="103">
        <f>VLOOKUP($A138,'OI(Value)'!$A$7:$O$329,11,0)</f>
        <v>2082</v>
      </c>
      <c r="O138" s="103">
        <f>VLOOKUP($A138,'OI(Value)'!$A$7:$O$329,12,0)</f>
        <v>-116</v>
      </c>
      <c r="P138" s="179">
        <f>VLOOKUP(A138,'OI(Value)'!A138:O362,8,0)</f>
        <v>2765</v>
      </c>
      <c r="Q138" s="179">
        <f>VLOOKUP(A138,'OI(Value)'!A138:O362,9,0)</f>
        <v>-33</v>
      </c>
      <c r="R138" s="179">
        <f>VLOOKUP(A138,'OI(Value)'!A138:O362,11,0)</f>
        <v>2082</v>
      </c>
      <c r="S138" s="179">
        <f>VLOOKUP(A138,'OI(Value)'!A138:O362,11,0)</f>
        <v>2082</v>
      </c>
    </row>
    <row r="139" spans="1:19" x14ac:dyDescent="0.25">
      <c r="A139" s="105" t="str">
        <f>'Data Vlaue (Cr)'!C134</f>
        <v>MFSL</v>
      </c>
      <c r="B139" s="143">
        <f>VLOOKUP($A139,'Data shares'!$C:$FA,118)</f>
        <v>0.73</v>
      </c>
      <c r="C139" s="143">
        <f>VLOOKUP($A139,'Data shares'!$C:$FA,119)</f>
        <v>0.66</v>
      </c>
      <c r="D139" s="143">
        <f>VLOOKUP($A139,'Data shares'!$C:$FA,121)*100</f>
        <v>10.61</v>
      </c>
      <c r="E139" s="143">
        <f>VLOOKUP($A139,'Data shares'!$C:$FA,124)</f>
        <v>0.4</v>
      </c>
      <c r="F139" s="143">
        <f>VLOOKUP($A139,'Data shares'!$C:$FA,125)</f>
        <v>0.46</v>
      </c>
      <c r="G139" s="143">
        <f>VLOOKUP($A139,'Data shares'!$C:$FA,127)*100</f>
        <v>-13.04</v>
      </c>
      <c r="H139" s="103">
        <f>VLOOKUP($A139,'OI(Volume)'!$A$7:$O$445,8)</f>
        <v>944400</v>
      </c>
      <c r="I139" s="103">
        <f>VLOOKUP($A139,'OI(Volume)'!$A$7:$O$445,9)</f>
        <v>-54800</v>
      </c>
      <c r="J139" s="103">
        <f>VLOOKUP($A139,'OI(Volume)'!$A$7:$O$445,11)</f>
        <v>688800</v>
      </c>
      <c r="K139" s="103">
        <f>VLOOKUP($A139,'OI(Volume)'!$A$7:$O$445,12)</f>
        <v>30400</v>
      </c>
      <c r="L139" s="103">
        <f>VLOOKUP($A139,'OI(Value)'!$A$7:$O$329,8,0)</f>
        <v>151</v>
      </c>
      <c r="M139" s="103">
        <f>VLOOKUP($A139,'OI(Value)'!$A$7:$O$329,9,0)</f>
        <v>-9</v>
      </c>
      <c r="N139" s="103">
        <f>VLOOKUP($A139,'OI(Value)'!$A$7:$O$329,11,0)</f>
        <v>110</v>
      </c>
      <c r="O139" s="103">
        <f>VLOOKUP($A139,'OI(Value)'!$A$7:$O$329,12,0)</f>
        <v>5</v>
      </c>
      <c r="P139" s="179">
        <f>VLOOKUP(A139,'OI(Value)'!A139:O363,8,0)</f>
        <v>151</v>
      </c>
      <c r="Q139" s="179">
        <f>VLOOKUP(A139,'OI(Value)'!A139:O363,9,0)</f>
        <v>-9</v>
      </c>
      <c r="R139" s="179">
        <f>VLOOKUP(A139,'OI(Value)'!A139:O363,11,0)</f>
        <v>110</v>
      </c>
      <c r="S139" s="179">
        <f>VLOOKUP(A139,'OI(Value)'!A139:O363,11,0)</f>
        <v>110</v>
      </c>
    </row>
    <row r="140" spans="1:19" x14ac:dyDescent="0.25">
      <c r="A140" s="105" t="str">
        <f>'Data Vlaue (Cr)'!C135</f>
        <v>MIDCPNIFTY</v>
      </c>
      <c r="B140" s="143">
        <f>VLOOKUP($A140,'Data shares'!$C:$FA,118)</f>
        <v>1.1000000000000001</v>
      </c>
      <c r="C140" s="143">
        <f>VLOOKUP($A140,'Data shares'!$C:$FA,119)</f>
        <v>1.1299999999999999</v>
      </c>
      <c r="D140" s="143">
        <f>VLOOKUP($A140,'Data shares'!$C:$FA,121)*100</f>
        <v>-2.65</v>
      </c>
      <c r="E140" s="143">
        <f>VLOOKUP($A140,'Data shares'!$C:$FA,124)</f>
        <v>1.02</v>
      </c>
      <c r="F140" s="143">
        <f>VLOOKUP($A140,'Data shares'!$C:$FA,125)</f>
        <v>1.1200000000000001</v>
      </c>
      <c r="G140" s="143">
        <f>VLOOKUP($A140,'Data shares'!$C:$FA,127)*100</f>
        <v>-8.93</v>
      </c>
      <c r="H140" s="103">
        <f>VLOOKUP($A140,'OI(Volume)'!$A$7:$O$445,8)</f>
        <v>8194920</v>
      </c>
      <c r="I140" s="103">
        <f>VLOOKUP($A140,'OI(Volume)'!$A$7:$O$445,9)</f>
        <v>463920</v>
      </c>
      <c r="J140" s="103">
        <f>VLOOKUP($A140,'OI(Volume)'!$A$7:$O$445,11)</f>
        <v>9013920</v>
      </c>
      <c r="K140" s="103">
        <f>VLOOKUP($A140,'OI(Volume)'!$A$7:$O$445,12)</f>
        <v>312480</v>
      </c>
      <c r="L140" s="103">
        <f>VLOOKUP($A140,'OI(Value)'!$A$7:$O$329,8,0)</f>
        <v>11348</v>
      </c>
      <c r="M140" s="103">
        <f>VLOOKUP($A140,'OI(Value)'!$A$7:$O$329,9,0)</f>
        <v>642</v>
      </c>
      <c r="N140" s="103">
        <f>VLOOKUP($A140,'OI(Value)'!$A$7:$O$329,11,0)</f>
        <v>12482</v>
      </c>
      <c r="O140" s="103">
        <f>VLOOKUP($A140,'OI(Value)'!$A$7:$O$329,12,0)</f>
        <v>433</v>
      </c>
      <c r="P140" s="179">
        <f>VLOOKUP(A140,'OI(Value)'!A140:O364,8,0)</f>
        <v>11348</v>
      </c>
      <c r="Q140" s="179">
        <f>VLOOKUP(A140,'OI(Value)'!A140:O364,9,0)</f>
        <v>642</v>
      </c>
      <c r="R140" s="179">
        <f>VLOOKUP(A140,'OI(Value)'!A140:O364,11,0)</f>
        <v>12482</v>
      </c>
      <c r="S140" s="179">
        <f>VLOOKUP(A140,'OI(Value)'!A140:O364,11,0)</f>
        <v>12482</v>
      </c>
    </row>
    <row r="141" spans="1:19" x14ac:dyDescent="0.25">
      <c r="A141" s="105" t="str">
        <f>'Data Vlaue (Cr)'!C136</f>
        <v>MOTHERSON</v>
      </c>
      <c r="B141" s="143">
        <f>VLOOKUP($A141,'Data shares'!$C:$FA,118)</f>
        <v>0.91</v>
      </c>
      <c r="C141" s="143">
        <f>VLOOKUP($A141,'Data shares'!$C:$FA,119)</f>
        <v>0.93</v>
      </c>
      <c r="D141" s="143">
        <f>VLOOKUP($A141,'Data shares'!$C:$FA,121)*100</f>
        <v>-2.15</v>
      </c>
      <c r="E141" s="143">
        <f>VLOOKUP($A141,'Data shares'!$C:$FA,124)</f>
        <v>0.68</v>
      </c>
      <c r="F141" s="143">
        <f>VLOOKUP($A141,'Data shares'!$C:$FA,125)</f>
        <v>0.41</v>
      </c>
      <c r="G141" s="143">
        <f>VLOOKUP($A141,'Data shares'!$C:$FA,127)*100</f>
        <v>65.849999999999994</v>
      </c>
      <c r="H141" s="103">
        <f>VLOOKUP($A141,'OI(Volume)'!$A$7:$O$445,8)</f>
        <v>49353750</v>
      </c>
      <c r="I141" s="103">
        <f>VLOOKUP($A141,'OI(Volume)'!$A$7:$O$445,9)</f>
        <v>-1113150</v>
      </c>
      <c r="J141" s="103">
        <f>VLOOKUP($A141,'OI(Volume)'!$A$7:$O$445,11)</f>
        <v>45141000</v>
      </c>
      <c r="K141" s="103">
        <f>VLOOKUP($A141,'OI(Volume)'!$A$7:$O$445,12)</f>
        <v>-1734300</v>
      </c>
      <c r="L141" s="103">
        <f>VLOOKUP($A141,'OI(Value)'!$A$7:$O$329,8,0)</f>
        <v>627</v>
      </c>
      <c r="M141" s="103">
        <f>VLOOKUP($A141,'OI(Value)'!$A$7:$O$329,9,0)</f>
        <v>-14</v>
      </c>
      <c r="N141" s="103">
        <f>VLOOKUP($A141,'OI(Value)'!$A$7:$O$329,11,0)</f>
        <v>573</v>
      </c>
      <c r="O141" s="103">
        <f>VLOOKUP($A141,'OI(Value)'!$A$7:$O$329,12,0)</f>
        <v>-22</v>
      </c>
      <c r="P141" s="179">
        <f>VLOOKUP(A141,'OI(Value)'!A141:O365,8,0)</f>
        <v>627</v>
      </c>
      <c r="Q141" s="179">
        <f>VLOOKUP(A141,'OI(Value)'!A141:O365,9,0)</f>
        <v>-14</v>
      </c>
      <c r="R141" s="179">
        <f>VLOOKUP(A141,'OI(Value)'!A141:O365,11,0)</f>
        <v>573</v>
      </c>
      <c r="S141" s="179">
        <f>VLOOKUP(A141,'OI(Value)'!A141:O365,11,0)</f>
        <v>573</v>
      </c>
    </row>
    <row r="142" spans="1:19" x14ac:dyDescent="0.25">
      <c r="A142" s="105" t="str">
        <f>'Data Vlaue (Cr)'!C137</f>
        <v>MOTILALOFS</v>
      </c>
      <c r="B142" s="143">
        <f>VLOOKUP($A142,'Data shares'!$C:$FA,118)</f>
        <v>0.93</v>
      </c>
      <c r="C142" s="143">
        <f>VLOOKUP($A142,'Data shares'!$C:$FA,119)</f>
        <v>0.94</v>
      </c>
      <c r="D142" s="143">
        <f>VLOOKUP($A142,'Data shares'!$C:$FA,121)*100</f>
        <v>-1.06</v>
      </c>
      <c r="E142" s="143">
        <f>VLOOKUP($A142,'Data shares'!$C:$FA,124)</f>
        <v>0.9</v>
      </c>
      <c r="F142" s="143">
        <f>VLOOKUP($A142,'Data shares'!$C:$FA,125)</f>
        <v>2.25</v>
      </c>
      <c r="G142" s="143">
        <f>VLOOKUP($A142,'Data shares'!$C:$FA,127)*100</f>
        <v>-60</v>
      </c>
      <c r="H142" s="103">
        <f>VLOOKUP($A142,'OI(Volume)'!$A$7:$O$445,8)</f>
        <v>1563950</v>
      </c>
      <c r="I142" s="103">
        <f>VLOOKUP($A142,'OI(Volume)'!$A$7:$O$445,9)</f>
        <v>-16275</v>
      </c>
      <c r="J142" s="103">
        <f>VLOOKUP($A142,'OI(Volume)'!$A$7:$O$445,11)</f>
        <v>1447700</v>
      </c>
      <c r="K142" s="103">
        <f>VLOOKUP($A142,'OI(Volume)'!$A$7:$O$445,12)</f>
        <v>-31000</v>
      </c>
      <c r="L142" s="103">
        <f>VLOOKUP($A142,'OI(Value)'!$A$7:$O$329,8,0)</f>
        <v>124</v>
      </c>
      <c r="M142" s="103">
        <f>VLOOKUP($A142,'OI(Value)'!$A$7:$O$329,9,0)</f>
        <v>-1</v>
      </c>
      <c r="N142" s="103">
        <f>VLOOKUP($A142,'OI(Value)'!$A$7:$O$329,11,0)</f>
        <v>115</v>
      </c>
      <c r="O142" s="103">
        <f>VLOOKUP($A142,'OI(Value)'!$A$7:$O$329,12,0)</f>
        <v>-2</v>
      </c>
      <c r="P142" s="179">
        <f>VLOOKUP(A142,'OI(Value)'!A142:O366,8,0)</f>
        <v>124</v>
      </c>
      <c r="Q142" s="179">
        <f>VLOOKUP(A142,'OI(Value)'!A142:O366,9,0)</f>
        <v>-1</v>
      </c>
      <c r="R142" s="179">
        <f>VLOOKUP(A142,'OI(Value)'!A142:O366,11,0)</f>
        <v>115</v>
      </c>
      <c r="S142" s="179">
        <f>VLOOKUP(A142,'OI(Value)'!A142:O366,11,0)</f>
        <v>115</v>
      </c>
    </row>
    <row r="143" spans="1:19" x14ac:dyDescent="0.25">
      <c r="A143" s="105" t="str">
        <f>'Data Vlaue (Cr)'!C138</f>
        <v>MPHASIS</v>
      </c>
      <c r="B143" s="143">
        <f>VLOOKUP($A143,'Data shares'!$C:$FA,118)</f>
        <v>0.68</v>
      </c>
      <c r="C143" s="143">
        <f>VLOOKUP($A143,'Data shares'!$C:$FA,119)</f>
        <v>0.73</v>
      </c>
      <c r="D143" s="143">
        <f>VLOOKUP($A143,'Data shares'!$C:$FA,121)*100</f>
        <v>-6.8500000000000005</v>
      </c>
      <c r="E143" s="143">
        <f>VLOOKUP($A143,'Data shares'!$C:$FA,124)</f>
        <v>0.61</v>
      </c>
      <c r="F143" s="143">
        <f>VLOOKUP($A143,'Data shares'!$C:$FA,125)</f>
        <v>0.87</v>
      </c>
      <c r="G143" s="143">
        <f>VLOOKUP($A143,'Data shares'!$C:$FA,127)*100</f>
        <v>-29.89</v>
      </c>
      <c r="H143" s="103">
        <f>VLOOKUP($A143,'OI(Volume)'!$A$7:$O$445,8)</f>
        <v>1486925</v>
      </c>
      <c r="I143" s="103">
        <f>VLOOKUP($A143,'OI(Volume)'!$A$7:$O$445,9)</f>
        <v>186450</v>
      </c>
      <c r="J143" s="103">
        <f>VLOOKUP($A143,'OI(Volume)'!$A$7:$O$445,11)</f>
        <v>1015575</v>
      </c>
      <c r="K143" s="103">
        <f>VLOOKUP($A143,'OI(Volume)'!$A$7:$O$445,12)</f>
        <v>70675</v>
      </c>
      <c r="L143" s="103">
        <f>VLOOKUP($A143,'OI(Value)'!$A$7:$O$329,8,0)</f>
        <v>338</v>
      </c>
      <c r="M143" s="103">
        <f>VLOOKUP($A143,'OI(Value)'!$A$7:$O$329,9,0)</f>
        <v>42</v>
      </c>
      <c r="N143" s="103">
        <f>VLOOKUP($A143,'OI(Value)'!$A$7:$O$329,11,0)</f>
        <v>231</v>
      </c>
      <c r="O143" s="103">
        <f>VLOOKUP($A143,'OI(Value)'!$A$7:$O$329,12,0)</f>
        <v>16</v>
      </c>
      <c r="P143" s="179">
        <f>VLOOKUP(A143,'OI(Value)'!A143:O367,8,0)</f>
        <v>338</v>
      </c>
      <c r="Q143" s="179">
        <f>VLOOKUP(A143,'OI(Value)'!A143:O367,9,0)</f>
        <v>42</v>
      </c>
      <c r="R143" s="179">
        <f>VLOOKUP(A143,'OI(Value)'!A143:O367,11,0)</f>
        <v>231</v>
      </c>
      <c r="S143" s="179">
        <f>VLOOKUP(A143,'OI(Value)'!A143:O367,11,0)</f>
        <v>231</v>
      </c>
    </row>
    <row r="144" spans="1:19" x14ac:dyDescent="0.25">
      <c r="A144" s="105" t="str">
        <f>'Data Vlaue (Cr)'!C139</f>
        <v>MUTHOOTFIN</v>
      </c>
      <c r="B144" s="143">
        <f>VLOOKUP($A144,'Data shares'!$C:$FA,118)</f>
        <v>0.6</v>
      </c>
      <c r="C144" s="143">
        <f>VLOOKUP($A144,'Data shares'!$C:$FA,119)</f>
        <v>0.55000000000000004</v>
      </c>
      <c r="D144" s="143">
        <f>VLOOKUP($A144,'Data shares'!$C:$FA,121)*100</f>
        <v>9.09</v>
      </c>
      <c r="E144" s="143">
        <f>VLOOKUP($A144,'Data shares'!$C:$FA,124)</f>
        <v>0.61</v>
      </c>
      <c r="F144" s="143">
        <f>VLOOKUP($A144,'Data shares'!$C:$FA,125)</f>
        <v>0.36</v>
      </c>
      <c r="G144" s="143">
        <f>VLOOKUP($A144,'Data shares'!$C:$FA,127)*100</f>
        <v>69.44</v>
      </c>
      <c r="H144" s="103">
        <f>VLOOKUP($A144,'OI(Volume)'!$A$7:$O$445,8)</f>
        <v>2382325</v>
      </c>
      <c r="I144" s="103">
        <f>VLOOKUP($A144,'OI(Volume)'!$A$7:$O$445,9)</f>
        <v>-228800</v>
      </c>
      <c r="J144" s="103">
        <f>VLOOKUP($A144,'OI(Volume)'!$A$7:$O$445,11)</f>
        <v>1419550</v>
      </c>
      <c r="K144" s="103">
        <f>VLOOKUP($A144,'OI(Volume)'!$A$7:$O$445,12)</f>
        <v>-16775</v>
      </c>
      <c r="L144" s="103">
        <f>VLOOKUP($A144,'OI(Value)'!$A$7:$O$329,8,0)</f>
        <v>851</v>
      </c>
      <c r="M144" s="103">
        <f>VLOOKUP($A144,'OI(Value)'!$A$7:$O$329,9,0)</f>
        <v>-82</v>
      </c>
      <c r="N144" s="103">
        <f>VLOOKUP($A144,'OI(Value)'!$A$7:$O$329,11,0)</f>
        <v>507</v>
      </c>
      <c r="O144" s="103">
        <f>VLOOKUP($A144,'OI(Value)'!$A$7:$O$329,12,0)</f>
        <v>-6</v>
      </c>
      <c r="P144" s="179">
        <f>VLOOKUP(A144,'OI(Value)'!A144:O368,8,0)</f>
        <v>851</v>
      </c>
      <c r="Q144" s="179">
        <f>VLOOKUP(A144,'OI(Value)'!A144:O368,9,0)</f>
        <v>-82</v>
      </c>
      <c r="R144" s="179">
        <f>VLOOKUP(A144,'OI(Value)'!A144:O368,11,0)</f>
        <v>507</v>
      </c>
      <c r="S144" s="179">
        <f>VLOOKUP(A144,'OI(Value)'!A144:O368,11,0)</f>
        <v>507</v>
      </c>
    </row>
    <row r="145" spans="1:19" x14ac:dyDescent="0.25">
      <c r="A145" s="105" t="str">
        <f>'Data Vlaue (Cr)'!C140</f>
        <v>NAM-INDIA</v>
      </c>
      <c r="B145" s="143">
        <f>VLOOKUP($A145,'Data shares'!$C:$FA,118)</f>
        <v>0.5</v>
      </c>
      <c r="C145" s="143">
        <f>VLOOKUP($A145,'Data shares'!$C:$FA,119)</f>
        <v>0.54</v>
      </c>
      <c r="D145" s="143">
        <f>VLOOKUP($A145,'Data shares'!$C:$FA,121)*100</f>
        <v>-7.41</v>
      </c>
      <c r="E145" s="143">
        <f>VLOOKUP($A145,'Data shares'!$C:$FA,124)</f>
        <v>1.39</v>
      </c>
      <c r="F145" s="143">
        <f>VLOOKUP($A145,'Data shares'!$C:$FA,125)</f>
        <v>0.85</v>
      </c>
      <c r="G145" s="143">
        <f>VLOOKUP($A145,'Data shares'!$C:$FA,127)*100</f>
        <v>63.53</v>
      </c>
      <c r="H145" s="103">
        <f>VLOOKUP($A145,'OI(Volume)'!$A$7:$O$445,8)</f>
        <v>1160625</v>
      </c>
      <c r="I145" s="103">
        <f>VLOOKUP($A145,'OI(Volume)'!$A$7:$O$445,9)</f>
        <v>-42500</v>
      </c>
      <c r="J145" s="103">
        <f>VLOOKUP($A145,'OI(Volume)'!$A$7:$O$445,11)</f>
        <v>578125</v>
      </c>
      <c r="K145" s="103">
        <f>VLOOKUP($A145,'OI(Volume)'!$A$7:$O$445,12)</f>
        <v>-66875</v>
      </c>
      <c r="L145" s="103">
        <f>VLOOKUP($A145,'OI(Value)'!$A$7:$O$329,8,0)</f>
        <v>120</v>
      </c>
      <c r="M145" s="103">
        <f>VLOOKUP($A145,'OI(Value)'!$A$7:$O$329,9,0)</f>
        <v>-4</v>
      </c>
      <c r="N145" s="103">
        <f>VLOOKUP($A145,'OI(Value)'!$A$7:$O$329,11,0)</f>
        <v>60</v>
      </c>
      <c r="O145" s="103">
        <f>VLOOKUP($A145,'OI(Value)'!$A$7:$O$329,12,0)</f>
        <v>-7</v>
      </c>
      <c r="P145" s="179">
        <f>VLOOKUP(A145,'OI(Value)'!A145:O369,8,0)</f>
        <v>120</v>
      </c>
      <c r="Q145" s="179">
        <f>VLOOKUP(A145,'OI(Value)'!A145:O369,9,0)</f>
        <v>-4</v>
      </c>
      <c r="R145" s="179">
        <f>VLOOKUP(A145,'OI(Value)'!A145:O369,11,0)</f>
        <v>60</v>
      </c>
      <c r="S145" s="179">
        <f>VLOOKUP(A145,'OI(Value)'!A145:O369,11,0)</f>
        <v>60</v>
      </c>
    </row>
    <row r="146" spans="1:19" x14ac:dyDescent="0.25">
      <c r="A146" s="105" t="str">
        <f>'Data Vlaue (Cr)'!C141</f>
        <v>NATIONALUM</v>
      </c>
      <c r="B146" s="143">
        <f>VLOOKUP($A146,'Data shares'!$C:$FA,118)</f>
        <v>0.82</v>
      </c>
      <c r="C146" s="143">
        <f>VLOOKUP($A146,'Data shares'!$C:$FA,119)</f>
        <v>0.83</v>
      </c>
      <c r="D146" s="143">
        <f>VLOOKUP($A146,'Data shares'!$C:$FA,121)*100</f>
        <v>-1.2</v>
      </c>
      <c r="E146" s="143">
        <f>VLOOKUP($A146,'Data shares'!$C:$FA,124)</f>
        <v>0.54</v>
      </c>
      <c r="F146" s="143">
        <f>VLOOKUP($A146,'Data shares'!$C:$FA,125)</f>
        <v>0.49</v>
      </c>
      <c r="G146" s="143">
        <f>VLOOKUP($A146,'Data shares'!$C:$FA,127)*100</f>
        <v>10.199999999999999</v>
      </c>
      <c r="H146" s="103">
        <f>VLOOKUP($A146,'OI(Volume)'!$A$7:$O$445,8)</f>
        <v>39581250</v>
      </c>
      <c r="I146" s="103">
        <f>VLOOKUP($A146,'OI(Volume)'!$A$7:$O$445,9)</f>
        <v>300000</v>
      </c>
      <c r="J146" s="103">
        <f>VLOOKUP($A146,'OI(Volume)'!$A$7:$O$445,11)</f>
        <v>32287500</v>
      </c>
      <c r="K146" s="103">
        <f>VLOOKUP($A146,'OI(Volume)'!$A$7:$O$445,12)</f>
        <v>-453750</v>
      </c>
      <c r="L146" s="103">
        <f>VLOOKUP($A146,'OI(Value)'!$A$7:$O$329,8,0)</f>
        <v>1741</v>
      </c>
      <c r="M146" s="103">
        <f>VLOOKUP($A146,'OI(Value)'!$A$7:$O$329,9,0)</f>
        <v>13</v>
      </c>
      <c r="N146" s="103">
        <f>VLOOKUP($A146,'OI(Value)'!$A$7:$O$329,11,0)</f>
        <v>1420</v>
      </c>
      <c r="O146" s="103">
        <f>VLOOKUP($A146,'OI(Value)'!$A$7:$O$329,12,0)</f>
        <v>-20</v>
      </c>
      <c r="P146" s="179">
        <f>VLOOKUP(A146,'OI(Value)'!A146:O370,8,0)</f>
        <v>1741</v>
      </c>
      <c r="Q146" s="179">
        <f>VLOOKUP(A146,'OI(Value)'!A146:O370,9,0)</f>
        <v>13</v>
      </c>
      <c r="R146" s="179">
        <f>VLOOKUP(A146,'OI(Value)'!A146:O370,11,0)</f>
        <v>1420</v>
      </c>
      <c r="S146" s="179">
        <f>VLOOKUP(A146,'OI(Value)'!A146:O370,11,0)</f>
        <v>1420</v>
      </c>
    </row>
    <row r="147" spans="1:19" x14ac:dyDescent="0.25">
      <c r="A147" s="105" t="str">
        <f>'Data Vlaue (Cr)'!C142</f>
        <v>NAUKRI</v>
      </c>
      <c r="B147" s="143">
        <f>VLOOKUP($A147,'Data shares'!$C:$FA,118)</f>
        <v>0.54</v>
      </c>
      <c r="C147" s="143">
        <f>VLOOKUP($A147,'Data shares'!$C:$FA,119)</f>
        <v>0.48</v>
      </c>
      <c r="D147" s="143">
        <f>VLOOKUP($A147,'Data shares'!$C:$FA,121)*100</f>
        <v>12.5</v>
      </c>
      <c r="E147" s="143">
        <f>VLOOKUP($A147,'Data shares'!$C:$FA,124)</f>
        <v>0.63</v>
      </c>
      <c r="F147" s="143">
        <f>VLOOKUP($A147,'Data shares'!$C:$FA,125)</f>
        <v>0.59</v>
      </c>
      <c r="G147" s="143">
        <f>VLOOKUP($A147,'Data shares'!$C:$FA,127)*100</f>
        <v>6.78</v>
      </c>
      <c r="H147" s="103">
        <f>VLOOKUP($A147,'OI(Volume)'!$A$7:$O$445,8)</f>
        <v>3779250</v>
      </c>
      <c r="I147" s="103">
        <f>VLOOKUP($A147,'OI(Volume)'!$A$7:$O$445,9)</f>
        <v>360000</v>
      </c>
      <c r="J147" s="103">
        <f>VLOOKUP($A147,'OI(Volume)'!$A$7:$O$445,11)</f>
        <v>2037000</v>
      </c>
      <c r="K147" s="103">
        <f>VLOOKUP($A147,'OI(Volume)'!$A$7:$O$445,12)</f>
        <v>390375</v>
      </c>
      <c r="L147" s="103">
        <f>VLOOKUP($A147,'OI(Value)'!$A$7:$O$329,8,0)</f>
        <v>386</v>
      </c>
      <c r="M147" s="103">
        <f>VLOOKUP($A147,'OI(Value)'!$A$7:$O$329,9,0)</f>
        <v>37</v>
      </c>
      <c r="N147" s="103">
        <f>VLOOKUP($A147,'OI(Value)'!$A$7:$O$329,11,0)</f>
        <v>208</v>
      </c>
      <c r="O147" s="103">
        <f>VLOOKUP($A147,'OI(Value)'!$A$7:$O$329,12,0)</f>
        <v>40</v>
      </c>
      <c r="P147" s="179">
        <f>VLOOKUP(A147,'OI(Value)'!A147:O371,8,0)</f>
        <v>386</v>
      </c>
      <c r="Q147" s="179">
        <f>VLOOKUP(A147,'OI(Value)'!A147:O371,9,0)</f>
        <v>37</v>
      </c>
      <c r="R147" s="179">
        <f>VLOOKUP(A147,'OI(Value)'!A147:O371,11,0)</f>
        <v>208</v>
      </c>
      <c r="S147" s="179">
        <f>VLOOKUP(A147,'OI(Value)'!A147:O371,11,0)</f>
        <v>208</v>
      </c>
    </row>
    <row r="148" spans="1:19" x14ac:dyDescent="0.25">
      <c r="A148" s="105" t="str">
        <f>'Data Vlaue (Cr)'!C143</f>
        <v>NBCC</v>
      </c>
      <c r="B148" s="143">
        <f>VLOOKUP($A148,'Data shares'!$C:$FA,118)</f>
        <v>0.61</v>
      </c>
      <c r="C148" s="143">
        <f>VLOOKUP($A148,'Data shares'!$C:$FA,119)</f>
        <v>0.64</v>
      </c>
      <c r="D148" s="143">
        <f>VLOOKUP($A148,'Data shares'!$C:$FA,121)*100</f>
        <v>-4.6899999999999995</v>
      </c>
      <c r="E148" s="143">
        <f>VLOOKUP($A148,'Data shares'!$C:$FA,124)</f>
        <v>0.32</v>
      </c>
      <c r="F148" s="143">
        <f>VLOOKUP($A148,'Data shares'!$C:$FA,125)</f>
        <v>0.35</v>
      </c>
      <c r="G148" s="143">
        <f>VLOOKUP($A148,'Data shares'!$C:$FA,127)*100</f>
        <v>-8.57</v>
      </c>
      <c r="H148" s="103">
        <f>VLOOKUP($A148,'OI(Volume)'!$A$7:$O$445,8)</f>
        <v>22594000</v>
      </c>
      <c r="I148" s="103">
        <f>VLOOKUP($A148,'OI(Volume)'!$A$7:$O$445,9)</f>
        <v>871000</v>
      </c>
      <c r="J148" s="103">
        <f>VLOOKUP($A148,'OI(Volume)'!$A$7:$O$445,11)</f>
        <v>13884000</v>
      </c>
      <c r="K148" s="103">
        <f>VLOOKUP($A148,'OI(Volume)'!$A$7:$O$445,12)</f>
        <v>0</v>
      </c>
      <c r="L148" s="103">
        <f>VLOOKUP($A148,'OI(Value)'!$A$7:$O$329,8,0)</f>
        <v>211</v>
      </c>
      <c r="M148" s="103">
        <f>VLOOKUP($A148,'OI(Value)'!$A$7:$O$329,9,0)</f>
        <v>8</v>
      </c>
      <c r="N148" s="103">
        <f>VLOOKUP($A148,'OI(Value)'!$A$7:$O$329,11,0)</f>
        <v>130</v>
      </c>
      <c r="O148" s="103">
        <f>VLOOKUP($A148,'OI(Value)'!$A$7:$O$329,12,0)</f>
        <v>0</v>
      </c>
      <c r="P148" s="179">
        <f>VLOOKUP(A148,'OI(Value)'!A148:O372,8,0)</f>
        <v>211</v>
      </c>
      <c r="Q148" s="179">
        <f>VLOOKUP(A148,'OI(Value)'!A148:O372,9,0)</f>
        <v>8</v>
      </c>
      <c r="R148" s="179">
        <f>VLOOKUP(A148,'OI(Value)'!A148:O372,11,0)</f>
        <v>130</v>
      </c>
      <c r="S148" s="179">
        <f>VLOOKUP(A148,'OI(Value)'!A148:O372,11,0)</f>
        <v>130</v>
      </c>
    </row>
    <row r="149" spans="1:19" x14ac:dyDescent="0.25">
      <c r="A149" s="105" t="str">
        <f>'Data Vlaue (Cr)'!C144</f>
        <v>NESTLEIND</v>
      </c>
      <c r="B149" s="143">
        <f>VLOOKUP($A149,'Data shares'!$C:$FA,118)</f>
        <v>0.69</v>
      </c>
      <c r="C149" s="143">
        <f>VLOOKUP($A149,'Data shares'!$C:$FA,119)</f>
        <v>0.63</v>
      </c>
      <c r="D149" s="143">
        <f>VLOOKUP($A149,'Data shares'!$C:$FA,121)*100</f>
        <v>9.5200000000000014</v>
      </c>
      <c r="E149" s="143">
        <f>VLOOKUP($A149,'Data shares'!$C:$FA,124)</f>
        <v>0.53</v>
      </c>
      <c r="F149" s="143">
        <f>VLOOKUP($A149,'Data shares'!$C:$FA,125)</f>
        <v>0.42</v>
      </c>
      <c r="G149" s="143">
        <f>VLOOKUP($A149,'Data shares'!$C:$FA,127)*100</f>
        <v>26.19</v>
      </c>
      <c r="H149" s="103">
        <f>VLOOKUP($A149,'OI(Volume)'!$A$7:$O$445,8)</f>
        <v>10835000</v>
      </c>
      <c r="I149" s="103">
        <f>VLOOKUP($A149,'OI(Volume)'!$A$7:$O$445,9)</f>
        <v>-1838000</v>
      </c>
      <c r="J149" s="103">
        <f>VLOOKUP($A149,'OI(Volume)'!$A$7:$O$445,11)</f>
        <v>7527000</v>
      </c>
      <c r="K149" s="103">
        <f>VLOOKUP($A149,'OI(Volume)'!$A$7:$O$445,12)</f>
        <v>-396000</v>
      </c>
      <c r="L149" s="103">
        <f>VLOOKUP($A149,'OI(Value)'!$A$7:$O$329,8,0)</f>
        <v>1526</v>
      </c>
      <c r="M149" s="103">
        <f>VLOOKUP($A149,'OI(Value)'!$A$7:$O$329,9,0)</f>
        <v>-259</v>
      </c>
      <c r="N149" s="103">
        <f>VLOOKUP($A149,'OI(Value)'!$A$7:$O$329,11,0)</f>
        <v>1060</v>
      </c>
      <c r="O149" s="103">
        <f>VLOOKUP($A149,'OI(Value)'!$A$7:$O$329,12,0)</f>
        <v>-56</v>
      </c>
      <c r="P149" s="179">
        <f>VLOOKUP(A149,'OI(Value)'!A149:O373,8,0)</f>
        <v>1526</v>
      </c>
      <c r="Q149" s="179">
        <f>VLOOKUP(A149,'OI(Value)'!A149:O373,9,0)</f>
        <v>-259</v>
      </c>
      <c r="R149" s="179">
        <f>VLOOKUP(A149,'OI(Value)'!A149:O373,11,0)</f>
        <v>1060</v>
      </c>
      <c r="S149" s="179">
        <f>VLOOKUP(A149,'OI(Value)'!A149:O373,11,0)</f>
        <v>1060</v>
      </c>
    </row>
    <row r="150" spans="1:19" x14ac:dyDescent="0.25">
      <c r="A150" s="105" t="str">
        <f>'Data Vlaue (Cr)'!C145</f>
        <v>NHPC</v>
      </c>
      <c r="B150" s="143">
        <f>VLOOKUP($A150,'Data shares'!$C:$FA,118)</f>
        <v>0.82</v>
      </c>
      <c r="C150" s="143">
        <f>VLOOKUP($A150,'Data shares'!$C:$FA,119)</f>
        <v>0.82</v>
      </c>
      <c r="D150" s="143">
        <f>VLOOKUP($A150,'Data shares'!$C:$FA,121)*100</f>
        <v>0</v>
      </c>
      <c r="E150" s="143">
        <f>VLOOKUP($A150,'Data shares'!$C:$FA,124)</f>
        <v>0.73</v>
      </c>
      <c r="F150" s="143">
        <f>VLOOKUP($A150,'Data shares'!$C:$FA,125)</f>
        <v>0.46</v>
      </c>
      <c r="G150" s="143">
        <f>VLOOKUP($A150,'Data shares'!$C:$FA,127)*100</f>
        <v>58.699999999999996</v>
      </c>
      <c r="H150" s="103">
        <f>VLOOKUP($A150,'OI(Volume)'!$A$7:$O$445,8)</f>
        <v>39641600</v>
      </c>
      <c r="I150" s="103">
        <f>VLOOKUP($A150,'OI(Volume)'!$A$7:$O$445,9)</f>
        <v>2636800</v>
      </c>
      <c r="J150" s="103">
        <f>VLOOKUP($A150,'OI(Volume)'!$A$7:$O$445,11)</f>
        <v>32678400</v>
      </c>
      <c r="K150" s="103">
        <f>VLOOKUP($A150,'OI(Volume)'!$A$7:$O$445,12)</f>
        <v>2502400</v>
      </c>
      <c r="L150" s="103">
        <f>VLOOKUP($A150,'OI(Value)'!$A$7:$O$329,8,0)</f>
        <v>323</v>
      </c>
      <c r="M150" s="103">
        <f>VLOOKUP($A150,'OI(Value)'!$A$7:$O$329,9,0)</f>
        <v>21</v>
      </c>
      <c r="N150" s="103">
        <f>VLOOKUP($A150,'OI(Value)'!$A$7:$O$329,11,0)</f>
        <v>266</v>
      </c>
      <c r="O150" s="103">
        <f>VLOOKUP($A150,'OI(Value)'!$A$7:$O$329,12,0)</f>
        <v>20</v>
      </c>
      <c r="P150" s="179">
        <f>VLOOKUP(A150,'OI(Value)'!A150:O374,8,0)</f>
        <v>323</v>
      </c>
      <c r="Q150" s="179">
        <f>VLOOKUP(A150,'OI(Value)'!A150:O374,9,0)</f>
        <v>21</v>
      </c>
      <c r="R150" s="179">
        <f>VLOOKUP(A150,'OI(Value)'!A150:O374,11,0)</f>
        <v>266</v>
      </c>
      <c r="S150" s="179">
        <f>VLOOKUP(A150,'OI(Value)'!A150:O374,11,0)</f>
        <v>266</v>
      </c>
    </row>
    <row r="151" spans="1:19" x14ac:dyDescent="0.25">
      <c r="A151" s="105" t="str">
        <f>'Data Vlaue (Cr)'!C146</f>
        <v>NIFTY</v>
      </c>
      <c r="B151" s="143">
        <f>VLOOKUP($A151,'Data shares'!$C:$FA,118)</f>
        <v>0.92</v>
      </c>
      <c r="C151" s="143">
        <f>VLOOKUP($A151,'Data shares'!$C:$FA,119)</f>
        <v>1.02</v>
      </c>
      <c r="D151" s="143">
        <f>VLOOKUP($A151,'Data shares'!$C:$FA,121)*100</f>
        <v>-9.8000000000000007</v>
      </c>
      <c r="E151" s="143">
        <f>VLOOKUP($A151,'Data shares'!$C:$FA,124)</f>
        <v>0.88</v>
      </c>
      <c r="F151" s="143">
        <f>VLOOKUP($A151,'Data shares'!$C:$FA,125)</f>
        <v>1.03</v>
      </c>
      <c r="G151" s="143">
        <f>VLOOKUP($A151,'Data shares'!$C:$FA,127)*100</f>
        <v>-14.56</v>
      </c>
      <c r="H151" s="103">
        <f>VLOOKUP($A151,'OI(Volume)'!$A$7:$O$445,8)</f>
        <v>227427670</v>
      </c>
      <c r="I151" s="103">
        <f>VLOOKUP($A151,'OI(Volume)'!$A$7:$O$445,9)</f>
        <v>40609720</v>
      </c>
      <c r="J151" s="103">
        <f>VLOOKUP($A151,'OI(Volume)'!$A$7:$O$445,11)</f>
        <v>209962630</v>
      </c>
      <c r="K151" s="103">
        <f>VLOOKUP($A151,'OI(Volume)'!$A$7:$O$445,12)</f>
        <v>19931885</v>
      </c>
      <c r="L151" s="103">
        <f>VLOOKUP($A151,'OI(Value)'!$A$7:$O$329,8,0)</f>
        <v>549533</v>
      </c>
      <c r="M151" s="103">
        <f>VLOOKUP($A151,'OI(Value)'!$A$7:$O$329,9,0)</f>
        <v>98125</v>
      </c>
      <c r="N151" s="103">
        <f>VLOOKUP($A151,'OI(Value)'!$A$7:$O$329,11,0)</f>
        <v>507333</v>
      </c>
      <c r="O151" s="103">
        <f>VLOOKUP($A151,'OI(Value)'!$A$7:$O$329,12,0)</f>
        <v>48161</v>
      </c>
      <c r="P151" s="179">
        <f>VLOOKUP(A151,'OI(Value)'!A151:O375,8,0)</f>
        <v>549533</v>
      </c>
      <c r="Q151" s="179">
        <f>VLOOKUP(A151,'OI(Value)'!A151:O375,9,0)</f>
        <v>98125</v>
      </c>
      <c r="R151" s="179">
        <f>VLOOKUP(A151,'OI(Value)'!A151:O375,11,0)</f>
        <v>507333</v>
      </c>
      <c r="S151" s="179">
        <f>VLOOKUP(A151,'OI(Value)'!A151:O375,11,0)</f>
        <v>507333</v>
      </c>
    </row>
    <row r="152" spans="1:19" x14ac:dyDescent="0.25">
      <c r="A152" s="105" t="str">
        <f>'Data Vlaue (Cr)'!C147</f>
        <v>NIFTYNXT50</v>
      </c>
      <c r="B152" s="143">
        <f>VLOOKUP($A152,'Data shares'!$C:$FA,118)</f>
        <v>0.53</v>
      </c>
      <c r="C152" s="143">
        <f>VLOOKUP($A152,'Data shares'!$C:$FA,119)</f>
        <v>0.62</v>
      </c>
      <c r="D152" s="143">
        <f>VLOOKUP($A152,'Data shares'!$C:$FA,121)*100</f>
        <v>-14.52</v>
      </c>
      <c r="E152" s="143">
        <f>VLOOKUP($A152,'Data shares'!$C:$FA,124)</f>
        <v>0.76</v>
      </c>
      <c r="F152" s="143">
        <f>VLOOKUP($A152,'Data shares'!$C:$FA,125)</f>
        <v>0.82</v>
      </c>
      <c r="G152" s="143">
        <f>VLOOKUP($A152,'Data shares'!$C:$FA,127)*100</f>
        <v>-7.32</v>
      </c>
      <c r="H152" s="103">
        <f>VLOOKUP($A152,'OI(Volume)'!$A$7:$O$445,8)</f>
        <v>17775</v>
      </c>
      <c r="I152" s="103">
        <f>VLOOKUP($A152,'OI(Volume)'!$A$7:$O$445,9)</f>
        <v>875</v>
      </c>
      <c r="J152" s="103">
        <f>VLOOKUP($A152,'OI(Volume)'!$A$7:$O$445,11)</f>
        <v>9375</v>
      </c>
      <c r="K152" s="103">
        <f>VLOOKUP($A152,'OI(Volume)'!$A$7:$O$445,12)</f>
        <v>-1075</v>
      </c>
      <c r="L152" s="103">
        <f>VLOOKUP($A152,'OI(Value)'!$A$7:$O$329,8,0)</f>
        <v>125</v>
      </c>
      <c r="M152" s="103">
        <f>VLOOKUP($A152,'OI(Value)'!$A$7:$O$329,9,0)</f>
        <v>6</v>
      </c>
      <c r="N152" s="103">
        <f>VLOOKUP($A152,'OI(Value)'!$A$7:$O$329,11,0)</f>
        <v>66</v>
      </c>
      <c r="O152" s="103">
        <f>VLOOKUP($A152,'OI(Value)'!$A$7:$O$329,12,0)</f>
        <v>-8</v>
      </c>
      <c r="P152" s="179">
        <f>VLOOKUP(A152,'OI(Value)'!A152:O376,8,0)</f>
        <v>125</v>
      </c>
      <c r="Q152" s="179">
        <f>VLOOKUP(A152,'OI(Value)'!A152:O376,9,0)</f>
        <v>6</v>
      </c>
      <c r="R152" s="179">
        <f>VLOOKUP(A152,'OI(Value)'!A152:O376,11,0)</f>
        <v>66</v>
      </c>
      <c r="S152" s="179">
        <f>VLOOKUP(A152,'OI(Value)'!A152:O376,11,0)</f>
        <v>66</v>
      </c>
    </row>
    <row r="153" spans="1:19" x14ac:dyDescent="0.25">
      <c r="A153" s="105" t="str">
        <f>'Data Vlaue (Cr)'!C148</f>
        <v>NMDC</v>
      </c>
      <c r="B153" s="143">
        <f>VLOOKUP($A153,'Data shares'!$C:$FA,118)</f>
        <v>0.6</v>
      </c>
      <c r="C153" s="143">
        <f>VLOOKUP($A153,'Data shares'!$C:$FA,119)</f>
        <v>0.6</v>
      </c>
      <c r="D153" s="143">
        <f>VLOOKUP($A153,'Data shares'!$C:$FA,121)*100</f>
        <v>0</v>
      </c>
      <c r="E153" s="143">
        <f>VLOOKUP($A153,'Data shares'!$C:$FA,124)</f>
        <v>0.35</v>
      </c>
      <c r="F153" s="143">
        <f>VLOOKUP($A153,'Data shares'!$C:$FA,125)</f>
        <v>0.38</v>
      </c>
      <c r="G153" s="143">
        <f>VLOOKUP($A153,'Data shares'!$C:$FA,127)*100</f>
        <v>-7.89</v>
      </c>
      <c r="H153" s="103">
        <f>VLOOKUP($A153,'OI(Volume)'!$A$7:$O$445,8)</f>
        <v>86454000</v>
      </c>
      <c r="I153" s="103">
        <f>VLOOKUP($A153,'OI(Volume)'!$A$7:$O$445,9)</f>
        <v>2666250</v>
      </c>
      <c r="J153" s="103">
        <f>VLOOKUP($A153,'OI(Volume)'!$A$7:$O$445,11)</f>
        <v>51705000</v>
      </c>
      <c r="K153" s="103">
        <f>VLOOKUP($A153,'OI(Volume)'!$A$7:$O$445,12)</f>
        <v>1086750</v>
      </c>
      <c r="L153" s="103">
        <f>VLOOKUP($A153,'OI(Value)'!$A$7:$O$329,8,0)</f>
        <v>756</v>
      </c>
      <c r="M153" s="103">
        <f>VLOOKUP($A153,'OI(Value)'!$A$7:$O$329,9,0)</f>
        <v>23</v>
      </c>
      <c r="N153" s="103">
        <f>VLOOKUP($A153,'OI(Value)'!$A$7:$O$329,11,0)</f>
        <v>452</v>
      </c>
      <c r="O153" s="103">
        <f>VLOOKUP($A153,'OI(Value)'!$A$7:$O$329,12,0)</f>
        <v>10</v>
      </c>
      <c r="P153" s="179">
        <f>VLOOKUP(A153,'OI(Value)'!A153:O377,8,0)</f>
        <v>756</v>
      </c>
      <c r="Q153" s="179">
        <f>VLOOKUP(A153,'OI(Value)'!A153:O377,9,0)</f>
        <v>23</v>
      </c>
      <c r="R153" s="179">
        <f>VLOOKUP(A153,'OI(Value)'!A153:O377,11,0)</f>
        <v>452</v>
      </c>
      <c r="S153" s="179">
        <f>VLOOKUP(A153,'OI(Value)'!A153:O377,11,0)</f>
        <v>452</v>
      </c>
    </row>
    <row r="154" spans="1:19" x14ac:dyDescent="0.25">
      <c r="A154" s="105" t="str">
        <f>'Data Vlaue (Cr)'!C149</f>
        <v>NTPC</v>
      </c>
      <c r="B154" s="143">
        <f>VLOOKUP($A154,'Data shares'!$C:$FA,118)</f>
        <v>0.56999999999999995</v>
      </c>
      <c r="C154" s="143">
        <f>VLOOKUP($A154,'Data shares'!$C:$FA,119)</f>
        <v>0.59</v>
      </c>
      <c r="D154" s="143">
        <f>VLOOKUP($A154,'Data shares'!$C:$FA,121)*100</f>
        <v>-3.39</v>
      </c>
      <c r="E154" s="143">
        <f>VLOOKUP($A154,'Data shares'!$C:$FA,124)</f>
        <v>0.62</v>
      </c>
      <c r="F154" s="143">
        <f>VLOOKUP($A154,'Data shares'!$C:$FA,125)</f>
        <v>0.5</v>
      </c>
      <c r="G154" s="143">
        <f>VLOOKUP($A154,'Data shares'!$C:$FA,127)*100</f>
        <v>24</v>
      </c>
      <c r="H154" s="103">
        <f>VLOOKUP($A154,'OI(Volume)'!$A$7:$O$445,8)</f>
        <v>76119000</v>
      </c>
      <c r="I154" s="103">
        <f>VLOOKUP($A154,'OI(Volume)'!$A$7:$O$445,9)</f>
        <v>1131000</v>
      </c>
      <c r="J154" s="103">
        <f>VLOOKUP($A154,'OI(Volume)'!$A$7:$O$445,11)</f>
        <v>43224000</v>
      </c>
      <c r="K154" s="103">
        <f>VLOOKUP($A154,'OI(Volume)'!$A$7:$O$445,12)</f>
        <v>-937500</v>
      </c>
      <c r="L154" s="103">
        <f>VLOOKUP($A154,'OI(Value)'!$A$7:$O$329,8,0)</f>
        <v>3058</v>
      </c>
      <c r="M154" s="103">
        <f>VLOOKUP($A154,'OI(Value)'!$A$7:$O$329,9,0)</f>
        <v>45</v>
      </c>
      <c r="N154" s="103">
        <f>VLOOKUP($A154,'OI(Value)'!$A$7:$O$329,11,0)</f>
        <v>1737</v>
      </c>
      <c r="O154" s="103">
        <f>VLOOKUP($A154,'OI(Value)'!$A$7:$O$329,12,0)</f>
        <v>-38</v>
      </c>
      <c r="P154" s="179">
        <f>VLOOKUP(A154,'OI(Value)'!A154:O378,8,0)</f>
        <v>3058</v>
      </c>
      <c r="Q154" s="179">
        <f>VLOOKUP(A154,'OI(Value)'!A154:O378,9,0)</f>
        <v>45</v>
      </c>
      <c r="R154" s="179">
        <f>VLOOKUP(A154,'OI(Value)'!A154:O378,11,0)</f>
        <v>1737</v>
      </c>
      <c r="S154" s="179">
        <f>VLOOKUP(A154,'OI(Value)'!A154:O378,11,0)</f>
        <v>1737</v>
      </c>
    </row>
    <row r="155" spans="1:19" x14ac:dyDescent="0.25">
      <c r="A155" s="105" t="str">
        <f>'Data Vlaue (Cr)'!C150</f>
        <v>NUVAMA</v>
      </c>
      <c r="B155" s="143">
        <f>VLOOKUP($A155,'Data shares'!$C:$FA,118)</f>
        <v>0.74</v>
      </c>
      <c r="C155" s="143">
        <f>VLOOKUP($A155,'Data shares'!$C:$FA,119)</f>
        <v>0.74</v>
      </c>
      <c r="D155" s="143">
        <f>VLOOKUP($A155,'Data shares'!$C:$FA,121)*100</f>
        <v>0</v>
      </c>
      <c r="E155" s="143">
        <f>VLOOKUP($A155,'Data shares'!$C:$FA,124)</f>
        <v>0.8</v>
      </c>
      <c r="F155" s="143">
        <f>VLOOKUP($A155,'Data shares'!$C:$FA,125)</f>
        <v>0.6</v>
      </c>
      <c r="G155" s="143">
        <f>VLOOKUP($A155,'Data shares'!$C:$FA,127)*100</f>
        <v>33.33</v>
      </c>
      <c r="H155" s="103">
        <f>VLOOKUP($A155,'OI(Volume)'!$A$7:$O$445,8)</f>
        <v>1163000</v>
      </c>
      <c r="I155" s="103">
        <f>VLOOKUP($A155,'OI(Volume)'!$A$7:$O$445,9)</f>
        <v>40000</v>
      </c>
      <c r="J155" s="103">
        <f>VLOOKUP($A155,'OI(Volume)'!$A$7:$O$445,11)</f>
        <v>858000</v>
      </c>
      <c r="K155" s="103">
        <f>VLOOKUP($A155,'OI(Volume)'!$A$7:$O$445,12)</f>
        <v>22000</v>
      </c>
      <c r="L155" s="103">
        <f>VLOOKUP($A155,'OI(Value)'!$A$7:$O$329,8,0)</f>
        <v>160</v>
      </c>
      <c r="M155" s="103">
        <f>VLOOKUP($A155,'OI(Value)'!$A$7:$O$329,9,0)</f>
        <v>6</v>
      </c>
      <c r="N155" s="103">
        <f>VLOOKUP($A155,'OI(Value)'!$A$7:$O$329,11,0)</f>
        <v>118</v>
      </c>
      <c r="O155" s="103">
        <f>VLOOKUP($A155,'OI(Value)'!$A$7:$O$329,12,0)</f>
        <v>3</v>
      </c>
      <c r="P155" s="179">
        <f>VLOOKUP(A155,'OI(Value)'!A155:O379,8,0)</f>
        <v>160</v>
      </c>
      <c r="Q155" s="179">
        <f>VLOOKUP(A155,'OI(Value)'!A155:O379,9,0)</f>
        <v>6</v>
      </c>
      <c r="R155" s="179">
        <f>VLOOKUP(A155,'OI(Value)'!A155:O379,11,0)</f>
        <v>118</v>
      </c>
      <c r="S155" s="179">
        <f>VLOOKUP(A155,'OI(Value)'!A155:O379,11,0)</f>
        <v>118</v>
      </c>
    </row>
    <row r="156" spans="1:19" x14ac:dyDescent="0.25">
      <c r="A156" s="105" t="str">
        <f>'Data Vlaue (Cr)'!C151</f>
        <v>NYKAA</v>
      </c>
      <c r="B156" s="143">
        <f>VLOOKUP($A156,'Data shares'!$C:$FA,118)</f>
        <v>0.46</v>
      </c>
      <c r="C156" s="143">
        <f>VLOOKUP($A156,'Data shares'!$C:$FA,119)</f>
        <v>0.45</v>
      </c>
      <c r="D156" s="143">
        <f>VLOOKUP($A156,'Data shares'!$C:$FA,121)*100</f>
        <v>2.2200000000000002</v>
      </c>
      <c r="E156" s="143">
        <f>VLOOKUP($A156,'Data shares'!$C:$FA,124)</f>
        <v>0.31</v>
      </c>
      <c r="F156" s="143">
        <f>VLOOKUP($A156,'Data shares'!$C:$FA,125)</f>
        <v>0.49</v>
      </c>
      <c r="G156" s="143">
        <f>VLOOKUP($A156,'Data shares'!$C:$FA,127)*100</f>
        <v>-36.730000000000004</v>
      </c>
      <c r="H156" s="103">
        <f>VLOOKUP($A156,'OI(Volume)'!$A$7:$O$445,8)</f>
        <v>12240625</v>
      </c>
      <c r="I156" s="103">
        <f>VLOOKUP($A156,'OI(Volume)'!$A$7:$O$445,9)</f>
        <v>396875</v>
      </c>
      <c r="J156" s="103">
        <f>VLOOKUP($A156,'OI(Volume)'!$A$7:$O$445,11)</f>
        <v>5571875</v>
      </c>
      <c r="K156" s="103">
        <f>VLOOKUP($A156,'OI(Volume)'!$A$7:$O$445,12)</f>
        <v>246875</v>
      </c>
      <c r="L156" s="103">
        <f>VLOOKUP($A156,'OI(Value)'!$A$7:$O$329,8,0)</f>
        <v>320</v>
      </c>
      <c r="M156" s="103">
        <f>VLOOKUP($A156,'OI(Value)'!$A$7:$O$329,9,0)</f>
        <v>10</v>
      </c>
      <c r="N156" s="103">
        <f>VLOOKUP($A156,'OI(Value)'!$A$7:$O$329,11,0)</f>
        <v>146</v>
      </c>
      <c r="O156" s="103">
        <f>VLOOKUP($A156,'OI(Value)'!$A$7:$O$329,12,0)</f>
        <v>6</v>
      </c>
      <c r="P156" s="179">
        <f>VLOOKUP(A156,'OI(Value)'!A156:O380,8,0)</f>
        <v>320</v>
      </c>
      <c r="Q156" s="179">
        <f>VLOOKUP(A156,'OI(Value)'!A156:O380,9,0)</f>
        <v>10</v>
      </c>
      <c r="R156" s="179">
        <f>VLOOKUP(A156,'OI(Value)'!A156:O380,11,0)</f>
        <v>146</v>
      </c>
      <c r="S156" s="179">
        <f>VLOOKUP(A156,'OI(Value)'!A156:O380,11,0)</f>
        <v>146</v>
      </c>
    </row>
    <row r="157" spans="1:19" x14ac:dyDescent="0.25">
      <c r="A157" s="105" t="str">
        <f>'Data Vlaue (Cr)'!C152</f>
        <v>OBEROIRLTY</v>
      </c>
      <c r="B157" s="143">
        <f>VLOOKUP($A157,'Data shares'!$C:$FA,118)</f>
        <v>0.61</v>
      </c>
      <c r="C157" s="143">
        <f>VLOOKUP($A157,'Data shares'!$C:$FA,119)</f>
        <v>0.62</v>
      </c>
      <c r="D157" s="143">
        <f>VLOOKUP($A157,'Data shares'!$C:$FA,121)*100</f>
        <v>-1.6099999999999999</v>
      </c>
      <c r="E157" s="143">
        <f>VLOOKUP($A157,'Data shares'!$C:$FA,124)</f>
        <v>0.93</v>
      </c>
      <c r="F157" s="143">
        <f>VLOOKUP($A157,'Data shares'!$C:$FA,125)</f>
        <v>0.36</v>
      </c>
      <c r="G157" s="143">
        <f>VLOOKUP($A157,'Data shares'!$C:$FA,127)*100</f>
        <v>158.32999999999998</v>
      </c>
      <c r="H157" s="103">
        <f>VLOOKUP($A157,'OI(Volume)'!$A$7:$O$445,8)</f>
        <v>1759450</v>
      </c>
      <c r="I157" s="103">
        <f>VLOOKUP($A157,'OI(Volume)'!$A$7:$O$445,9)</f>
        <v>-44100</v>
      </c>
      <c r="J157" s="103">
        <f>VLOOKUP($A157,'OI(Volume)'!$A$7:$O$445,11)</f>
        <v>1079750</v>
      </c>
      <c r="K157" s="103">
        <f>VLOOKUP($A157,'OI(Volume)'!$A$7:$O$445,12)</f>
        <v>-40600</v>
      </c>
      <c r="L157" s="103">
        <f>VLOOKUP($A157,'OI(Value)'!$A$7:$O$329,8,0)</f>
        <v>301</v>
      </c>
      <c r="M157" s="103">
        <f>VLOOKUP($A157,'OI(Value)'!$A$7:$O$329,9,0)</f>
        <v>-8</v>
      </c>
      <c r="N157" s="103">
        <f>VLOOKUP($A157,'OI(Value)'!$A$7:$O$329,11,0)</f>
        <v>185</v>
      </c>
      <c r="O157" s="103">
        <f>VLOOKUP($A157,'OI(Value)'!$A$7:$O$329,12,0)</f>
        <v>-7</v>
      </c>
      <c r="P157" s="179">
        <f>VLOOKUP(A157,'OI(Value)'!A157:O381,8,0)</f>
        <v>301</v>
      </c>
      <c r="Q157" s="179">
        <f>VLOOKUP(A157,'OI(Value)'!A157:O381,9,0)</f>
        <v>-8</v>
      </c>
      <c r="R157" s="179">
        <f>VLOOKUP(A157,'OI(Value)'!A157:O381,11,0)</f>
        <v>185</v>
      </c>
      <c r="S157" s="179">
        <f>VLOOKUP(A157,'OI(Value)'!A157:O381,11,0)</f>
        <v>185</v>
      </c>
    </row>
    <row r="158" spans="1:19" x14ac:dyDescent="0.25">
      <c r="A158" s="105" t="str">
        <f>'Data Vlaue (Cr)'!C153</f>
        <v>OFSS</v>
      </c>
      <c r="B158" s="143">
        <f>VLOOKUP($A158,'Data shares'!$C:$FA,118)</f>
        <v>0.95</v>
      </c>
      <c r="C158" s="143">
        <f>VLOOKUP($A158,'Data shares'!$C:$FA,119)</f>
        <v>0.85</v>
      </c>
      <c r="D158" s="143">
        <f>VLOOKUP($A158,'Data shares'!$C:$FA,121)*100</f>
        <v>11.76</v>
      </c>
      <c r="E158" s="143">
        <f>VLOOKUP($A158,'Data shares'!$C:$FA,124)</f>
        <v>0.37</v>
      </c>
      <c r="F158" s="143">
        <f>VLOOKUP($A158,'Data shares'!$C:$FA,125)</f>
        <v>0.69</v>
      </c>
      <c r="G158" s="143">
        <f>VLOOKUP($A158,'Data shares'!$C:$FA,127)*100</f>
        <v>-46.379999999999995</v>
      </c>
      <c r="H158" s="103">
        <f>VLOOKUP($A158,'OI(Volume)'!$A$7:$O$445,8)</f>
        <v>1450425</v>
      </c>
      <c r="I158" s="103">
        <f>VLOOKUP($A158,'OI(Volume)'!$A$7:$O$445,9)</f>
        <v>264900</v>
      </c>
      <c r="J158" s="103">
        <f>VLOOKUP($A158,'OI(Volume)'!$A$7:$O$445,11)</f>
        <v>1372050</v>
      </c>
      <c r="K158" s="103">
        <f>VLOOKUP($A158,'OI(Volume)'!$A$7:$O$445,12)</f>
        <v>365025</v>
      </c>
      <c r="L158" s="103">
        <f>VLOOKUP($A158,'OI(Value)'!$A$7:$O$329,8,0)</f>
        <v>1274</v>
      </c>
      <c r="M158" s="103">
        <f>VLOOKUP($A158,'OI(Value)'!$A$7:$O$329,9,0)</f>
        <v>233</v>
      </c>
      <c r="N158" s="103">
        <f>VLOOKUP($A158,'OI(Value)'!$A$7:$O$329,11,0)</f>
        <v>1205</v>
      </c>
      <c r="O158" s="103">
        <f>VLOOKUP($A158,'OI(Value)'!$A$7:$O$329,12,0)</f>
        <v>321</v>
      </c>
      <c r="P158" s="179">
        <f>VLOOKUP(A158,'OI(Value)'!A158:O382,8,0)</f>
        <v>1274</v>
      </c>
      <c r="Q158" s="179">
        <f>VLOOKUP(A158,'OI(Value)'!A158:O382,9,0)</f>
        <v>233</v>
      </c>
      <c r="R158" s="179">
        <f>VLOOKUP(A158,'OI(Value)'!A158:O382,11,0)</f>
        <v>1205</v>
      </c>
      <c r="S158" s="179">
        <f>VLOOKUP(A158,'OI(Value)'!A158:O382,11,0)</f>
        <v>1205</v>
      </c>
    </row>
    <row r="159" spans="1:19" x14ac:dyDescent="0.25">
      <c r="A159" s="105" t="str">
        <f>'Data Vlaue (Cr)'!C154</f>
        <v>OIL</v>
      </c>
      <c r="B159" s="143">
        <f>VLOOKUP($A159,'Data shares'!$C:$FA,118)</f>
        <v>0.47</v>
      </c>
      <c r="C159" s="143">
        <f>VLOOKUP($A159,'Data shares'!$C:$FA,119)</f>
        <v>0.44</v>
      </c>
      <c r="D159" s="143">
        <f>VLOOKUP($A159,'Data shares'!$C:$FA,121)*100</f>
        <v>6.8199999999999994</v>
      </c>
      <c r="E159" s="143">
        <f>VLOOKUP($A159,'Data shares'!$C:$FA,124)</f>
        <v>0.21</v>
      </c>
      <c r="F159" s="143">
        <f>VLOOKUP($A159,'Data shares'!$C:$FA,125)</f>
        <v>0.27</v>
      </c>
      <c r="G159" s="143">
        <f>VLOOKUP($A159,'Data shares'!$C:$FA,127)*100</f>
        <v>-22.220000000000002</v>
      </c>
      <c r="H159" s="103">
        <f>VLOOKUP($A159,'OI(Volume)'!$A$7:$O$445,8)</f>
        <v>10406200</v>
      </c>
      <c r="I159" s="103">
        <f>VLOOKUP($A159,'OI(Volume)'!$A$7:$O$445,9)</f>
        <v>33600</v>
      </c>
      <c r="J159" s="103">
        <f>VLOOKUP($A159,'OI(Volume)'!$A$7:$O$445,11)</f>
        <v>4902800</v>
      </c>
      <c r="K159" s="103">
        <f>VLOOKUP($A159,'OI(Volume)'!$A$7:$O$445,12)</f>
        <v>385000</v>
      </c>
      <c r="L159" s="103">
        <f>VLOOKUP($A159,'OI(Value)'!$A$7:$O$329,8,0)</f>
        <v>494</v>
      </c>
      <c r="M159" s="103">
        <f>VLOOKUP($A159,'OI(Value)'!$A$7:$O$329,9,0)</f>
        <v>2</v>
      </c>
      <c r="N159" s="103">
        <f>VLOOKUP($A159,'OI(Value)'!$A$7:$O$329,11,0)</f>
        <v>233</v>
      </c>
      <c r="O159" s="103">
        <f>VLOOKUP($A159,'OI(Value)'!$A$7:$O$329,12,0)</f>
        <v>18</v>
      </c>
      <c r="P159" s="179">
        <f>VLOOKUP(A159,'OI(Value)'!A159:O383,8,0)</f>
        <v>494</v>
      </c>
      <c r="Q159" s="179">
        <f>VLOOKUP(A159,'OI(Value)'!A159:O383,9,0)</f>
        <v>2</v>
      </c>
      <c r="R159" s="179">
        <f>VLOOKUP(A159,'OI(Value)'!A159:O383,11,0)</f>
        <v>233</v>
      </c>
      <c r="S159" s="179">
        <f>VLOOKUP(A159,'OI(Value)'!A159:O383,11,0)</f>
        <v>233</v>
      </c>
    </row>
    <row r="160" spans="1:19" x14ac:dyDescent="0.25">
      <c r="A160" s="105" t="str">
        <f>'Data Vlaue (Cr)'!C155</f>
        <v>ONGC</v>
      </c>
      <c r="B160" s="143">
        <f>VLOOKUP($A160,'Data shares'!$C:$FA,118)</f>
        <v>0.39</v>
      </c>
      <c r="C160" s="143">
        <f>VLOOKUP($A160,'Data shares'!$C:$FA,119)</f>
        <v>0.4</v>
      </c>
      <c r="D160" s="143">
        <f>VLOOKUP($A160,'Data shares'!$C:$FA,121)*100</f>
        <v>-2.5</v>
      </c>
      <c r="E160" s="143">
        <f>VLOOKUP($A160,'Data shares'!$C:$FA,124)</f>
        <v>0.33</v>
      </c>
      <c r="F160" s="143">
        <f>VLOOKUP($A160,'Data shares'!$C:$FA,125)</f>
        <v>0.4</v>
      </c>
      <c r="G160" s="143">
        <f>VLOOKUP($A160,'Data shares'!$C:$FA,127)*100</f>
        <v>-17.5</v>
      </c>
      <c r="H160" s="103">
        <f>VLOOKUP($A160,'OI(Volume)'!$A$7:$O$445,8)</f>
        <v>96165000</v>
      </c>
      <c r="I160" s="103">
        <f>VLOOKUP($A160,'OI(Volume)'!$A$7:$O$445,9)</f>
        <v>2241000</v>
      </c>
      <c r="J160" s="103">
        <f>VLOOKUP($A160,'OI(Volume)'!$A$7:$O$445,11)</f>
        <v>37170000</v>
      </c>
      <c r="K160" s="103">
        <f>VLOOKUP($A160,'OI(Volume)'!$A$7:$O$445,12)</f>
        <v>-497250</v>
      </c>
      <c r="L160" s="103">
        <f>VLOOKUP($A160,'OI(Value)'!$A$7:$O$329,8,0)</f>
        <v>2757</v>
      </c>
      <c r="M160" s="103">
        <f>VLOOKUP($A160,'OI(Value)'!$A$7:$O$329,9,0)</f>
        <v>64</v>
      </c>
      <c r="N160" s="103">
        <f>VLOOKUP($A160,'OI(Value)'!$A$7:$O$329,11,0)</f>
        <v>1065</v>
      </c>
      <c r="O160" s="103">
        <f>VLOOKUP($A160,'OI(Value)'!$A$7:$O$329,12,0)</f>
        <v>-14</v>
      </c>
      <c r="P160" s="179">
        <f>VLOOKUP(A160,'OI(Value)'!A160:O384,8,0)</f>
        <v>2757</v>
      </c>
      <c r="Q160" s="179">
        <f>VLOOKUP(A160,'OI(Value)'!A160:O384,9,0)</f>
        <v>64</v>
      </c>
      <c r="R160" s="179">
        <f>VLOOKUP(A160,'OI(Value)'!A160:O384,11,0)</f>
        <v>1065</v>
      </c>
      <c r="S160" s="179">
        <f>VLOOKUP(A160,'OI(Value)'!A160:O384,11,0)</f>
        <v>1065</v>
      </c>
    </row>
    <row r="161" spans="1:19" x14ac:dyDescent="0.25">
      <c r="A161" s="105" t="str">
        <f>'Data Vlaue (Cr)'!C156</f>
        <v>PAGEIND</v>
      </c>
      <c r="B161" s="143">
        <f>VLOOKUP($A161,'Data shares'!$C:$FA,118)</f>
        <v>0.94</v>
      </c>
      <c r="C161" s="143">
        <f>VLOOKUP($A161,'Data shares'!$C:$FA,119)</f>
        <v>1.08</v>
      </c>
      <c r="D161" s="143">
        <f>VLOOKUP($A161,'Data shares'!$C:$FA,121)*100</f>
        <v>-12.959999999999999</v>
      </c>
      <c r="E161" s="143">
        <f>VLOOKUP($A161,'Data shares'!$C:$FA,124)</f>
        <v>2.13</v>
      </c>
      <c r="F161" s="143">
        <f>VLOOKUP($A161,'Data shares'!$C:$FA,125)</f>
        <v>1.49</v>
      </c>
      <c r="G161" s="143">
        <f>VLOOKUP($A161,'Data shares'!$C:$FA,127)*100</f>
        <v>42.95</v>
      </c>
      <c r="H161" s="103">
        <f>VLOOKUP($A161,'OI(Volume)'!$A$7:$O$445,8)</f>
        <v>68220</v>
      </c>
      <c r="I161" s="103">
        <f>VLOOKUP($A161,'OI(Volume)'!$A$7:$O$445,9)</f>
        <v>-900</v>
      </c>
      <c r="J161" s="103">
        <f>VLOOKUP($A161,'OI(Volume)'!$A$7:$O$445,11)</f>
        <v>63795</v>
      </c>
      <c r="K161" s="103">
        <f>VLOOKUP($A161,'OI(Volume)'!$A$7:$O$445,12)</f>
        <v>-10695</v>
      </c>
      <c r="L161" s="103">
        <f>VLOOKUP($A161,'OI(Value)'!$A$7:$O$329,8,0)</f>
        <v>259</v>
      </c>
      <c r="M161" s="103">
        <f>VLOOKUP($A161,'OI(Value)'!$A$7:$O$329,9,0)</f>
        <v>-3</v>
      </c>
      <c r="N161" s="103">
        <f>VLOOKUP($A161,'OI(Value)'!$A$7:$O$329,11,0)</f>
        <v>242</v>
      </c>
      <c r="O161" s="103">
        <f>VLOOKUP($A161,'OI(Value)'!$A$7:$O$329,12,0)</f>
        <v>-41</v>
      </c>
      <c r="P161" s="179">
        <f>VLOOKUP(A161,'OI(Value)'!A161:O385,8,0)</f>
        <v>259</v>
      </c>
      <c r="Q161" s="179">
        <f>VLOOKUP(A161,'OI(Value)'!A161:O385,9,0)</f>
        <v>-3</v>
      </c>
      <c r="R161" s="179">
        <f>VLOOKUP(A161,'OI(Value)'!A161:O385,11,0)</f>
        <v>242</v>
      </c>
      <c r="S161" s="179">
        <f>VLOOKUP(A161,'OI(Value)'!A161:O385,11,0)</f>
        <v>242</v>
      </c>
    </row>
    <row r="162" spans="1:19" x14ac:dyDescent="0.25">
      <c r="A162" s="105" t="str">
        <f>'Data Vlaue (Cr)'!C157</f>
        <v>PATANJALI</v>
      </c>
      <c r="B162" s="143">
        <f>VLOOKUP($A162,'Data shares'!$C:$FA,118)</f>
        <v>0.68</v>
      </c>
      <c r="C162" s="143">
        <f>VLOOKUP($A162,'Data shares'!$C:$FA,119)</f>
        <v>0.56999999999999995</v>
      </c>
      <c r="D162" s="143">
        <f>VLOOKUP($A162,'Data shares'!$C:$FA,121)*100</f>
        <v>19.3</v>
      </c>
      <c r="E162" s="143">
        <f>VLOOKUP($A162,'Data shares'!$C:$FA,124)</f>
        <v>0.18</v>
      </c>
      <c r="F162" s="143">
        <f>VLOOKUP($A162,'Data shares'!$C:$FA,125)</f>
        <v>0.23</v>
      </c>
      <c r="G162" s="143">
        <f>VLOOKUP($A162,'Data shares'!$C:$FA,127)*100</f>
        <v>-21.740000000000002</v>
      </c>
      <c r="H162" s="103">
        <f>VLOOKUP($A162,'OI(Volume)'!$A$7:$O$445,8)</f>
        <v>5669100</v>
      </c>
      <c r="I162" s="103">
        <f>VLOOKUP($A162,'OI(Volume)'!$A$7:$O$445,9)</f>
        <v>-886500</v>
      </c>
      <c r="J162" s="103">
        <f>VLOOKUP($A162,'OI(Volume)'!$A$7:$O$445,11)</f>
        <v>3841200</v>
      </c>
      <c r="K162" s="103">
        <f>VLOOKUP($A162,'OI(Volume)'!$A$7:$O$445,12)</f>
        <v>126900</v>
      </c>
      <c r="L162" s="103">
        <f>VLOOKUP($A162,'OI(Value)'!$A$7:$O$329,8,0)</f>
        <v>265</v>
      </c>
      <c r="M162" s="103">
        <f>VLOOKUP($A162,'OI(Value)'!$A$7:$O$329,9,0)</f>
        <v>-41</v>
      </c>
      <c r="N162" s="103">
        <f>VLOOKUP($A162,'OI(Value)'!$A$7:$O$329,11,0)</f>
        <v>180</v>
      </c>
      <c r="O162" s="103">
        <f>VLOOKUP($A162,'OI(Value)'!$A$7:$O$329,12,0)</f>
        <v>6</v>
      </c>
      <c r="P162" s="179">
        <f>VLOOKUP(A162,'OI(Value)'!A162:O386,8,0)</f>
        <v>265</v>
      </c>
      <c r="Q162" s="179">
        <f>VLOOKUP(A162,'OI(Value)'!A162:O386,9,0)</f>
        <v>-41</v>
      </c>
      <c r="R162" s="179">
        <f>VLOOKUP(A162,'OI(Value)'!A162:O386,11,0)</f>
        <v>180</v>
      </c>
      <c r="S162" s="179">
        <f>VLOOKUP(A162,'OI(Value)'!A162:O386,11,0)</f>
        <v>180</v>
      </c>
    </row>
    <row r="163" spans="1:19" x14ac:dyDescent="0.25">
      <c r="A163" s="105" t="str">
        <f>'Data Vlaue (Cr)'!C158</f>
        <v>PAYTM</v>
      </c>
      <c r="B163" s="143">
        <f>VLOOKUP($A163,'Data shares'!$C:$FA,118)</f>
        <v>0.78</v>
      </c>
      <c r="C163" s="143">
        <f>VLOOKUP($A163,'Data shares'!$C:$FA,119)</f>
        <v>0.81</v>
      </c>
      <c r="D163" s="143">
        <f>VLOOKUP($A163,'Data shares'!$C:$FA,121)*100</f>
        <v>-3.6999999999999997</v>
      </c>
      <c r="E163" s="143">
        <f>VLOOKUP($A163,'Data shares'!$C:$FA,124)</f>
        <v>0.62</v>
      </c>
      <c r="F163" s="143">
        <f>VLOOKUP($A163,'Data shares'!$C:$FA,125)</f>
        <v>1.18</v>
      </c>
      <c r="G163" s="143">
        <f>VLOOKUP($A163,'Data shares'!$C:$FA,127)*100</f>
        <v>-47.46</v>
      </c>
      <c r="H163" s="103">
        <f>VLOOKUP($A163,'OI(Volume)'!$A$7:$O$445,8)</f>
        <v>6399575</v>
      </c>
      <c r="I163" s="103">
        <f>VLOOKUP($A163,'OI(Volume)'!$A$7:$O$445,9)</f>
        <v>-341475</v>
      </c>
      <c r="J163" s="103">
        <f>VLOOKUP($A163,'OI(Volume)'!$A$7:$O$445,11)</f>
        <v>5021350</v>
      </c>
      <c r="K163" s="103">
        <f>VLOOKUP($A163,'OI(Volume)'!$A$7:$O$445,12)</f>
        <v>-452400</v>
      </c>
      <c r="L163" s="103">
        <f>VLOOKUP($A163,'OI(Value)'!$A$7:$O$329,8,0)</f>
        <v>740</v>
      </c>
      <c r="M163" s="103">
        <f>VLOOKUP($A163,'OI(Value)'!$A$7:$O$329,9,0)</f>
        <v>-40</v>
      </c>
      <c r="N163" s="103">
        <f>VLOOKUP($A163,'OI(Value)'!$A$7:$O$329,11,0)</f>
        <v>581</v>
      </c>
      <c r="O163" s="103">
        <f>VLOOKUP($A163,'OI(Value)'!$A$7:$O$329,12,0)</f>
        <v>-52</v>
      </c>
      <c r="P163" s="179">
        <f>VLOOKUP(A163,'OI(Value)'!A163:O387,8,0)</f>
        <v>740</v>
      </c>
      <c r="Q163" s="179">
        <f>VLOOKUP(A163,'OI(Value)'!A163:O387,9,0)</f>
        <v>-40</v>
      </c>
      <c r="R163" s="179">
        <f>VLOOKUP(A163,'OI(Value)'!A163:O387,11,0)</f>
        <v>581</v>
      </c>
      <c r="S163" s="179">
        <f>VLOOKUP(A163,'OI(Value)'!A163:O387,11,0)</f>
        <v>581</v>
      </c>
    </row>
    <row r="164" spans="1:19" x14ac:dyDescent="0.25">
      <c r="A164" s="105" t="str">
        <f>'Data Vlaue (Cr)'!C159</f>
        <v>PERSISTENT</v>
      </c>
      <c r="B164" s="143">
        <f>VLOOKUP($A164,'Data shares'!$C:$FA,118)</f>
        <v>0.53</v>
      </c>
      <c r="C164" s="143">
        <f>VLOOKUP($A164,'Data shares'!$C:$FA,119)</f>
        <v>0.51</v>
      </c>
      <c r="D164" s="143">
        <f>VLOOKUP($A164,'Data shares'!$C:$FA,121)*100</f>
        <v>3.92</v>
      </c>
      <c r="E164" s="143">
        <f>VLOOKUP($A164,'Data shares'!$C:$FA,124)</f>
        <v>0.47</v>
      </c>
      <c r="F164" s="143">
        <f>VLOOKUP($A164,'Data shares'!$C:$FA,125)</f>
        <v>0.73</v>
      </c>
      <c r="G164" s="143">
        <f>VLOOKUP($A164,'Data shares'!$C:$FA,127)*100</f>
        <v>-35.620000000000005</v>
      </c>
      <c r="H164" s="103">
        <f>VLOOKUP($A164,'OI(Volume)'!$A$7:$O$445,8)</f>
        <v>2607600</v>
      </c>
      <c r="I164" s="103">
        <f>VLOOKUP($A164,'OI(Volume)'!$A$7:$O$445,9)</f>
        <v>-225500</v>
      </c>
      <c r="J164" s="103">
        <f>VLOOKUP($A164,'OI(Volume)'!$A$7:$O$445,11)</f>
        <v>1381900</v>
      </c>
      <c r="K164" s="103">
        <f>VLOOKUP($A164,'OI(Volume)'!$A$7:$O$445,12)</f>
        <v>-70400</v>
      </c>
      <c r="L164" s="103">
        <f>VLOOKUP($A164,'OI(Value)'!$A$7:$O$329,8,0)</f>
        <v>1322</v>
      </c>
      <c r="M164" s="103">
        <f>VLOOKUP($A164,'OI(Value)'!$A$7:$O$329,9,0)</f>
        <v>-114</v>
      </c>
      <c r="N164" s="103">
        <f>VLOOKUP($A164,'OI(Value)'!$A$7:$O$329,11,0)</f>
        <v>700</v>
      </c>
      <c r="O164" s="103">
        <f>VLOOKUP($A164,'OI(Value)'!$A$7:$O$329,12,0)</f>
        <v>-36</v>
      </c>
      <c r="P164" s="179">
        <f>VLOOKUP(A164,'OI(Value)'!A164:O388,8,0)</f>
        <v>1322</v>
      </c>
      <c r="Q164" s="179">
        <f>VLOOKUP(A164,'OI(Value)'!A164:O388,9,0)</f>
        <v>-114</v>
      </c>
      <c r="R164" s="179">
        <f>VLOOKUP(A164,'OI(Value)'!A164:O388,11,0)</f>
        <v>700</v>
      </c>
      <c r="S164" s="179">
        <f>VLOOKUP(A164,'OI(Value)'!A164:O388,11,0)</f>
        <v>700</v>
      </c>
    </row>
    <row r="165" spans="1:19" x14ac:dyDescent="0.25">
      <c r="A165" s="105" t="str">
        <f>'Data Vlaue (Cr)'!C160</f>
        <v>PETRONET</v>
      </c>
      <c r="B165" s="143">
        <f>VLOOKUP($A165,'Data shares'!$C:$FA,118)</f>
        <v>0.7</v>
      </c>
      <c r="C165" s="143">
        <f>VLOOKUP($A165,'Data shares'!$C:$FA,119)</f>
        <v>0.64</v>
      </c>
      <c r="D165" s="143">
        <f>VLOOKUP($A165,'Data shares'!$C:$FA,121)*100</f>
        <v>9.370000000000001</v>
      </c>
      <c r="E165" s="143">
        <f>VLOOKUP($A165,'Data shares'!$C:$FA,124)</f>
        <v>0.52</v>
      </c>
      <c r="F165" s="143">
        <f>VLOOKUP($A165,'Data shares'!$C:$FA,125)</f>
        <v>0.37</v>
      </c>
      <c r="G165" s="143">
        <f>VLOOKUP($A165,'Data shares'!$C:$FA,127)*100</f>
        <v>40.54</v>
      </c>
      <c r="H165" s="103">
        <f>VLOOKUP($A165,'OI(Volume)'!$A$7:$O$445,8)</f>
        <v>15397600</v>
      </c>
      <c r="I165" s="103">
        <f>VLOOKUP($A165,'OI(Volume)'!$A$7:$O$445,9)</f>
        <v>-1037400</v>
      </c>
      <c r="J165" s="103">
        <f>VLOOKUP($A165,'OI(Volume)'!$A$7:$O$445,11)</f>
        <v>10740700</v>
      </c>
      <c r="K165" s="103">
        <f>VLOOKUP($A165,'OI(Volume)'!$A$7:$O$445,12)</f>
        <v>254600</v>
      </c>
      <c r="L165" s="103">
        <f>VLOOKUP($A165,'OI(Value)'!$A$7:$O$329,8,0)</f>
        <v>424</v>
      </c>
      <c r="M165" s="103">
        <f>VLOOKUP($A165,'OI(Value)'!$A$7:$O$329,9,0)</f>
        <v>-29</v>
      </c>
      <c r="N165" s="103">
        <f>VLOOKUP($A165,'OI(Value)'!$A$7:$O$329,11,0)</f>
        <v>296</v>
      </c>
      <c r="O165" s="103">
        <f>VLOOKUP($A165,'OI(Value)'!$A$7:$O$329,12,0)</f>
        <v>7</v>
      </c>
      <c r="P165" s="179">
        <f>VLOOKUP(A165,'OI(Value)'!A165:O389,8,0)</f>
        <v>424</v>
      </c>
      <c r="Q165" s="179">
        <f>VLOOKUP(A165,'OI(Value)'!A165:O389,9,0)</f>
        <v>-29</v>
      </c>
      <c r="R165" s="179">
        <f>VLOOKUP(A165,'OI(Value)'!A165:O389,11,0)</f>
        <v>296</v>
      </c>
      <c r="S165" s="179">
        <f>VLOOKUP(A165,'OI(Value)'!A165:O389,11,0)</f>
        <v>296</v>
      </c>
    </row>
    <row r="166" spans="1:19" x14ac:dyDescent="0.25">
      <c r="A166" s="105" t="str">
        <f>'Data Vlaue (Cr)'!C161</f>
        <v>PFC</v>
      </c>
      <c r="B166" s="143">
        <f>VLOOKUP($A166,'Data shares'!$C:$FA,118)</f>
        <v>0.77</v>
      </c>
      <c r="C166" s="143">
        <f>VLOOKUP($A166,'Data shares'!$C:$FA,119)</f>
        <v>0.77</v>
      </c>
      <c r="D166" s="143">
        <f>VLOOKUP($A166,'Data shares'!$C:$FA,121)*100</f>
        <v>0</v>
      </c>
      <c r="E166" s="143">
        <f>VLOOKUP($A166,'Data shares'!$C:$FA,124)</f>
        <v>0.46</v>
      </c>
      <c r="F166" s="143">
        <f>VLOOKUP($A166,'Data shares'!$C:$FA,125)</f>
        <v>0.53</v>
      </c>
      <c r="G166" s="143">
        <f>VLOOKUP($A166,'Data shares'!$C:$FA,127)*100</f>
        <v>-13.209999999999999</v>
      </c>
      <c r="H166" s="103">
        <f>VLOOKUP($A166,'OI(Volume)'!$A$7:$O$445,8)</f>
        <v>26456300</v>
      </c>
      <c r="I166" s="103">
        <f>VLOOKUP($A166,'OI(Volume)'!$A$7:$O$445,9)</f>
        <v>-323700</v>
      </c>
      <c r="J166" s="103">
        <f>VLOOKUP($A166,'OI(Volume)'!$A$7:$O$445,11)</f>
        <v>20494500</v>
      </c>
      <c r="K166" s="103">
        <f>VLOOKUP($A166,'OI(Volume)'!$A$7:$O$445,12)</f>
        <v>-227500</v>
      </c>
      <c r="L166" s="103">
        <f>VLOOKUP($A166,'OI(Value)'!$A$7:$O$329,8,0)</f>
        <v>1241</v>
      </c>
      <c r="M166" s="103">
        <f>VLOOKUP($A166,'OI(Value)'!$A$7:$O$329,9,0)</f>
        <v>-15</v>
      </c>
      <c r="N166" s="103">
        <f>VLOOKUP($A166,'OI(Value)'!$A$7:$O$329,11,0)</f>
        <v>961</v>
      </c>
      <c r="O166" s="103">
        <f>VLOOKUP($A166,'OI(Value)'!$A$7:$O$329,12,0)</f>
        <v>-11</v>
      </c>
      <c r="P166" s="179">
        <f>VLOOKUP(A166,'OI(Value)'!A166:O390,8,0)</f>
        <v>1241</v>
      </c>
      <c r="Q166" s="179">
        <f>VLOOKUP(A166,'OI(Value)'!A166:O390,9,0)</f>
        <v>-15</v>
      </c>
      <c r="R166" s="179">
        <f>VLOOKUP(A166,'OI(Value)'!A166:O390,11,0)</f>
        <v>961</v>
      </c>
      <c r="S166" s="179">
        <f>VLOOKUP(A166,'OI(Value)'!A166:O390,11,0)</f>
        <v>961</v>
      </c>
    </row>
    <row r="167" spans="1:19" x14ac:dyDescent="0.25">
      <c r="A167" s="105" t="str">
        <f>'Data Vlaue (Cr)'!C162</f>
        <v>PGEL</v>
      </c>
      <c r="B167" s="143">
        <f>VLOOKUP($A167,'Data shares'!$C:$FA,118)</f>
        <v>0.98</v>
      </c>
      <c r="C167" s="143">
        <f>VLOOKUP($A167,'Data shares'!$C:$FA,119)</f>
        <v>1.05</v>
      </c>
      <c r="D167" s="143">
        <f>VLOOKUP($A167,'Data shares'!$C:$FA,121)*100</f>
        <v>-6.67</v>
      </c>
      <c r="E167" s="143">
        <f>VLOOKUP($A167,'Data shares'!$C:$FA,124)</f>
        <v>1</v>
      </c>
      <c r="F167" s="143">
        <f>VLOOKUP($A167,'Data shares'!$C:$FA,125)</f>
        <v>0.7</v>
      </c>
      <c r="G167" s="143">
        <f>VLOOKUP($A167,'Data shares'!$C:$FA,127)*100</f>
        <v>42.86</v>
      </c>
      <c r="H167" s="103">
        <f>VLOOKUP($A167,'OI(Volume)'!$A$7:$O$445,8)</f>
        <v>8474950</v>
      </c>
      <c r="I167" s="103">
        <f>VLOOKUP($A167,'OI(Volume)'!$A$7:$O$445,9)</f>
        <v>46550</v>
      </c>
      <c r="J167" s="103">
        <f>VLOOKUP($A167,'OI(Volume)'!$A$7:$O$445,11)</f>
        <v>8277350</v>
      </c>
      <c r="K167" s="103">
        <f>VLOOKUP($A167,'OI(Volume)'!$A$7:$O$445,12)</f>
        <v>-570950</v>
      </c>
      <c r="L167" s="103">
        <f>VLOOKUP($A167,'OI(Value)'!$A$7:$O$329,8,0)</f>
        <v>468</v>
      </c>
      <c r="M167" s="103">
        <f>VLOOKUP($A167,'OI(Value)'!$A$7:$O$329,9,0)</f>
        <v>3</v>
      </c>
      <c r="N167" s="103">
        <f>VLOOKUP($A167,'OI(Value)'!$A$7:$O$329,11,0)</f>
        <v>457</v>
      </c>
      <c r="O167" s="103">
        <f>VLOOKUP($A167,'OI(Value)'!$A$7:$O$329,12,0)</f>
        <v>-32</v>
      </c>
      <c r="P167" s="179">
        <f>VLOOKUP(A167,'OI(Value)'!A167:O391,8,0)</f>
        <v>468</v>
      </c>
      <c r="Q167" s="179">
        <f>VLOOKUP(A167,'OI(Value)'!A167:O391,9,0)</f>
        <v>3</v>
      </c>
      <c r="R167" s="179">
        <f>VLOOKUP(A167,'OI(Value)'!A167:O391,11,0)</f>
        <v>457</v>
      </c>
      <c r="S167" s="179">
        <f>VLOOKUP(A167,'OI(Value)'!A167:O391,11,0)</f>
        <v>457</v>
      </c>
    </row>
    <row r="168" spans="1:19" x14ac:dyDescent="0.25">
      <c r="A168" s="105" t="str">
        <f>'Data Vlaue (Cr)'!C163</f>
        <v>PHOENIXLTD</v>
      </c>
      <c r="B168" s="143">
        <f>VLOOKUP($A168,'Data shares'!$C:$FA,118)</f>
        <v>0.79</v>
      </c>
      <c r="C168" s="143">
        <f>VLOOKUP($A168,'Data shares'!$C:$FA,119)</f>
        <v>0.79</v>
      </c>
      <c r="D168" s="143">
        <f>VLOOKUP($A168,'Data shares'!$C:$FA,121)*100</f>
        <v>0</v>
      </c>
      <c r="E168" s="143">
        <f>VLOOKUP($A168,'Data shares'!$C:$FA,124)</f>
        <v>2.27</v>
      </c>
      <c r="F168" s="143">
        <f>VLOOKUP($A168,'Data shares'!$C:$FA,125)</f>
        <v>0.36</v>
      </c>
      <c r="G168" s="143">
        <f>VLOOKUP($A168,'Data shares'!$C:$FA,127)*100</f>
        <v>530.56000000000006</v>
      </c>
      <c r="H168" s="103">
        <f>VLOOKUP($A168,'OI(Volume)'!$A$7:$O$445,8)</f>
        <v>1347150</v>
      </c>
      <c r="I168" s="103">
        <f>VLOOKUP($A168,'OI(Volume)'!$A$7:$O$445,9)</f>
        <v>85400</v>
      </c>
      <c r="J168" s="103">
        <f>VLOOKUP($A168,'OI(Volume)'!$A$7:$O$445,11)</f>
        <v>1070300</v>
      </c>
      <c r="K168" s="103">
        <f>VLOOKUP($A168,'OI(Volume)'!$A$7:$O$445,12)</f>
        <v>74900</v>
      </c>
      <c r="L168" s="103">
        <f>VLOOKUP($A168,'OI(Value)'!$A$7:$O$329,8,0)</f>
        <v>241</v>
      </c>
      <c r="M168" s="103">
        <f>VLOOKUP($A168,'OI(Value)'!$A$7:$O$329,9,0)</f>
        <v>15</v>
      </c>
      <c r="N168" s="103">
        <f>VLOOKUP($A168,'OI(Value)'!$A$7:$O$329,11,0)</f>
        <v>191</v>
      </c>
      <c r="O168" s="103">
        <f>VLOOKUP($A168,'OI(Value)'!$A$7:$O$329,12,0)</f>
        <v>13</v>
      </c>
      <c r="P168" s="179">
        <f>VLOOKUP(A168,'OI(Value)'!A168:O392,8,0)</f>
        <v>241</v>
      </c>
      <c r="Q168" s="179">
        <f>VLOOKUP(A168,'OI(Value)'!A168:O392,9,0)</f>
        <v>15</v>
      </c>
      <c r="R168" s="179">
        <f>VLOOKUP(A168,'OI(Value)'!A168:O392,11,0)</f>
        <v>191</v>
      </c>
      <c r="S168" s="179">
        <f>VLOOKUP(A168,'OI(Value)'!A168:O392,11,0)</f>
        <v>191</v>
      </c>
    </row>
    <row r="169" spans="1:19" x14ac:dyDescent="0.25">
      <c r="A169" s="105" t="str">
        <f>'Data Vlaue (Cr)'!C164</f>
        <v>PIDILITIND</v>
      </c>
      <c r="B169" s="143">
        <f>VLOOKUP($A169,'Data shares'!$C:$FA,118)</f>
        <v>0.79</v>
      </c>
      <c r="C169" s="143">
        <f>VLOOKUP($A169,'Data shares'!$C:$FA,119)</f>
        <v>0.77</v>
      </c>
      <c r="D169" s="143">
        <f>VLOOKUP($A169,'Data shares'!$C:$FA,121)*100</f>
        <v>2.6</v>
      </c>
      <c r="E169" s="143">
        <f>VLOOKUP($A169,'Data shares'!$C:$FA,124)</f>
        <v>0.68</v>
      </c>
      <c r="F169" s="143">
        <f>VLOOKUP($A169,'Data shares'!$C:$FA,125)</f>
        <v>0.59</v>
      </c>
      <c r="G169" s="143">
        <f>VLOOKUP($A169,'Data shares'!$C:$FA,127)*100</f>
        <v>15.25</v>
      </c>
      <c r="H169" s="103">
        <f>VLOOKUP($A169,'OI(Volume)'!$A$7:$O$445,8)</f>
        <v>1737000</v>
      </c>
      <c r="I169" s="103">
        <f>VLOOKUP($A169,'OI(Volume)'!$A$7:$O$445,9)</f>
        <v>-6500</v>
      </c>
      <c r="J169" s="103">
        <f>VLOOKUP($A169,'OI(Volume)'!$A$7:$O$445,11)</f>
        <v>1365500</v>
      </c>
      <c r="K169" s="103">
        <f>VLOOKUP($A169,'OI(Volume)'!$A$7:$O$445,12)</f>
        <v>25500</v>
      </c>
      <c r="L169" s="103">
        <f>VLOOKUP($A169,'OI(Value)'!$A$7:$O$329,8,0)</f>
        <v>243</v>
      </c>
      <c r="M169" s="103">
        <f>VLOOKUP($A169,'OI(Value)'!$A$7:$O$329,9,0)</f>
        <v>-1</v>
      </c>
      <c r="N169" s="103">
        <f>VLOOKUP($A169,'OI(Value)'!$A$7:$O$329,11,0)</f>
        <v>191</v>
      </c>
      <c r="O169" s="103">
        <f>VLOOKUP($A169,'OI(Value)'!$A$7:$O$329,12,0)</f>
        <v>4</v>
      </c>
      <c r="P169" s="179">
        <f>VLOOKUP(A169,'OI(Value)'!A169:O393,8,0)</f>
        <v>243</v>
      </c>
      <c r="Q169" s="179">
        <f>VLOOKUP(A169,'OI(Value)'!A169:O393,9,0)</f>
        <v>-1</v>
      </c>
      <c r="R169" s="179">
        <f>VLOOKUP(A169,'OI(Value)'!A169:O393,11,0)</f>
        <v>191</v>
      </c>
      <c r="S169" s="179">
        <f>VLOOKUP(A169,'OI(Value)'!A169:O393,11,0)</f>
        <v>191</v>
      </c>
    </row>
    <row r="170" spans="1:19" x14ac:dyDescent="0.25">
      <c r="A170" s="105" t="str">
        <f>'Data Vlaue (Cr)'!C165</f>
        <v>PIIND</v>
      </c>
      <c r="B170" s="143">
        <f>VLOOKUP($A170,'Data shares'!$C:$FA,118)</f>
        <v>0.75</v>
      </c>
      <c r="C170" s="143">
        <f>VLOOKUP($A170,'Data shares'!$C:$FA,119)</f>
        <v>0.82</v>
      </c>
      <c r="D170" s="143">
        <f>VLOOKUP($A170,'Data shares'!$C:$FA,121)*100</f>
        <v>-8.5400000000000009</v>
      </c>
      <c r="E170" s="143">
        <f>VLOOKUP($A170,'Data shares'!$C:$FA,124)</f>
        <v>0.47</v>
      </c>
      <c r="F170" s="143">
        <f>VLOOKUP($A170,'Data shares'!$C:$FA,125)</f>
        <v>0.48</v>
      </c>
      <c r="G170" s="143">
        <f>VLOOKUP($A170,'Data shares'!$C:$FA,127)*100</f>
        <v>-2.08</v>
      </c>
      <c r="H170" s="103">
        <f>VLOOKUP($A170,'OI(Volume)'!$A$7:$O$445,8)</f>
        <v>903700</v>
      </c>
      <c r="I170" s="103">
        <f>VLOOKUP($A170,'OI(Volume)'!$A$7:$O$445,9)</f>
        <v>126700</v>
      </c>
      <c r="J170" s="103">
        <f>VLOOKUP($A170,'OI(Volume)'!$A$7:$O$445,11)</f>
        <v>676375</v>
      </c>
      <c r="K170" s="103">
        <f>VLOOKUP($A170,'OI(Volume)'!$A$7:$O$445,12)</f>
        <v>42000</v>
      </c>
      <c r="L170" s="103">
        <f>VLOOKUP($A170,'OI(Value)'!$A$7:$O$329,8,0)</f>
        <v>278</v>
      </c>
      <c r="M170" s="103">
        <f>VLOOKUP($A170,'OI(Value)'!$A$7:$O$329,9,0)</f>
        <v>39</v>
      </c>
      <c r="N170" s="103">
        <f>VLOOKUP($A170,'OI(Value)'!$A$7:$O$329,11,0)</f>
        <v>208</v>
      </c>
      <c r="O170" s="103">
        <f>VLOOKUP($A170,'OI(Value)'!$A$7:$O$329,12,0)</f>
        <v>13</v>
      </c>
      <c r="P170" s="179">
        <f>VLOOKUP(A170,'OI(Value)'!A170:O394,8,0)</f>
        <v>278</v>
      </c>
      <c r="Q170" s="179">
        <f>VLOOKUP(A170,'OI(Value)'!A170:O394,9,0)</f>
        <v>39</v>
      </c>
      <c r="R170" s="179">
        <f>VLOOKUP(A170,'OI(Value)'!A170:O394,11,0)</f>
        <v>208</v>
      </c>
      <c r="S170" s="179">
        <f>VLOOKUP(A170,'OI(Value)'!A170:O394,11,0)</f>
        <v>208</v>
      </c>
    </row>
    <row r="171" spans="1:19" x14ac:dyDescent="0.25">
      <c r="A171" s="105" t="str">
        <f>'Data Vlaue (Cr)'!C166</f>
        <v>PNB</v>
      </c>
      <c r="B171" s="143">
        <f>VLOOKUP($A171,'Data shares'!$C:$FA,118)</f>
        <v>0.88</v>
      </c>
      <c r="C171" s="143">
        <f>VLOOKUP($A171,'Data shares'!$C:$FA,119)</f>
        <v>0.91</v>
      </c>
      <c r="D171" s="143">
        <f>VLOOKUP($A171,'Data shares'!$C:$FA,121)*100</f>
        <v>-3.3000000000000003</v>
      </c>
      <c r="E171" s="143">
        <f>VLOOKUP($A171,'Data shares'!$C:$FA,124)</f>
        <v>0.69</v>
      </c>
      <c r="F171" s="143">
        <f>VLOOKUP($A171,'Data shares'!$C:$FA,125)</f>
        <v>0.59</v>
      </c>
      <c r="G171" s="143">
        <f>VLOOKUP($A171,'Data shares'!$C:$FA,127)*100</f>
        <v>16.950000000000003</v>
      </c>
      <c r="H171" s="103">
        <f>VLOOKUP($A171,'OI(Volume)'!$A$7:$O$445,8)</f>
        <v>88024000</v>
      </c>
      <c r="I171" s="103">
        <f>VLOOKUP($A171,'OI(Volume)'!$A$7:$O$445,9)</f>
        <v>248000</v>
      </c>
      <c r="J171" s="103">
        <f>VLOOKUP($A171,'OI(Volume)'!$A$7:$O$445,11)</f>
        <v>77752000</v>
      </c>
      <c r="K171" s="103">
        <f>VLOOKUP($A171,'OI(Volume)'!$A$7:$O$445,12)</f>
        <v>-2120000</v>
      </c>
      <c r="L171" s="103">
        <f>VLOOKUP($A171,'OI(Value)'!$A$7:$O$329,8,0)</f>
        <v>993</v>
      </c>
      <c r="M171" s="103">
        <f>VLOOKUP($A171,'OI(Value)'!$A$7:$O$329,9,0)</f>
        <v>3</v>
      </c>
      <c r="N171" s="103">
        <f>VLOOKUP($A171,'OI(Value)'!$A$7:$O$329,11,0)</f>
        <v>877</v>
      </c>
      <c r="O171" s="103">
        <f>VLOOKUP($A171,'OI(Value)'!$A$7:$O$329,12,0)</f>
        <v>-24</v>
      </c>
      <c r="P171" s="179">
        <f>VLOOKUP(A171,'OI(Value)'!A171:O395,8,0)</f>
        <v>993</v>
      </c>
      <c r="Q171" s="179">
        <f>VLOOKUP(A171,'OI(Value)'!A171:O395,9,0)</f>
        <v>3</v>
      </c>
      <c r="R171" s="179">
        <f>VLOOKUP(A171,'OI(Value)'!A171:O395,11,0)</f>
        <v>877</v>
      </c>
      <c r="S171" s="179">
        <f>VLOOKUP(A171,'OI(Value)'!A171:O395,11,0)</f>
        <v>877</v>
      </c>
    </row>
    <row r="172" spans="1:19" x14ac:dyDescent="0.25">
      <c r="A172" s="105" t="str">
        <f>'Data Vlaue (Cr)'!C167</f>
        <v>PNBHOUSING</v>
      </c>
      <c r="B172" s="143">
        <f>VLOOKUP($A172,'Data shares'!$C:$FA,118)</f>
        <v>1.05</v>
      </c>
      <c r="C172" s="143">
        <f>VLOOKUP($A172,'Data shares'!$C:$FA,119)</f>
        <v>0.87</v>
      </c>
      <c r="D172" s="143">
        <f>VLOOKUP($A172,'Data shares'!$C:$FA,121)*100</f>
        <v>20.69</v>
      </c>
      <c r="E172" s="143">
        <f>VLOOKUP($A172,'Data shares'!$C:$FA,124)</f>
        <v>0.55000000000000004</v>
      </c>
      <c r="F172" s="143">
        <f>VLOOKUP($A172,'Data shares'!$C:$FA,125)</f>
        <v>0.5</v>
      </c>
      <c r="G172" s="143">
        <f>VLOOKUP($A172,'Data shares'!$C:$FA,127)*100</f>
        <v>10</v>
      </c>
      <c r="H172" s="103">
        <f>VLOOKUP($A172,'OI(Volume)'!$A$7:$O$445,8)</f>
        <v>5424250</v>
      </c>
      <c r="I172" s="103">
        <f>VLOOKUP($A172,'OI(Volume)'!$A$7:$O$445,9)</f>
        <v>-849550</v>
      </c>
      <c r="J172" s="103">
        <f>VLOOKUP($A172,'OI(Volume)'!$A$7:$O$445,11)</f>
        <v>5707000</v>
      </c>
      <c r="K172" s="103">
        <f>VLOOKUP($A172,'OI(Volume)'!$A$7:$O$445,12)</f>
        <v>223600</v>
      </c>
      <c r="L172" s="103">
        <f>VLOOKUP($A172,'OI(Value)'!$A$7:$O$329,8,0)</f>
        <v>547</v>
      </c>
      <c r="M172" s="103">
        <f>VLOOKUP($A172,'OI(Value)'!$A$7:$O$329,9,0)</f>
        <v>-86</v>
      </c>
      <c r="N172" s="103">
        <f>VLOOKUP($A172,'OI(Value)'!$A$7:$O$329,11,0)</f>
        <v>576</v>
      </c>
      <c r="O172" s="103">
        <f>VLOOKUP($A172,'OI(Value)'!$A$7:$O$329,12,0)</f>
        <v>23</v>
      </c>
      <c r="P172" s="179">
        <f>VLOOKUP(A172,'OI(Value)'!A172:O396,8,0)</f>
        <v>547</v>
      </c>
      <c r="Q172" s="179">
        <f>VLOOKUP(A172,'OI(Value)'!A172:O396,9,0)</f>
        <v>-86</v>
      </c>
      <c r="R172" s="179">
        <f>VLOOKUP(A172,'OI(Value)'!A172:O396,11,0)</f>
        <v>576</v>
      </c>
      <c r="S172" s="179">
        <f>VLOOKUP(A172,'OI(Value)'!A172:O396,11,0)</f>
        <v>576</v>
      </c>
    </row>
    <row r="173" spans="1:19" x14ac:dyDescent="0.25">
      <c r="A173" s="105" t="str">
        <f>'Data Vlaue (Cr)'!C168</f>
        <v>POLICYBZR</v>
      </c>
      <c r="B173" s="143">
        <f>VLOOKUP($A173,'Data shares'!$C:$FA,118)</f>
        <v>0.9</v>
      </c>
      <c r="C173" s="143">
        <f>VLOOKUP($A173,'Data shares'!$C:$FA,119)</f>
        <v>0.71</v>
      </c>
      <c r="D173" s="143">
        <f>VLOOKUP($A173,'Data shares'!$C:$FA,121)*100</f>
        <v>26.76</v>
      </c>
      <c r="E173" s="143">
        <f>VLOOKUP($A173,'Data shares'!$C:$FA,124)</f>
        <v>0.47</v>
      </c>
      <c r="F173" s="143">
        <f>VLOOKUP($A173,'Data shares'!$C:$FA,125)</f>
        <v>0.54</v>
      </c>
      <c r="G173" s="143">
        <f>VLOOKUP($A173,'Data shares'!$C:$FA,127)*100</f>
        <v>-12.959999999999999</v>
      </c>
      <c r="H173" s="103">
        <f>VLOOKUP($A173,'OI(Volume)'!$A$7:$O$445,8)</f>
        <v>2144450</v>
      </c>
      <c r="I173" s="103">
        <f>VLOOKUP($A173,'OI(Volume)'!$A$7:$O$445,9)</f>
        <v>-128800</v>
      </c>
      <c r="J173" s="103">
        <f>VLOOKUP($A173,'OI(Volume)'!$A$7:$O$445,11)</f>
        <v>1940400</v>
      </c>
      <c r="K173" s="103">
        <f>VLOOKUP($A173,'OI(Volume)'!$A$7:$O$445,12)</f>
        <v>318500</v>
      </c>
      <c r="L173" s="103">
        <f>VLOOKUP($A173,'OI(Value)'!$A$7:$O$329,8,0)</f>
        <v>359</v>
      </c>
      <c r="M173" s="103">
        <f>VLOOKUP($A173,'OI(Value)'!$A$7:$O$329,9,0)</f>
        <v>-22</v>
      </c>
      <c r="N173" s="103">
        <f>VLOOKUP($A173,'OI(Value)'!$A$7:$O$329,11,0)</f>
        <v>324</v>
      </c>
      <c r="O173" s="103">
        <f>VLOOKUP($A173,'OI(Value)'!$A$7:$O$329,12,0)</f>
        <v>53</v>
      </c>
    </row>
    <row r="174" spans="1:19" x14ac:dyDescent="0.25">
      <c r="A174" s="105" t="str">
        <f>'Data Vlaue (Cr)'!C169</f>
        <v>POLYCAB</v>
      </c>
      <c r="B174" s="143">
        <f>VLOOKUP($A174,'Data shares'!$C:$FA,118)</f>
        <v>0.75</v>
      </c>
      <c r="C174" s="143">
        <f>VLOOKUP($A174,'Data shares'!$C:$FA,119)</f>
        <v>0.84</v>
      </c>
      <c r="D174" s="143">
        <f>VLOOKUP($A174,'Data shares'!$C:$FA,121)*100</f>
        <v>-10.71</v>
      </c>
      <c r="E174" s="143">
        <f>VLOOKUP($A174,'Data shares'!$C:$FA,124)</f>
        <v>0.85</v>
      </c>
      <c r="F174" s="143">
        <f>VLOOKUP($A174,'Data shares'!$C:$FA,125)</f>
        <v>0.56000000000000005</v>
      </c>
      <c r="G174" s="143">
        <f>VLOOKUP($A174,'Data shares'!$C:$FA,127)*100</f>
        <v>51.790000000000006</v>
      </c>
      <c r="H174" s="103">
        <f>VLOOKUP($A174,'OI(Volume)'!$A$7:$O$445,8)</f>
        <v>1458500</v>
      </c>
      <c r="I174" s="103">
        <f>VLOOKUP($A174,'OI(Volume)'!$A$7:$O$445,9)</f>
        <v>48250</v>
      </c>
      <c r="J174" s="103">
        <f>VLOOKUP($A174,'OI(Volume)'!$A$7:$O$445,11)</f>
        <v>1095125</v>
      </c>
      <c r="K174" s="103">
        <f>VLOOKUP($A174,'OI(Volume)'!$A$7:$O$445,12)</f>
        <v>-86625</v>
      </c>
      <c r="L174" s="103">
        <f>VLOOKUP($A174,'OI(Value)'!$A$7:$O$329,8,0)</f>
        <v>1166</v>
      </c>
      <c r="M174" s="103">
        <f>VLOOKUP($A174,'OI(Value)'!$A$7:$O$329,9,0)</f>
        <v>39</v>
      </c>
      <c r="N174" s="103">
        <f>VLOOKUP($A174,'OI(Value)'!$A$7:$O$329,11,0)</f>
        <v>876</v>
      </c>
      <c r="O174" s="103">
        <f>VLOOKUP($A174,'OI(Value)'!$A$7:$O$329,12,0)</f>
        <v>-69</v>
      </c>
    </row>
    <row r="175" spans="1:19" x14ac:dyDescent="0.25">
      <c r="A175" s="105" t="str">
        <f>'Data Vlaue (Cr)'!C170</f>
        <v>POWERGRID</v>
      </c>
      <c r="B175" s="143">
        <f>VLOOKUP($A175,'Data shares'!$C:$FA,118)</f>
        <v>0.63</v>
      </c>
      <c r="C175" s="143">
        <f>VLOOKUP($A175,'Data shares'!$C:$FA,119)</f>
        <v>0.63</v>
      </c>
      <c r="D175" s="143">
        <f>VLOOKUP($A175,'Data shares'!$C:$FA,121)*100</f>
        <v>0</v>
      </c>
      <c r="E175" s="143">
        <f>VLOOKUP($A175,'Data shares'!$C:$FA,124)</f>
        <v>0.41</v>
      </c>
      <c r="F175" s="143">
        <f>VLOOKUP($A175,'Data shares'!$C:$FA,125)</f>
        <v>0.4</v>
      </c>
      <c r="G175" s="143">
        <f>VLOOKUP($A175,'Data shares'!$C:$FA,127)*100</f>
        <v>2.5</v>
      </c>
      <c r="H175" s="103">
        <f>VLOOKUP($A175,'OI(Volume)'!$A$7:$O$445,8)</f>
        <v>41374400</v>
      </c>
      <c r="I175" s="103">
        <f>VLOOKUP($A175,'OI(Volume)'!$A$7:$O$445,9)</f>
        <v>-28500</v>
      </c>
      <c r="J175" s="103">
        <f>VLOOKUP($A175,'OI(Volume)'!$A$7:$O$445,11)</f>
        <v>25898900</v>
      </c>
      <c r="K175" s="103">
        <f>VLOOKUP($A175,'OI(Volume)'!$A$7:$O$445,12)</f>
        <v>-389500</v>
      </c>
      <c r="L175" s="103">
        <f>VLOOKUP($A175,'OI(Value)'!$A$7:$O$329,8,0)</f>
        <v>1317</v>
      </c>
      <c r="M175" s="103">
        <f>VLOOKUP($A175,'OI(Value)'!$A$7:$O$329,9,0)</f>
        <v>-1</v>
      </c>
      <c r="N175" s="103">
        <f>VLOOKUP($A175,'OI(Value)'!$A$7:$O$329,11,0)</f>
        <v>824</v>
      </c>
      <c r="O175" s="103">
        <f>VLOOKUP($A175,'OI(Value)'!$A$7:$O$329,12,0)</f>
        <v>-12</v>
      </c>
    </row>
    <row r="176" spans="1:19" x14ac:dyDescent="0.25">
      <c r="A176" s="105" t="str">
        <f>'Data Vlaue (Cr)'!C171</f>
        <v>POWERINDIA</v>
      </c>
      <c r="B176" s="143">
        <f>VLOOKUP($A176,'Data shares'!$C:$FA,118)</f>
        <v>1.41</v>
      </c>
      <c r="C176" s="143">
        <f>VLOOKUP($A176,'Data shares'!$C:$FA,119)</f>
        <v>1.33</v>
      </c>
      <c r="D176" s="143">
        <f>VLOOKUP($A176,'Data shares'!$C:$FA,121)*100</f>
        <v>6.02</v>
      </c>
      <c r="E176" s="143">
        <f>VLOOKUP($A176,'Data shares'!$C:$FA,124)</f>
        <v>0.76</v>
      </c>
      <c r="F176" s="143">
        <f>VLOOKUP($A176,'Data shares'!$C:$FA,125)</f>
        <v>1.53</v>
      </c>
      <c r="G176" s="143">
        <f>VLOOKUP($A176,'Data shares'!$C:$FA,127)*100</f>
        <v>-50.33</v>
      </c>
      <c r="H176" s="103">
        <f>VLOOKUP($A176,'OI(Volume)'!$A$7:$O$445,8)</f>
        <v>362200</v>
      </c>
      <c r="I176" s="103">
        <f>VLOOKUP($A176,'OI(Volume)'!$A$7:$O$445,9)</f>
        <v>50500</v>
      </c>
      <c r="J176" s="103">
        <f>VLOOKUP($A176,'OI(Volume)'!$A$7:$O$445,11)</f>
        <v>512400</v>
      </c>
      <c r="K176" s="103">
        <f>VLOOKUP($A176,'OI(Volume)'!$A$7:$O$445,12)</f>
        <v>97400</v>
      </c>
      <c r="L176" s="103">
        <f>VLOOKUP($A176,'OI(Value)'!$A$7:$O$329,8,0)</f>
        <v>1149</v>
      </c>
      <c r="M176" s="103">
        <f>VLOOKUP($A176,'OI(Value)'!$A$7:$O$329,9,0)</f>
        <v>160</v>
      </c>
      <c r="N176" s="103">
        <f>VLOOKUP($A176,'OI(Value)'!$A$7:$O$329,11,0)</f>
        <v>1625</v>
      </c>
      <c r="O176" s="103">
        <f>VLOOKUP($A176,'OI(Value)'!$A$7:$O$329,12,0)</f>
        <v>309</v>
      </c>
    </row>
    <row r="177" spans="1:15" x14ac:dyDescent="0.25">
      <c r="A177" s="105" t="str">
        <f>'Data Vlaue (Cr)'!C172</f>
        <v>PPLPHARMA</v>
      </c>
      <c r="B177" s="143">
        <f>VLOOKUP($A177,'Data shares'!$C:$FA,118)</f>
        <v>0.8</v>
      </c>
      <c r="C177" s="143">
        <f>VLOOKUP($A177,'Data shares'!$C:$FA,119)</f>
        <v>0.6</v>
      </c>
      <c r="D177" s="143">
        <f>VLOOKUP($A177,'Data shares'!$C:$FA,121)*100</f>
        <v>33.33</v>
      </c>
      <c r="E177" s="143">
        <f>VLOOKUP($A177,'Data shares'!$C:$FA,124)</f>
        <v>0.24</v>
      </c>
      <c r="F177" s="143">
        <f>VLOOKUP($A177,'Data shares'!$C:$FA,125)</f>
        <v>0.16</v>
      </c>
      <c r="G177" s="143">
        <f>VLOOKUP($A177,'Data shares'!$C:$FA,127)*100</f>
        <v>50</v>
      </c>
      <c r="H177" s="103">
        <f>VLOOKUP($A177,'OI(Volume)'!$A$7:$O$445,8)</f>
        <v>8757000</v>
      </c>
      <c r="I177" s="103">
        <f>VLOOKUP($A177,'OI(Volume)'!$A$7:$O$445,9)</f>
        <v>3045000</v>
      </c>
      <c r="J177" s="103">
        <f>VLOOKUP($A177,'OI(Volume)'!$A$7:$O$445,11)</f>
        <v>6966750</v>
      </c>
      <c r="K177" s="103">
        <f>VLOOKUP($A177,'OI(Volume)'!$A$7:$O$445,12)</f>
        <v>3556875</v>
      </c>
      <c r="L177" s="103">
        <f>VLOOKUP($A177,'OI(Value)'!$A$7:$O$329,8,0)</f>
        <v>143</v>
      </c>
      <c r="M177" s="103">
        <f>VLOOKUP($A177,'OI(Value)'!$A$7:$O$329,9,0)</f>
        <v>50</v>
      </c>
      <c r="N177" s="103">
        <f>VLOOKUP($A177,'OI(Value)'!$A$7:$O$329,11,0)</f>
        <v>114</v>
      </c>
      <c r="O177" s="103">
        <f>VLOOKUP($A177,'OI(Value)'!$A$7:$O$329,12,0)</f>
        <v>58</v>
      </c>
    </row>
    <row r="178" spans="1:15" x14ac:dyDescent="0.25">
      <c r="A178" s="105" t="str">
        <f>'Data Vlaue (Cr)'!C173</f>
        <v>PREMIERENE</v>
      </c>
      <c r="B178" s="143">
        <f>VLOOKUP($A178,'Data shares'!$C:$FA,118)</f>
        <v>0.67</v>
      </c>
      <c r="C178" s="143">
        <f>VLOOKUP($A178,'Data shares'!$C:$FA,119)</f>
        <v>0.65</v>
      </c>
      <c r="D178" s="143">
        <f>VLOOKUP($A178,'Data shares'!$C:$FA,121)*100</f>
        <v>3.08</v>
      </c>
      <c r="E178" s="143">
        <f>VLOOKUP($A178,'Data shares'!$C:$FA,124)</f>
        <v>0.32</v>
      </c>
      <c r="F178" s="143">
        <f>VLOOKUP($A178,'Data shares'!$C:$FA,125)</f>
        <v>0.34</v>
      </c>
      <c r="G178" s="143">
        <f>VLOOKUP($A178,'Data shares'!$C:$FA,127)*100</f>
        <v>-5.88</v>
      </c>
      <c r="H178" s="103">
        <f>VLOOKUP($A178,'OI(Volume)'!$A$7:$O$445,8)</f>
        <v>2768050</v>
      </c>
      <c r="I178" s="103">
        <f>VLOOKUP($A178,'OI(Volume)'!$A$7:$O$445,9)</f>
        <v>-116150</v>
      </c>
      <c r="J178" s="103">
        <f>VLOOKUP($A178,'OI(Volume)'!$A$7:$O$445,11)</f>
        <v>1857250</v>
      </c>
      <c r="K178" s="103">
        <f>VLOOKUP($A178,'OI(Volume)'!$A$7:$O$445,12)</f>
        <v>-26450</v>
      </c>
      <c r="L178" s="103">
        <f>VLOOKUP($A178,'OI(Value)'!$A$7:$O$329,8,0)</f>
        <v>277</v>
      </c>
      <c r="M178" s="103">
        <f>VLOOKUP($A178,'OI(Value)'!$A$7:$O$329,9,0)</f>
        <v>-12</v>
      </c>
      <c r="N178" s="103">
        <f>VLOOKUP($A178,'OI(Value)'!$A$7:$O$329,11,0)</f>
        <v>186</v>
      </c>
      <c r="O178" s="103">
        <f>VLOOKUP($A178,'OI(Value)'!$A$7:$O$329,12,0)</f>
        <v>-3</v>
      </c>
    </row>
    <row r="179" spans="1:15" x14ac:dyDescent="0.25">
      <c r="A179" s="105" t="str">
        <f>'Data Vlaue (Cr)'!C174</f>
        <v>PRESTIGE</v>
      </c>
      <c r="B179" s="143">
        <f>VLOOKUP($A179,'Data shares'!$C:$FA,118)</f>
        <v>0.74</v>
      </c>
      <c r="C179" s="143">
        <f>VLOOKUP($A179,'Data shares'!$C:$FA,119)</f>
        <v>0.74</v>
      </c>
      <c r="D179" s="143">
        <f>VLOOKUP($A179,'Data shares'!$C:$FA,121)*100</f>
        <v>0</v>
      </c>
      <c r="E179" s="143">
        <f>VLOOKUP($A179,'Data shares'!$C:$FA,124)</f>
        <v>0.38</v>
      </c>
      <c r="F179" s="143">
        <f>VLOOKUP($A179,'Data shares'!$C:$FA,125)</f>
        <v>0.37</v>
      </c>
      <c r="G179" s="143">
        <f>VLOOKUP($A179,'Data shares'!$C:$FA,127)*100</f>
        <v>2.7</v>
      </c>
      <c r="H179" s="103">
        <f>VLOOKUP($A179,'OI(Volume)'!$A$7:$O$445,8)</f>
        <v>2050650</v>
      </c>
      <c r="I179" s="103">
        <f>VLOOKUP($A179,'OI(Volume)'!$A$7:$O$445,9)</f>
        <v>-77850</v>
      </c>
      <c r="J179" s="103">
        <f>VLOOKUP($A179,'OI(Volume)'!$A$7:$O$445,11)</f>
        <v>1511550</v>
      </c>
      <c r="K179" s="103">
        <f>VLOOKUP($A179,'OI(Volume)'!$A$7:$O$445,12)</f>
        <v>-54450</v>
      </c>
      <c r="L179" s="103">
        <f>VLOOKUP($A179,'OI(Value)'!$A$7:$O$329,8,0)</f>
        <v>284</v>
      </c>
      <c r="M179" s="103">
        <f>VLOOKUP($A179,'OI(Value)'!$A$7:$O$329,9,0)</f>
        <v>-11</v>
      </c>
      <c r="N179" s="103">
        <f>VLOOKUP($A179,'OI(Value)'!$A$7:$O$329,11,0)</f>
        <v>210</v>
      </c>
      <c r="O179" s="103">
        <f>VLOOKUP($A179,'OI(Value)'!$A$7:$O$329,12,0)</f>
        <v>-8</v>
      </c>
    </row>
    <row r="180" spans="1:15" x14ac:dyDescent="0.25">
      <c r="A180" s="105" t="str">
        <f>'Data Vlaue (Cr)'!C175</f>
        <v>RBLBANK</v>
      </c>
      <c r="B180" s="143">
        <f>VLOOKUP($A180,'Data shares'!$C:$FA,118)</f>
        <v>0.88</v>
      </c>
      <c r="C180" s="143">
        <f>VLOOKUP($A180,'Data shares'!$C:$FA,119)</f>
        <v>0.87</v>
      </c>
      <c r="D180" s="143">
        <f>VLOOKUP($A180,'Data shares'!$C:$FA,121)*100</f>
        <v>1.1499999999999999</v>
      </c>
      <c r="E180" s="143">
        <f>VLOOKUP($A180,'Data shares'!$C:$FA,124)</f>
        <v>0.68</v>
      </c>
      <c r="F180" s="143">
        <f>VLOOKUP($A180,'Data shares'!$C:$FA,125)</f>
        <v>0.62</v>
      </c>
      <c r="G180" s="143">
        <f>VLOOKUP($A180,'Data shares'!$C:$FA,127)*100</f>
        <v>9.68</v>
      </c>
      <c r="H180" s="103">
        <f>VLOOKUP($A180,'OI(Volume)'!$A$7:$O$445,8)</f>
        <v>30854650</v>
      </c>
      <c r="I180" s="103">
        <f>VLOOKUP($A180,'OI(Volume)'!$A$7:$O$445,9)</f>
        <v>495300</v>
      </c>
      <c r="J180" s="103">
        <f>VLOOKUP($A180,'OI(Volume)'!$A$7:$O$445,11)</f>
        <v>27257375</v>
      </c>
      <c r="K180" s="103">
        <f>VLOOKUP($A180,'OI(Volume)'!$A$7:$O$445,12)</f>
        <v>720725</v>
      </c>
      <c r="L180" s="103">
        <f>VLOOKUP($A180,'OI(Value)'!$A$7:$O$329,8,0)</f>
        <v>967</v>
      </c>
      <c r="M180" s="103">
        <f>VLOOKUP($A180,'OI(Value)'!$A$7:$O$329,9,0)</f>
        <v>16</v>
      </c>
      <c r="N180" s="103">
        <f>VLOOKUP($A180,'OI(Value)'!$A$7:$O$329,11,0)</f>
        <v>854</v>
      </c>
      <c r="O180" s="103">
        <f>VLOOKUP($A180,'OI(Value)'!$A$7:$O$329,12,0)</f>
        <v>23</v>
      </c>
    </row>
    <row r="181" spans="1:15" x14ac:dyDescent="0.25">
      <c r="A181" s="105" t="str">
        <f>'Data Vlaue (Cr)'!C176</f>
        <v>RECLTD</v>
      </c>
      <c r="B181" s="143">
        <f>VLOOKUP($A181,'Data shares'!$C:$FA,118)</f>
        <v>0.83</v>
      </c>
      <c r="C181" s="143">
        <f>VLOOKUP($A181,'Data shares'!$C:$FA,119)</f>
        <v>0.89</v>
      </c>
      <c r="D181" s="143">
        <f>VLOOKUP($A181,'Data shares'!$C:$FA,121)*100</f>
        <v>-6.74</v>
      </c>
      <c r="E181" s="143">
        <f>VLOOKUP($A181,'Data shares'!$C:$FA,124)</f>
        <v>0.56999999999999995</v>
      </c>
      <c r="F181" s="143">
        <f>VLOOKUP($A181,'Data shares'!$C:$FA,125)</f>
        <v>0.73</v>
      </c>
      <c r="G181" s="143">
        <f>VLOOKUP($A181,'Data shares'!$C:$FA,127)*100</f>
        <v>-21.92</v>
      </c>
      <c r="H181" s="103">
        <f>VLOOKUP($A181,'OI(Volume)'!$A$7:$O$445,8)</f>
        <v>28970200</v>
      </c>
      <c r="I181" s="103">
        <f>VLOOKUP($A181,'OI(Volume)'!$A$7:$O$445,9)</f>
        <v>291200</v>
      </c>
      <c r="J181" s="103">
        <f>VLOOKUP($A181,'OI(Volume)'!$A$7:$O$445,11)</f>
        <v>24026800</v>
      </c>
      <c r="K181" s="103">
        <f>VLOOKUP($A181,'OI(Volume)'!$A$7:$O$445,12)</f>
        <v>-1576400</v>
      </c>
      <c r="L181" s="103">
        <f>VLOOKUP($A181,'OI(Value)'!$A$7:$O$329,8,0)</f>
        <v>1092</v>
      </c>
      <c r="M181" s="103">
        <f>VLOOKUP($A181,'OI(Value)'!$A$7:$O$329,9,0)</f>
        <v>11</v>
      </c>
      <c r="N181" s="103">
        <f>VLOOKUP($A181,'OI(Value)'!$A$7:$O$329,11,0)</f>
        <v>906</v>
      </c>
      <c r="O181" s="103">
        <f>VLOOKUP($A181,'OI(Value)'!$A$7:$O$329,12,0)</f>
        <v>-59</v>
      </c>
    </row>
    <row r="182" spans="1:15" x14ac:dyDescent="0.25">
      <c r="A182" s="105" t="str">
        <f>'Data Vlaue (Cr)'!C177</f>
        <v>RELIANCE</v>
      </c>
      <c r="B182" s="143">
        <f>VLOOKUP($A182,'Data shares'!$C:$FA,118)</f>
        <v>0.51</v>
      </c>
      <c r="C182" s="143">
        <f>VLOOKUP($A182,'Data shares'!$C:$FA,119)</f>
        <v>0.49</v>
      </c>
      <c r="D182" s="143">
        <f>VLOOKUP($A182,'Data shares'!$C:$FA,121)*100</f>
        <v>4.08</v>
      </c>
      <c r="E182" s="143">
        <f>VLOOKUP($A182,'Data shares'!$C:$FA,124)</f>
        <v>0.69</v>
      </c>
      <c r="F182" s="143">
        <f>VLOOKUP($A182,'Data shares'!$C:$FA,125)</f>
        <v>0.57999999999999996</v>
      </c>
      <c r="G182" s="143">
        <f>VLOOKUP($A182,'Data shares'!$C:$FA,127)*100</f>
        <v>18.970000000000002</v>
      </c>
      <c r="H182" s="103">
        <f>VLOOKUP($A182,'OI(Volume)'!$A$7:$O$445,8)</f>
        <v>81209000</v>
      </c>
      <c r="I182" s="103">
        <f>VLOOKUP($A182,'OI(Volume)'!$A$7:$O$445,9)</f>
        <v>3156000</v>
      </c>
      <c r="J182" s="103">
        <f>VLOOKUP($A182,'OI(Volume)'!$A$7:$O$445,11)</f>
        <v>41382000</v>
      </c>
      <c r="K182" s="103">
        <f>VLOOKUP($A182,'OI(Volume)'!$A$7:$O$445,12)</f>
        <v>2900000</v>
      </c>
      <c r="L182" s="103">
        <f>VLOOKUP($A182,'OI(Value)'!$A$7:$O$329,8,0)</f>
        <v>10917</v>
      </c>
      <c r="M182" s="103">
        <f>VLOOKUP($A182,'OI(Value)'!$A$7:$O$329,9,0)</f>
        <v>424</v>
      </c>
      <c r="N182" s="103">
        <f>VLOOKUP($A182,'OI(Value)'!$A$7:$O$329,11,0)</f>
        <v>5563</v>
      </c>
      <c r="O182" s="103">
        <f>VLOOKUP($A182,'OI(Value)'!$A$7:$O$329,12,0)</f>
        <v>390</v>
      </c>
    </row>
    <row r="183" spans="1:15" x14ac:dyDescent="0.25">
      <c r="A183" s="105" t="str">
        <f>'Data Vlaue (Cr)'!C178</f>
        <v>RVNL</v>
      </c>
      <c r="B183" s="143">
        <f>VLOOKUP($A183,'Data shares'!$C:$FA,118)</f>
        <v>0.74</v>
      </c>
      <c r="C183" s="143">
        <f>VLOOKUP($A183,'Data shares'!$C:$FA,119)</f>
        <v>0.75</v>
      </c>
      <c r="D183" s="143">
        <f>VLOOKUP($A183,'Data shares'!$C:$FA,121)*100</f>
        <v>-1.3299999999999998</v>
      </c>
      <c r="E183" s="143">
        <f>VLOOKUP($A183,'Data shares'!$C:$FA,124)</f>
        <v>0.41</v>
      </c>
      <c r="F183" s="143">
        <f>VLOOKUP($A183,'Data shares'!$C:$FA,125)</f>
        <v>0.28000000000000003</v>
      </c>
      <c r="G183" s="143">
        <f>VLOOKUP($A183,'Data shares'!$C:$FA,127)*100</f>
        <v>46.43</v>
      </c>
      <c r="H183" s="103">
        <f>VLOOKUP($A183,'OI(Volume)'!$A$7:$O$445,8)</f>
        <v>23103750</v>
      </c>
      <c r="I183" s="103">
        <f>VLOOKUP($A183,'OI(Volume)'!$A$7:$O$445,9)</f>
        <v>603900</v>
      </c>
      <c r="J183" s="103">
        <f>VLOOKUP($A183,'OI(Volume)'!$A$7:$O$445,11)</f>
        <v>17110500</v>
      </c>
      <c r="K183" s="103">
        <f>VLOOKUP($A183,'OI(Volume)'!$A$7:$O$445,12)</f>
        <v>329400</v>
      </c>
      <c r="L183" s="103">
        <f>VLOOKUP($A183,'OI(Value)'!$A$7:$O$329,8,0)</f>
        <v>709</v>
      </c>
      <c r="M183" s="103">
        <f>VLOOKUP($A183,'OI(Value)'!$A$7:$O$329,9,0)</f>
        <v>19</v>
      </c>
      <c r="N183" s="103">
        <f>VLOOKUP($A183,'OI(Value)'!$A$7:$O$329,11,0)</f>
        <v>525</v>
      </c>
      <c r="O183" s="103">
        <f>VLOOKUP($A183,'OI(Value)'!$A$7:$O$329,12,0)</f>
        <v>10</v>
      </c>
    </row>
    <row r="184" spans="1:15" x14ac:dyDescent="0.25">
      <c r="A184" s="105" t="str">
        <f>'Data Vlaue (Cr)'!C179</f>
        <v>SAIL</v>
      </c>
      <c r="B184" s="143">
        <f>VLOOKUP($A184,'Data shares'!$C:$FA,118)</f>
        <v>0.83</v>
      </c>
      <c r="C184" s="143">
        <f>VLOOKUP($A184,'Data shares'!$C:$FA,119)</f>
        <v>0.78</v>
      </c>
      <c r="D184" s="143">
        <f>VLOOKUP($A184,'Data shares'!$C:$FA,121)*100</f>
        <v>6.41</v>
      </c>
      <c r="E184" s="143">
        <f>VLOOKUP($A184,'Data shares'!$C:$FA,124)</f>
        <v>0.68</v>
      </c>
      <c r="F184" s="143">
        <f>VLOOKUP($A184,'Data shares'!$C:$FA,125)</f>
        <v>0.76</v>
      </c>
      <c r="G184" s="143">
        <f>VLOOKUP($A184,'Data shares'!$C:$FA,127)*100</f>
        <v>-10.530000000000001</v>
      </c>
      <c r="H184" s="103">
        <f>VLOOKUP($A184,'OI(Volume)'!$A$7:$O$445,8)</f>
        <v>9785400</v>
      </c>
      <c r="I184" s="103">
        <f>VLOOKUP($A184,'OI(Volume)'!$A$7:$O$445,9)</f>
        <v>-192700</v>
      </c>
      <c r="J184" s="103">
        <f>VLOOKUP($A184,'OI(Volume)'!$A$7:$O$445,11)</f>
        <v>8107500</v>
      </c>
      <c r="K184" s="103">
        <f>VLOOKUP($A184,'OI(Volume)'!$A$7:$O$445,12)</f>
        <v>296100</v>
      </c>
      <c r="L184" s="103">
        <f>VLOOKUP($A184,'OI(Value)'!$A$7:$O$329,8,0)</f>
        <v>173</v>
      </c>
      <c r="M184" s="103">
        <f>VLOOKUP($A184,'OI(Value)'!$A$7:$O$329,9,0)</f>
        <v>-3</v>
      </c>
      <c r="N184" s="103">
        <f>VLOOKUP($A184,'OI(Value)'!$A$7:$O$329,11,0)</f>
        <v>143</v>
      </c>
      <c r="O184" s="103">
        <f>VLOOKUP($A184,'OI(Value)'!$A$7:$O$329,12,0)</f>
        <v>5</v>
      </c>
    </row>
    <row r="185" spans="1:15" x14ac:dyDescent="0.25">
      <c r="A185" s="105" t="str">
        <f>'Data Vlaue (Cr)'!C180</f>
        <v>SAMMAANCAP</v>
      </c>
      <c r="B185" s="143">
        <f>VLOOKUP($A185,'Data shares'!$C:$FA,118)</f>
        <v>0.84</v>
      </c>
      <c r="C185" s="143">
        <f>VLOOKUP($A185,'Data shares'!$C:$FA,119)</f>
        <v>0.83</v>
      </c>
      <c r="D185" s="143">
        <f>VLOOKUP($A185,'Data shares'!$C:$FA,121)*100</f>
        <v>1.2</v>
      </c>
      <c r="E185" s="143">
        <f>VLOOKUP($A185,'Data shares'!$C:$FA,124)</f>
        <v>0.54</v>
      </c>
      <c r="F185" s="143">
        <f>VLOOKUP($A185,'Data shares'!$C:$FA,125)</f>
        <v>0.82</v>
      </c>
      <c r="G185" s="143">
        <f>VLOOKUP($A185,'Data shares'!$C:$FA,127)*100</f>
        <v>-34.150000000000006</v>
      </c>
      <c r="H185" s="103">
        <f>VLOOKUP($A185,'OI(Volume)'!$A$7:$O$445,8)</f>
        <v>20261600</v>
      </c>
      <c r="I185" s="103">
        <f>VLOOKUP($A185,'OI(Volume)'!$A$7:$O$445,9)</f>
        <v>-4300</v>
      </c>
      <c r="J185" s="103">
        <f>VLOOKUP($A185,'OI(Volume)'!$A$7:$O$445,11)</f>
        <v>16924800</v>
      </c>
      <c r="K185" s="103">
        <f>VLOOKUP($A185,'OI(Volume)'!$A$7:$O$445,12)</f>
        <v>30100</v>
      </c>
      <c r="L185" s="103">
        <f>VLOOKUP($A185,'OI(Value)'!$A$7:$O$329,8,0)</f>
        <v>292</v>
      </c>
      <c r="M185" s="103">
        <f>VLOOKUP($A185,'OI(Value)'!$A$7:$O$329,9,0)</f>
        <v>0</v>
      </c>
      <c r="N185" s="103">
        <f>VLOOKUP($A185,'OI(Value)'!$A$7:$O$329,11,0)</f>
        <v>244</v>
      </c>
      <c r="O185" s="103">
        <f>VLOOKUP($A185,'OI(Value)'!$A$7:$O$329,12,0)</f>
        <v>0</v>
      </c>
    </row>
    <row r="186" spans="1:15" x14ac:dyDescent="0.25">
      <c r="A186" s="105" t="str">
        <f>'Data Vlaue (Cr)'!C181</f>
        <v>SBICARD</v>
      </c>
      <c r="B186" s="143">
        <f>VLOOKUP($A186,'Data shares'!$C:$FA,118)</f>
        <v>0.9</v>
      </c>
      <c r="C186" s="143">
        <f>VLOOKUP($A186,'Data shares'!$C:$FA,119)</f>
        <v>0.85</v>
      </c>
      <c r="D186" s="143">
        <f>VLOOKUP($A186,'Data shares'!$C:$FA,121)*100</f>
        <v>5.88</v>
      </c>
      <c r="E186" s="143">
        <f>VLOOKUP($A186,'Data shares'!$C:$FA,124)</f>
        <v>0.61</v>
      </c>
      <c r="F186" s="143">
        <f>VLOOKUP($A186,'Data shares'!$C:$FA,125)</f>
        <v>0.53</v>
      </c>
      <c r="G186" s="143">
        <f>VLOOKUP($A186,'Data shares'!$C:$FA,127)*100</f>
        <v>15.09</v>
      </c>
      <c r="H186" s="103">
        <f>VLOOKUP($A186,'OI(Volume)'!$A$7:$O$445,8)</f>
        <v>8497600</v>
      </c>
      <c r="I186" s="103">
        <f>VLOOKUP($A186,'OI(Volume)'!$A$7:$O$445,9)</f>
        <v>-463200</v>
      </c>
      <c r="J186" s="103">
        <f>VLOOKUP($A186,'OI(Volume)'!$A$7:$O$445,11)</f>
        <v>7651200</v>
      </c>
      <c r="K186" s="103">
        <f>VLOOKUP($A186,'OI(Volume)'!$A$7:$O$445,12)</f>
        <v>16800</v>
      </c>
      <c r="L186" s="103">
        <f>VLOOKUP($A186,'OI(Value)'!$A$7:$O$329,8,0)</f>
        <v>580</v>
      </c>
      <c r="M186" s="103">
        <f>VLOOKUP($A186,'OI(Value)'!$A$7:$O$329,9,0)</f>
        <v>-32</v>
      </c>
      <c r="N186" s="103">
        <f>VLOOKUP($A186,'OI(Value)'!$A$7:$O$329,11,0)</f>
        <v>522</v>
      </c>
      <c r="O186" s="103">
        <f>VLOOKUP($A186,'OI(Value)'!$A$7:$O$329,12,0)</f>
        <v>1</v>
      </c>
    </row>
    <row r="187" spans="1:15" x14ac:dyDescent="0.25">
      <c r="A187" s="105" t="str">
        <f>'Data Vlaue (Cr)'!C182</f>
        <v>SBILIFE</v>
      </c>
      <c r="B187" s="143">
        <f>VLOOKUP($A187,'Data shares'!$C:$FA,118)</f>
        <v>0.46</v>
      </c>
      <c r="C187" s="143">
        <f>VLOOKUP($A187,'Data shares'!$C:$FA,119)</f>
        <v>0.55000000000000004</v>
      </c>
      <c r="D187" s="143">
        <f>VLOOKUP($A187,'Data shares'!$C:$FA,121)*100</f>
        <v>-16.36</v>
      </c>
      <c r="E187" s="143">
        <f>VLOOKUP($A187,'Data shares'!$C:$FA,124)</f>
        <v>0.66</v>
      </c>
      <c r="F187" s="143">
        <f>VLOOKUP($A187,'Data shares'!$C:$FA,125)</f>
        <v>0.48</v>
      </c>
      <c r="G187" s="143">
        <f>VLOOKUP($A187,'Data shares'!$C:$FA,127)*100</f>
        <v>37.5</v>
      </c>
      <c r="H187" s="103">
        <f>VLOOKUP($A187,'OI(Volume)'!$A$7:$O$445,8)</f>
        <v>7444125</v>
      </c>
      <c r="I187" s="103">
        <f>VLOOKUP($A187,'OI(Volume)'!$A$7:$O$445,9)</f>
        <v>657750</v>
      </c>
      <c r="J187" s="103">
        <f>VLOOKUP($A187,'OI(Volume)'!$A$7:$O$445,11)</f>
        <v>3408375</v>
      </c>
      <c r="K187" s="103">
        <f>VLOOKUP($A187,'OI(Volume)'!$A$7:$O$445,12)</f>
        <v>-305250</v>
      </c>
      <c r="L187" s="103">
        <f>VLOOKUP($A187,'OI(Value)'!$A$7:$O$329,8,0)</f>
        <v>1359</v>
      </c>
      <c r="M187" s="103">
        <f>VLOOKUP($A187,'OI(Value)'!$A$7:$O$329,9,0)</f>
        <v>120</v>
      </c>
      <c r="N187" s="103">
        <f>VLOOKUP($A187,'OI(Value)'!$A$7:$O$329,11,0)</f>
        <v>622</v>
      </c>
      <c r="O187" s="103">
        <f>VLOOKUP($A187,'OI(Value)'!$A$7:$O$329,12,0)</f>
        <v>-56</v>
      </c>
    </row>
    <row r="188" spans="1:15" x14ac:dyDescent="0.25">
      <c r="A188" s="105" t="str">
        <f>'Data Vlaue (Cr)'!C183</f>
        <v>SBIN</v>
      </c>
      <c r="B188" s="143">
        <f>VLOOKUP($A188,'Data shares'!$C:$FA,118)</f>
        <v>0.79</v>
      </c>
      <c r="C188" s="143">
        <f>VLOOKUP($A188,'Data shares'!$C:$FA,119)</f>
        <v>0.83</v>
      </c>
      <c r="D188" s="143">
        <f>VLOOKUP($A188,'Data shares'!$C:$FA,121)*100</f>
        <v>-4.82</v>
      </c>
      <c r="E188" s="143">
        <f>VLOOKUP($A188,'Data shares'!$C:$FA,124)</f>
        <v>0.81</v>
      </c>
      <c r="F188" s="143">
        <f>VLOOKUP($A188,'Data shares'!$C:$FA,125)</f>
        <v>0.65</v>
      </c>
      <c r="G188" s="143">
        <f>VLOOKUP($A188,'Data shares'!$C:$FA,127)*100</f>
        <v>24.62</v>
      </c>
      <c r="H188" s="103">
        <f>VLOOKUP($A188,'OI(Volume)'!$A$7:$O$445,8)</f>
        <v>50079750</v>
      </c>
      <c r="I188" s="103">
        <f>VLOOKUP($A188,'OI(Volume)'!$A$7:$O$445,9)</f>
        <v>215250</v>
      </c>
      <c r="J188" s="103">
        <f>VLOOKUP($A188,'OI(Volume)'!$A$7:$O$445,11)</f>
        <v>39811500</v>
      </c>
      <c r="K188" s="103">
        <f>VLOOKUP($A188,'OI(Volume)'!$A$7:$O$445,12)</f>
        <v>-1641000</v>
      </c>
      <c r="L188" s="103">
        <f>VLOOKUP($A188,'OI(Value)'!$A$7:$O$329,8,0)</f>
        <v>5479</v>
      </c>
      <c r="M188" s="103">
        <f>VLOOKUP($A188,'OI(Value)'!$A$7:$O$329,9,0)</f>
        <v>24</v>
      </c>
      <c r="N188" s="103">
        <f>VLOOKUP($A188,'OI(Value)'!$A$7:$O$329,11,0)</f>
        <v>4356</v>
      </c>
      <c r="O188" s="103">
        <f>VLOOKUP($A188,'OI(Value)'!$A$7:$O$329,12,0)</f>
        <v>-180</v>
      </c>
    </row>
    <row r="189" spans="1:15" x14ac:dyDescent="0.25">
      <c r="A189" s="105" t="str">
        <f>'Data Vlaue (Cr)'!C184</f>
        <v>SHREECEM</v>
      </c>
      <c r="B189" s="143">
        <f>VLOOKUP($A189,'Data shares'!$C:$FA,118)</f>
        <v>0.75</v>
      </c>
      <c r="C189" s="143">
        <f>VLOOKUP($A189,'Data shares'!$C:$FA,119)</f>
        <v>0.81</v>
      </c>
      <c r="D189" s="143">
        <f>VLOOKUP($A189,'Data shares'!$C:$FA,121)*100</f>
        <v>-7.41</v>
      </c>
      <c r="E189" s="143">
        <f>VLOOKUP($A189,'Data shares'!$C:$FA,124)</f>
        <v>1.34</v>
      </c>
      <c r="F189" s="143">
        <f>VLOOKUP($A189,'Data shares'!$C:$FA,125)</f>
        <v>4.58</v>
      </c>
      <c r="G189" s="143">
        <f>VLOOKUP($A189,'Data shares'!$C:$FA,127)*100</f>
        <v>-70.740000000000009</v>
      </c>
      <c r="H189" s="103">
        <f>VLOOKUP($A189,'OI(Volume)'!$A$7:$O$445,8)</f>
        <v>71150</v>
      </c>
      <c r="I189" s="103">
        <f>VLOOKUP($A189,'OI(Volume)'!$A$7:$O$445,9)</f>
        <v>6425</v>
      </c>
      <c r="J189" s="103">
        <f>VLOOKUP($A189,'OI(Volume)'!$A$7:$O$445,11)</f>
        <v>53350</v>
      </c>
      <c r="K189" s="103">
        <f>VLOOKUP($A189,'OI(Volume)'!$A$7:$O$445,12)</f>
        <v>675</v>
      </c>
      <c r="L189" s="103">
        <f>VLOOKUP($A189,'OI(Value)'!$A$7:$O$329,8,0)</f>
        <v>181</v>
      </c>
      <c r="M189" s="103">
        <f>VLOOKUP($A189,'OI(Value)'!$A$7:$O$329,9,0)</f>
        <v>16</v>
      </c>
      <c r="N189" s="103">
        <f>VLOOKUP($A189,'OI(Value)'!$A$7:$O$329,11,0)</f>
        <v>136</v>
      </c>
      <c r="O189" s="103">
        <f>VLOOKUP($A189,'OI(Value)'!$A$7:$O$329,12,0)</f>
        <v>2</v>
      </c>
    </row>
    <row r="190" spans="1:15" x14ac:dyDescent="0.25">
      <c r="A190" s="105" t="str">
        <f>'Data Vlaue (Cr)'!C185</f>
        <v>SHRIRAMFIN</v>
      </c>
      <c r="B190" s="143">
        <f>VLOOKUP($A190,'Data shares'!$C:$FA,118)</f>
        <v>0.7</v>
      </c>
      <c r="C190" s="143">
        <f>VLOOKUP($A190,'Data shares'!$C:$FA,119)</f>
        <v>0.72</v>
      </c>
      <c r="D190" s="143">
        <f>VLOOKUP($A190,'Data shares'!$C:$FA,121)*100</f>
        <v>-2.78</v>
      </c>
      <c r="E190" s="143">
        <f>VLOOKUP($A190,'Data shares'!$C:$FA,124)</f>
        <v>0.62</v>
      </c>
      <c r="F190" s="143">
        <f>VLOOKUP($A190,'Data shares'!$C:$FA,125)</f>
        <v>0.46</v>
      </c>
      <c r="G190" s="143">
        <f>VLOOKUP($A190,'Data shares'!$C:$FA,127)*100</f>
        <v>34.78</v>
      </c>
      <c r="H190" s="103">
        <f>VLOOKUP($A190,'OI(Volume)'!$A$7:$O$445,8)</f>
        <v>15196500</v>
      </c>
      <c r="I190" s="103">
        <f>VLOOKUP($A190,'OI(Volume)'!$A$7:$O$445,9)</f>
        <v>792000</v>
      </c>
      <c r="J190" s="103">
        <f>VLOOKUP($A190,'OI(Volume)'!$A$7:$O$445,11)</f>
        <v>10642500</v>
      </c>
      <c r="K190" s="103">
        <f>VLOOKUP($A190,'OI(Volume)'!$A$7:$O$445,12)</f>
        <v>259875</v>
      </c>
      <c r="L190" s="103">
        <f>VLOOKUP($A190,'OI(Value)'!$A$7:$O$329,8,0)</f>
        <v>1535</v>
      </c>
      <c r="M190" s="103">
        <f>VLOOKUP($A190,'OI(Value)'!$A$7:$O$329,9,0)</f>
        <v>80</v>
      </c>
      <c r="N190" s="103">
        <f>VLOOKUP($A190,'OI(Value)'!$A$7:$O$329,11,0)</f>
        <v>1075</v>
      </c>
      <c r="O190" s="103">
        <f>VLOOKUP($A190,'OI(Value)'!$A$7:$O$329,12,0)</f>
        <v>26</v>
      </c>
    </row>
    <row r="191" spans="1:15" x14ac:dyDescent="0.25">
      <c r="A191" s="105" t="str">
        <f>'Data Vlaue (Cr)'!C186</f>
        <v>SIEMENS</v>
      </c>
      <c r="B191" s="143">
        <f>VLOOKUP($A191,'Data shares'!$C:$FA,118)</f>
        <v>0.83</v>
      </c>
      <c r="C191" s="143">
        <f>VLOOKUP($A191,'Data shares'!$C:$FA,119)</f>
        <v>0.96</v>
      </c>
      <c r="D191" s="143">
        <f>VLOOKUP($A191,'Data shares'!$C:$FA,121)*100</f>
        <v>-13.54</v>
      </c>
      <c r="E191" s="143">
        <f>VLOOKUP($A191,'Data shares'!$C:$FA,124)</f>
        <v>0.56999999999999995</v>
      </c>
      <c r="F191" s="143">
        <f>VLOOKUP($A191,'Data shares'!$C:$FA,125)</f>
        <v>0.39</v>
      </c>
      <c r="G191" s="143">
        <f>VLOOKUP($A191,'Data shares'!$C:$FA,127)*100</f>
        <v>46.150000000000006</v>
      </c>
      <c r="H191" s="103">
        <f>VLOOKUP($A191,'OI(Volume)'!$A$7:$O$445,8)</f>
        <v>1839075</v>
      </c>
      <c r="I191" s="103">
        <f>VLOOKUP($A191,'OI(Volume)'!$A$7:$O$445,9)</f>
        <v>179025</v>
      </c>
      <c r="J191" s="103">
        <f>VLOOKUP($A191,'OI(Volume)'!$A$7:$O$445,11)</f>
        <v>1529675</v>
      </c>
      <c r="K191" s="103">
        <f>VLOOKUP($A191,'OI(Volume)'!$A$7:$O$445,12)</f>
        <v>-67375</v>
      </c>
      <c r="L191" s="103">
        <f>VLOOKUP($A191,'OI(Value)'!$A$7:$O$329,8,0)</f>
        <v>713</v>
      </c>
      <c r="M191" s="103">
        <f>VLOOKUP($A191,'OI(Value)'!$A$7:$O$329,9,0)</f>
        <v>69</v>
      </c>
      <c r="N191" s="103">
        <f>VLOOKUP($A191,'OI(Value)'!$A$7:$O$329,11,0)</f>
        <v>593</v>
      </c>
      <c r="O191" s="103">
        <f>VLOOKUP($A191,'OI(Value)'!$A$7:$O$329,12,0)</f>
        <v>-26</v>
      </c>
    </row>
    <row r="192" spans="1:15" x14ac:dyDescent="0.25">
      <c r="A192" s="105" t="str">
        <f>'Data Vlaue (Cr)'!C187</f>
        <v>SOLARINDS</v>
      </c>
      <c r="B192" s="143">
        <f>VLOOKUP($A192,'Data shares'!$C:$FA,118)</f>
        <v>0.86</v>
      </c>
      <c r="C192" s="143">
        <f>VLOOKUP($A192,'Data shares'!$C:$FA,119)</f>
        <v>0.57999999999999996</v>
      </c>
      <c r="D192" s="143">
        <f>VLOOKUP($A192,'Data shares'!$C:$FA,121)*100</f>
        <v>48.28</v>
      </c>
      <c r="E192" s="143">
        <f>VLOOKUP($A192,'Data shares'!$C:$FA,124)</f>
        <v>0.7</v>
      </c>
      <c r="F192" s="143">
        <f>VLOOKUP($A192,'Data shares'!$C:$FA,125)</f>
        <v>1.24</v>
      </c>
      <c r="G192" s="143">
        <f>VLOOKUP($A192,'Data shares'!$C:$FA,127)*100</f>
        <v>-43.55</v>
      </c>
      <c r="H192" s="103">
        <f>VLOOKUP($A192,'OI(Volume)'!$A$7:$O$445,8)</f>
        <v>349900</v>
      </c>
      <c r="I192" s="103">
        <f>VLOOKUP($A192,'OI(Volume)'!$A$7:$O$445,9)</f>
        <v>-49150</v>
      </c>
      <c r="J192" s="103">
        <f>VLOOKUP($A192,'OI(Volume)'!$A$7:$O$445,11)</f>
        <v>299450</v>
      </c>
      <c r="K192" s="103">
        <f>VLOOKUP($A192,'OI(Volume)'!$A$7:$O$445,12)</f>
        <v>69750</v>
      </c>
      <c r="L192" s="103">
        <f>VLOOKUP($A192,'OI(Value)'!$A$7:$O$329,8,0)</f>
        <v>551</v>
      </c>
      <c r="M192" s="103">
        <f>VLOOKUP($A192,'OI(Value)'!$A$7:$O$329,9,0)</f>
        <v>-77</v>
      </c>
      <c r="N192" s="103">
        <f>VLOOKUP($A192,'OI(Value)'!$A$7:$O$329,11,0)</f>
        <v>472</v>
      </c>
      <c r="O192" s="103">
        <f>VLOOKUP($A192,'OI(Value)'!$A$7:$O$329,12,0)</f>
        <v>110</v>
      </c>
    </row>
    <row r="193" spans="1:15" x14ac:dyDescent="0.25">
      <c r="A193" s="105" t="str">
        <f>'Data Vlaue (Cr)'!C188</f>
        <v>SONACOMS</v>
      </c>
      <c r="B193" s="143">
        <f>VLOOKUP($A193,'Data shares'!$C:$FA,118)</f>
        <v>0.69</v>
      </c>
      <c r="C193" s="143">
        <f>VLOOKUP($A193,'Data shares'!$C:$FA,119)</f>
        <v>0.72</v>
      </c>
      <c r="D193" s="143">
        <f>VLOOKUP($A193,'Data shares'!$C:$FA,121)*100</f>
        <v>-4.17</v>
      </c>
      <c r="E193" s="143">
        <f>VLOOKUP($A193,'Data shares'!$C:$FA,124)</f>
        <v>0.55000000000000004</v>
      </c>
      <c r="F193" s="143">
        <f>VLOOKUP($A193,'Data shares'!$C:$FA,125)</f>
        <v>0.26</v>
      </c>
      <c r="G193" s="143">
        <f>VLOOKUP($A193,'Data shares'!$C:$FA,127)*100</f>
        <v>111.53999999999999</v>
      </c>
      <c r="H193" s="103">
        <f>VLOOKUP($A193,'OI(Volume)'!$A$7:$O$445,8)</f>
        <v>4472475</v>
      </c>
      <c r="I193" s="103">
        <f>VLOOKUP($A193,'OI(Volume)'!$A$7:$O$445,9)</f>
        <v>61250</v>
      </c>
      <c r="J193" s="103">
        <f>VLOOKUP($A193,'OI(Volume)'!$A$7:$O$445,11)</f>
        <v>3106600</v>
      </c>
      <c r="K193" s="103">
        <f>VLOOKUP($A193,'OI(Volume)'!$A$7:$O$445,12)</f>
        <v>-67375</v>
      </c>
      <c r="L193" s="103">
        <f>VLOOKUP($A193,'OI(Value)'!$A$7:$O$329,8,0)</f>
        <v>257</v>
      </c>
      <c r="M193" s="103">
        <f>VLOOKUP($A193,'OI(Value)'!$A$7:$O$329,9,0)</f>
        <v>4</v>
      </c>
      <c r="N193" s="103">
        <f>VLOOKUP($A193,'OI(Value)'!$A$7:$O$329,11,0)</f>
        <v>178</v>
      </c>
      <c r="O193" s="103">
        <f>VLOOKUP($A193,'OI(Value)'!$A$7:$O$329,12,0)</f>
        <v>-4</v>
      </c>
    </row>
    <row r="194" spans="1:15" x14ac:dyDescent="0.25">
      <c r="A194" s="105" t="str">
        <f>'Data Vlaue (Cr)'!C189</f>
        <v>SRF</v>
      </c>
      <c r="B194" s="143">
        <f>VLOOKUP($A194,'Data shares'!$C:$FA,118)</f>
        <v>0.59</v>
      </c>
      <c r="C194" s="143">
        <f>VLOOKUP($A194,'Data shares'!$C:$FA,119)</f>
        <v>0.53</v>
      </c>
      <c r="D194" s="143">
        <f>VLOOKUP($A194,'Data shares'!$C:$FA,121)*100</f>
        <v>11.32</v>
      </c>
      <c r="E194" s="143">
        <f>VLOOKUP($A194,'Data shares'!$C:$FA,124)</f>
        <v>0.26</v>
      </c>
      <c r="F194" s="143">
        <f>VLOOKUP($A194,'Data shares'!$C:$FA,125)</f>
        <v>0.39</v>
      </c>
      <c r="G194" s="143">
        <f>VLOOKUP($A194,'Data shares'!$C:$FA,127)*100</f>
        <v>-33.33</v>
      </c>
      <c r="H194" s="103">
        <f>VLOOKUP($A194,'OI(Volume)'!$A$7:$O$445,8)</f>
        <v>2149800</v>
      </c>
      <c r="I194" s="103">
        <f>VLOOKUP($A194,'OI(Volume)'!$A$7:$O$445,9)</f>
        <v>-50200</v>
      </c>
      <c r="J194" s="103">
        <f>VLOOKUP($A194,'OI(Volume)'!$A$7:$O$445,11)</f>
        <v>1259800</v>
      </c>
      <c r="K194" s="103">
        <f>VLOOKUP($A194,'OI(Volume)'!$A$7:$O$445,12)</f>
        <v>85800</v>
      </c>
      <c r="L194" s="103">
        <f>VLOOKUP($A194,'OI(Value)'!$A$7:$O$329,8,0)</f>
        <v>546</v>
      </c>
      <c r="M194" s="103">
        <f>VLOOKUP($A194,'OI(Value)'!$A$7:$O$329,9,0)</f>
        <v>-13</v>
      </c>
      <c r="N194" s="103">
        <f>VLOOKUP($A194,'OI(Value)'!$A$7:$O$329,11,0)</f>
        <v>320</v>
      </c>
      <c r="O194" s="103">
        <f>VLOOKUP($A194,'OI(Value)'!$A$7:$O$329,12,0)</f>
        <v>22</v>
      </c>
    </row>
    <row r="195" spans="1:15" x14ac:dyDescent="0.25">
      <c r="A195" s="105" t="str">
        <f>'Data Vlaue (Cr)'!C190</f>
        <v>SUNPHARMA</v>
      </c>
      <c r="B195" s="143">
        <f>VLOOKUP($A195,'Data shares'!$C:$FA,118)</f>
        <v>0.73</v>
      </c>
      <c r="C195" s="143">
        <f>VLOOKUP($A195,'Data shares'!$C:$FA,119)</f>
        <v>0.65</v>
      </c>
      <c r="D195" s="143">
        <f>VLOOKUP($A195,'Data shares'!$C:$FA,121)*100</f>
        <v>12.31</v>
      </c>
      <c r="E195" s="143">
        <f>VLOOKUP($A195,'Data shares'!$C:$FA,124)</f>
        <v>0.4</v>
      </c>
      <c r="F195" s="143">
        <f>VLOOKUP($A195,'Data shares'!$C:$FA,125)</f>
        <v>0.55000000000000004</v>
      </c>
      <c r="G195" s="143">
        <f>VLOOKUP($A195,'Data shares'!$C:$FA,127)*100</f>
        <v>-27.27</v>
      </c>
      <c r="H195" s="103">
        <f>VLOOKUP($A195,'OI(Volume)'!$A$7:$O$445,8)</f>
        <v>8215900</v>
      </c>
      <c r="I195" s="103">
        <f>VLOOKUP($A195,'OI(Volume)'!$A$7:$O$445,9)</f>
        <v>178500</v>
      </c>
      <c r="J195" s="103">
        <f>VLOOKUP($A195,'OI(Volume)'!$A$7:$O$445,11)</f>
        <v>6001100</v>
      </c>
      <c r="K195" s="103">
        <f>VLOOKUP($A195,'OI(Volume)'!$A$7:$O$445,12)</f>
        <v>768950</v>
      </c>
      <c r="L195" s="103">
        <f>VLOOKUP($A195,'OI(Value)'!$A$7:$O$329,8,0)</f>
        <v>1378</v>
      </c>
      <c r="M195" s="103">
        <f>VLOOKUP($A195,'OI(Value)'!$A$7:$O$329,9,0)</f>
        <v>30</v>
      </c>
      <c r="N195" s="103">
        <f>VLOOKUP($A195,'OI(Value)'!$A$7:$O$329,11,0)</f>
        <v>1006</v>
      </c>
      <c r="O195" s="103">
        <f>VLOOKUP($A195,'OI(Value)'!$A$7:$O$329,12,0)</f>
        <v>129</v>
      </c>
    </row>
    <row r="196" spans="1:15" x14ac:dyDescent="0.25">
      <c r="A196" s="105" t="str">
        <f>'Data Vlaue (Cr)'!C191</f>
        <v>SUPREMEIND</v>
      </c>
      <c r="B196" s="143">
        <f>VLOOKUP($A196,'Data shares'!$C:$FA,118)</f>
        <v>0.48</v>
      </c>
      <c r="C196" s="143">
        <f>VLOOKUP($A196,'Data shares'!$C:$FA,119)</f>
        <v>0.48</v>
      </c>
      <c r="D196" s="143">
        <f>VLOOKUP($A196,'Data shares'!$C:$FA,121)*100</f>
        <v>0</v>
      </c>
      <c r="E196" s="143">
        <f>VLOOKUP($A196,'Data shares'!$C:$FA,124)</f>
        <v>0.27</v>
      </c>
      <c r="F196" s="143">
        <f>VLOOKUP($A196,'Data shares'!$C:$FA,125)</f>
        <v>0.32</v>
      </c>
      <c r="G196" s="143">
        <f>VLOOKUP($A196,'Data shares'!$C:$FA,127)*100</f>
        <v>-15.620000000000001</v>
      </c>
      <c r="H196" s="103">
        <f>VLOOKUP($A196,'OI(Volume)'!$A$7:$O$445,8)</f>
        <v>883575</v>
      </c>
      <c r="I196" s="103">
        <f>VLOOKUP($A196,'OI(Volume)'!$A$7:$O$445,9)</f>
        <v>8750</v>
      </c>
      <c r="J196" s="103">
        <f>VLOOKUP($A196,'OI(Volume)'!$A$7:$O$445,11)</f>
        <v>426475</v>
      </c>
      <c r="K196" s="103">
        <f>VLOOKUP($A196,'OI(Volume)'!$A$7:$O$445,12)</f>
        <v>2975</v>
      </c>
      <c r="L196" s="103">
        <f>VLOOKUP($A196,'OI(Value)'!$A$7:$O$329,8,0)</f>
        <v>326</v>
      </c>
      <c r="M196" s="103">
        <f>VLOOKUP($A196,'OI(Value)'!$A$7:$O$329,9,0)</f>
        <v>3</v>
      </c>
      <c r="N196" s="103">
        <f>VLOOKUP($A196,'OI(Value)'!$A$7:$O$329,11,0)</f>
        <v>157</v>
      </c>
      <c r="O196" s="103">
        <f>VLOOKUP($A196,'OI(Value)'!$A$7:$O$329,12,0)</f>
        <v>1</v>
      </c>
    </row>
    <row r="197" spans="1:15" x14ac:dyDescent="0.25">
      <c r="A197" s="105" t="str">
        <f>'Data Vlaue (Cr)'!C192</f>
        <v>SUZLON</v>
      </c>
      <c r="B197" s="143">
        <f>VLOOKUP($A197,'Data shares'!$C:$FA,118)</f>
        <v>0.82</v>
      </c>
      <c r="C197" s="143">
        <f>VLOOKUP($A197,'Data shares'!$C:$FA,119)</f>
        <v>0.85</v>
      </c>
      <c r="D197" s="143">
        <f>VLOOKUP($A197,'Data shares'!$C:$FA,121)*100</f>
        <v>-3.53</v>
      </c>
      <c r="E197" s="143">
        <f>VLOOKUP($A197,'Data shares'!$C:$FA,124)</f>
        <v>0.48</v>
      </c>
      <c r="F197" s="143">
        <f>VLOOKUP($A197,'Data shares'!$C:$FA,125)</f>
        <v>0.53</v>
      </c>
      <c r="G197" s="143">
        <f>VLOOKUP($A197,'Data shares'!$C:$FA,127)*100</f>
        <v>-9.43</v>
      </c>
      <c r="H197" s="103">
        <f>VLOOKUP($A197,'OI(Volume)'!$A$7:$O$445,8)</f>
        <v>206862025</v>
      </c>
      <c r="I197" s="103">
        <f>VLOOKUP($A197,'OI(Volume)'!$A$7:$O$445,9)</f>
        <v>-4548600</v>
      </c>
      <c r="J197" s="103">
        <f>VLOOKUP($A197,'OI(Volume)'!$A$7:$O$445,11)</f>
        <v>170211500</v>
      </c>
      <c r="K197" s="103">
        <f>VLOOKUP($A197,'OI(Volume)'!$A$7:$O$445,12)</f>
        <v>-9313800</v>
      </c>
      <c r="L197" s="103">
        <f>VLOOKUP($A197,'OI(Value)'!$A$7:$O$329,8,0)</f>
        <v>1111</v>
      </c>
      <c r="M197" s="103">
        <f>VLOOKUP($A197,'OI(Value)'!$A$7:$O$329,9,0)</f>
        <v>-24</v>
      </c>
      <c r="N197" s="103">
        <f>VLOOKUP($A197,'OI(Value)'!$A$7:$O$329,11,0)</f>
        <v>915</v>
      </c>
      <c r="O197" s="103">
        <f>VLOOKUP($A197,'OI(Value)'!$A$7:$O$329,12,0)</f>
        <v>-50</v>
      </c>
    </row>
    <row r="198" spans="1:15" x14ac:dyDescent="0.25">
      <c r="A198" s="105" t="str">
        <f>'Data Vlaue (Cr)'!C193</f>
        <v>SWIGGY</v>
      </c>
      <c r="B198" s="143">
        <f>VLOOKUP($A198,'Data shares'!$C:$FA,118)</f>
        <v>0.71</v>
      </c>
      <c r="C198" s="143">
        <f>VLOOKUP($A198,'Data shares'!$C:$FA,119)</f>
        <v>0.71</v>
      </c>
      <c r="D198" s="143">
        <f>VLOOKUP($A198,'Data shares'!$C:$FA,121)*100</f>
        <v>0</v>
      </c>
      <c r="E198" s="143">
        <f>VLOOKUP($A198,'Data shares'!$C:$FA,124)</f>
        <v>0.35</v>
      </c>
      <c r="F198" s="143">
        <f>VLOOKUP($A198,'Data shares'!$C:$FA,125)</f>
        <v>0.35</v>
      </c>
      <c r="G198" s="143">
        <f>VLOOKUP($A198,'Data shares'!$C:$FA,127)*100</f>
        <v>0</v>
      </c>
      <c r="H198" s="103">
        <f>VLOOKUP($A198,'OI(Volume)'!$A$7:$O$445,8)</f>
        <v>9298900</v>
      </c>
      <c r="I198" s="103">
        <f>VLOOKUP($A198,'OI(Volume)'!$A$7:$O$445,9)</f>
        <v>-341900</v>
      </c>
      <c r="J198" s="103">
        <f>VLOOKUP($A198,'OI(Volume)'!$A$7:$O$445,11)</f>
        <v>6637800</v>
      </c>
      <c r="K198" s="103">
        <f>VLOOKUP($A198,'OI(Volume)'!$A$7:$O$445,12)</f>
        <v>-240500</v>
      </c>
      <c r="L198" s="103">
        <f>VLOOKUP($A198,'OI(Value)'!$A$7:$O$329,8,0)</f>
        <v>272</v>
      </c>
      <c r="M198" s="103">
        <f>VLOOKUP($A198,'OI(Value)'!$A$7:$O$329,9,0)</f>
        <v>-10</v>
      </c>
      <c r="N198" s="103">
        <f>VLOOKUP($A198,'OI(Value)'!$A$7:$O$329,11,0)</f>
        <v>194</v>
      </c>
      <c r="O198" s="103">
        <f>VLOOKUP($A198,'OI(Value)'!$A$7:$O$329,12,0)</f>
        <v>-7</v>
      </c>
    </row>
    <row r="199" spans="1:15" x14ac:dyDescent="0.25">
      <c r="A199" s="105" t="str">
        <f>'Data Vlaue (Cr)'!C194</f>
        <v>TATACONSUM</v>
      </c>
      <c r="B199" s="143">
        <f>VLOOKUP($A199,'Data shares'!$C:$FA,118)</f>
        <v>1.33</v>
      </c>
      <c r="C199" s="143">
        <f>VLOOKUP($A199,'Data shares'!$C:$FA,119)</f>
        <v>1.19</v>
      </c>
      <c r="D199" s="143">
        <f>VLOOKUP($A199,'Data shares'!$C:$FA,121)*100</f>
        <v>11.76</v>
      </c>
      <c r="E199" s="143">
        <f>VLOOKUP($A199,'Data shares'!$C:$FA,124)</f>
        <v>0.73</v>
      </c>
      <c r="F199" s="143">
        <f>VLOOKUP($A199,'Data shares'!$C:$FA,125)</f>
        <v>0.41</v>
      </c>
      <c r="G199" s="143">
        <f>VLOOKUP($A199,'Data shares'!$C:$FA,127)*100</f>
        <v>78.05</v>
      </c>
      <c r="H199" s="103">
        <f>VLOOKUP($A199,'OI(Volume)'!$A$7:$O$445,8)</f>
        <v>2916100</v>
      </c>
      <c r="I199" s="103">
        <f>VLOOKUP($A199,'OI(Volume)'!$A$7:$O$445,9)</f>
        <v>-85250</v>
      </c>
      <c r="J199" s="103">
        <f>VLOOKUP($A199,'OI(Volume)'!$A$7:$O$445,11)</f>
        <v>3885750</v>
      </c>
      <c r="K199" s="103">
        <f>VLOOKUP($A199,'OI(Volume)'!$A$7:$O$445,12)</f>
        <v>309100</v>
      </c>
      <c r="L199" s="103">
        <f>VLOOKUP($A199,'OI(Value)'!$A$7:$O$329,8,0)</f>
        <v>345</v>
      </c>
      <c r="M199" s="103">
        <f>VLOOKUP($A199,'OI(Value)'!$A$7:$O$329,9,0)</f>
        <v>-10</v>
      </c>
      <c r="N199" s="103">
        <f>VLOOKUP($A199,'OI(Value)'!$A$7:$O$329,11,0)</f>
        <v>460</v>
      </c>
      <c r="O199" s="103">
        <f>VLOOKUP($A199,'OI(Value)'!$A$7:$O$329,12,0)</f>
        <v>37</v>
      </c>
    </row>
    <row r="200" spans="1:15" x14ac:dyDescent="0.25">
      <c r="A200" s="105" t="str">
        <f>'Data Vlaue (Cr)'!C195</f>
        <v>TATAELXSI</v>
      </c>
      <c r="B200" s="143">
        <f>VLOOKUP($A200,'Data shares'!$C:$FA,118)</f>
        <v>0.34</v>
      </c>
      <c r="C200" s="143">
        <f>VLOOKUP($A200,'Data shares'!$C:$FA,119)</f>
        <v>0.35</v>
      </c>
      <c r="D200" s="143">
        <f>VLOOKUP($A200,'Data shares'!$C:$FA,121)*100</f>
        <v>-2.86</v>
      </c>
      <c r="E200" s="143">
        <f>VLOOKUP($A200,'Data shares'!$C:$FA,124)</f>
        <v>0.42</v>
      </c>
      <c r="F200" s="143">
        <f>VLOOKUP($A200,'Data shares'!$C:$FA,125)</f>
        <v>0.57999999999999996</v>
      </c>
      <c r="G200" s="143">
        <f>VLOOKUP($A200,'Data shares'!$C:$FA,127)*100</f>
        <v>-27.589999999999996</v>
      </c>
      <c r="H200" s="103">
        <f>VLOOKUP($A200,'OI(Volume)'!$A$7:$O$445,8)</f>
        <v>2862800</v>
      </c>
      <c r="I200" s="103">
        <f>VLOOKUP($A200,'OI(Volume)'!$A$7:$O$445,9)</f>
        <v>177700</v>
      </c>
      <c r="J200" s="103">
        <f>VLOOKUP($A200,'OI(Volume)'!$A$7:$O$445,11)</f>
        <v>980800</v>
      </c>
      <c r="K200" s="103">
        <f>VLOOKUP($A200,'OI(Volume)'!$A$7:$O$445,12)</f>
        <v>38100</v>
      </c>
      <c r="L200" s="103">
        <f>VLOOKUP($A200,'OI(Value)'!$A$7:$O$329,8,0)</f>
        <v>1210</v>
      </c>
      <c r="M200" s="103">
        <f>VLOOKUP($A200,'OI(Value)'!$A$7:$O$329,9,0)</f>
        <v>75</v>
      </c>
      <c r="N200" s="103">
        <f>VLOOKUP($A200,'OI(Value)'!$A$7:$O$329,11,0)</f>
        <v>415</v>
      </c>
      <c r="O200" s="103">
        <f>VLOOKUP($A200,'OI(Value)'!$A$7:$O$329,12,0)</f>
        <v>16</v>
      </c>
    </row>
    <row r="201" spans="1:15" x14ac:dyDescent="0.25">
      <c r="A201" s="105" t="str">
        <f>'Data Vlaue (Cr)'!C196</f>
        <v>TATAPOWER</v>
      </c>
      <c r="B201" s="143">
        <f>VLOOKUP($A201,'Data shares'!$C:$FA,118)</f>
        <v>0.76</v>
      </c>
      <c r="C201" s="143">
        <f>VLOOKUP($A201,'Data shares'!$C:$FA,119)</f>
        <v>0.83</v>
      </c>
      <c r="D201" s="143">
        <f>VLOOKUP($A201,'Data shares'!$C:$FA,121)*100</f>
        <v>-8.43</v>
      </c>
      <c r="E201" s="143">
        <f>VLOOKUP($A201,'Data shares'!$C:$FA,124)</f>
        <v>0.64</v>
      </c>
      <c r="F201" s="143">
        <f>VLOOKUP($A201,'Data shares'!$C:$FA,125)</f>
        <v>0.56999999999999995</v>
      </c>
      <c r="G201" s="143">
        <f>VLOOKUP($A201,'Data shares'!$C:$FA,127)*100</f>
        <v>12.280000000000001</v>
      </c>
      <c r="H201" s="103">
        <f>VLOOKUP($A201,'OI(Volume)'!$A$7:$O$445,8)</f>
        <v>36893800</v>
      </c>
      <c r="I201" s="103">
        <f>VLOOKUP($A201,'OI(Volume)'!$A$7:$O$445,9)</f>
        <v>813450</v>
      </c>
      <c r="J201" s="103">
        <f>VLOOKUP($A201,'OI(Volume)'!$A$7:$O$445,11)</f>
        <v>28159000</v>
      </c>
      <c r="K201" s="103">
        <f>VLOOKUP($A201,'OI(Volume)'!$A$7:$O$445,12)</f>
        <v>-1805250</v>
      </c>
      <c r="L201" s="103">
        <f>VLOOKUP($A201,'OI(Value)'!$A$7:$O$329,8,0)</f>
        <v>1589</v>
      </c>
      <c r="M201" s="103">
        <f>VLOOKUP($A201,'OI(Value)'!$A$7:$O$329,9,0)</f>
        <v>35</v>
      </c>
      <c r="N201" s="103">
        <f>VLOOKUP($A201,'OI(Value)'!$A$7:$O$329,11,0)</f>
        <v>1213</v>
      </c>
      <c r="O201" s="103">
        <f>VLOOKUP($A201,'OI(Value)'!$A$7:$O$329,12,0)</f>
        <v>-78</v>
      </c>
    </row>
    <row r="202" spans="1:15" x14ac:dyDescent="0.25">
      <c r="A202" s="105" t="str">
        <f>'Data Vlaue (Cr)'!C197</f>
        <v>TATASTEEL</v>
      </c>
      <c r="B202" s="143">
        <f>VLOOKUP($A202,'Data shares'!$C:$FA,118)</f>
        <v>0.79</v>
      </c>
      <c r="C202" s="143">
        <f>VLOOKUP($A202,'Data shares'!$C:$FA,119)</f>
        <v>0.81</v>
      </c>
      <c r="D202" s="143">
        <f>VLOOKUP($A202,'Data shares'!$C:$FA,121)*100</f>
        <v>-2.4699999999999998</v>
      </c>
      <c r="E202" s="143">
        <f>VLOOKUP($A202,'Data shares'!$C:$FA,124)</f>
        <v>0.62</v>
      </c>
      <c r="F202" s="143">
        <f>VLOOKUP($A202,'Data shares'!$C:$FA,125)</f>
        <v>0.61</v>
      </c>
      <c r="G202" s="143">
        <f>VLOOKUP($A202,'Data shares'!$C:$FA,127)*100</f>
        <v>1.6400000000000001</v>
      </c>
      <c r="H202" s="103">
        <f>VLOOKUP($A202,'OI(Volume)'!$A$7:$O$445,8)</f>
        <v>122023000</v>
      </c>
      <c r="I202" s="103">
        <f>VLOOKUP($A202,'OI(Volume)'!$A$7:$O$445,9)</f>
        <v>-2469500</v>
      </c>
      <c r="J202" s="103">
        <f>VLOOKUP($A202,'OI(Volume)'!$A$7:$O$445,11)</f>
        <v>95969500</v>
      </c>
      <c r="K202" s="103">
        <f>VLOOKUP($A202,'OI(Volume)'!$A$7:$O$445,12)</f>
        <v>-4372500</v>
      </c>
      <c r="L202" s="103">
        <f>VLOOKUP($A202,'OI(Value)'!$A$7:$O$329,8,0)</f>
        <v>2571</v>
      </c>
      <c r="M202" s="103">
        <f>VLOOKUP($A202,'OI(Value)'!$A$7:$O$329,9,0)</f>
        <v>-52</v>
      </c>
      <c r="N202" s="103">
        <f>VLOOKUP($A202,'OI(Value)'!$A$7:$O$329,11,0)</f>
        <v>2022</v>
      </c>
      <c r="O202" s="103">
        <f>VLOOKUP($A202,'OI(Value)'!$A$7:$O$329,12,0)</f>
        <v>-92</v>
      </c>
    </row>
    <row r="203" spans="1:15" x14ac:dyDescent="0.25">
      <c r="A203" s="105" t="str">
        <f>'Data Vlaue (Cr)'!C198</f>
        <v>TATATECH</v>
      </c>
      <c r="B203" s="143">
        <f>VLOOKUP($A203,'Data shares'!$C:$FA,118)</f>
        <v>0.78</v>
      </c>
      <c r="C203" s="143">
        <f>VLOOKUP($A203,'Data shares'!$C:$FA,119)</f>
        <v>0.77</v>
      </c>
      <c r="D203" s="143">
        <f>VLOOKUP($A203,'Data shares'!$C:$FA,121)*100</f>
        <v>1.3</v>
      </c>
      <c r="E203" s="143">
        <f>VLOOKUP($A203,'Data shares'!$C:$FA,124)</f>
        <v>0.74</v>
      </c>
      <c r="F203" s="143">
        <f>VLOOKUP($A203,'Data shares'!$C:$FA,125)</f>
        <v>0.53</v>
      </c>
      <c r="G203" s="143">
        <f>VLOOKUP($A203,'Data shares'!$C:$FA,127)*100</f>
        <v>39.619999999999997</v>
      </c>
      <c r="H203" s="103">
        <f>VLOOKUP($A203,'OI(Volume)'!$A$7:$O$445,8)</f>
        <v>2712800</v>
      </c>
      <c r="I203" s="103">
        <f>VLOOKUP($A203,'OI(Volume)'!$A$7:$O$445,9)</f>
        <v>112000</v>
      </c>
      <c r="J203" s="103">
        <f>VLOOKUP($A203,'OI(Volume)'!$A$7:$O$445,11)</f>
        <v>2123200</v>
      </c>
      <c r="K203" s="103">
        <f>VLOOKUP($A203,'OI(Volume)'!$A$7:$O$445,12)</f>
        <v>120800</v>
      </c>
      <c r="L203" s="103">
        <f>VLOOKUP($A203,'OI(Value)'!$A$7:$O$329,8,0)</f>
        <v>153</v>
      </c>
      <c r="M203" s="103">
        <f>VLOOKUP($A203,'OI(Value)'!$A$7:$O$329,9,0)</f>
        <v>6</v>
      </c>
      <c r="N203" s="103">
        <f>VLOOKUP($A203,'OI(Value)'!$A$7:$O$329,11,0)</f>
        <v>119</v>
      </c>
      <c r="O203" s="103">
        <f>VLOOKUP($A203,'OI(Value)'!$A$7:$O$329,12,0)</f>
        <v>7</v>
      </c>
    </row>
    <row r="204" spans="1:15" x14ac:dyDescent="0.25">
      <c r="A204" s="105" t="str">
        <f>'Data Vlaue (Cr)'!C199</f>
        <v>TCS</v>
      </c>
      <c r="B204" s="143">
        <f>VLOOKUP($A204,'Data shares'!$C:$FA,118)</f>
        <v>0.61</v>
      </c>
      <c r="C204" s="143">
        <f>VLOOKUP($A204,'Data shares'!$C:$FA,119)</f>
        <v>0.6</v>
      </c>
      <c r="D204" s="143">
        <f>VLOOKUP($A204,'Data shares'!$C:$FA,121)*100</f>
        <v>1.67</v>
      </c>
      <c r="E204" s="143">
        <f>VLOOKUP($A204,'Data shares'!$C:$FA,124)</f>
        <v>0.56999999999999995</v>
      </c>
      <c r="F204" s="143">
        <f>VLOOKUP($A204,'Data shares'!$C:$FA,125)</f>
        <v>0.6</v>
      </c>
      <c r="G204" s="143">
        <f>VLOOKUP($A204,'Data shares'!$C:$FA,127)*100</f>
        <v>-5</v>
      </c>
      <c r="H204" s="103">
        <f>VLOOKUP($A204,'OI(Volume)'!$A$7:$O$445,8)</f>
        <v>18975775</v>
      </c>
      <c r="I204" s="103">
        <f>VLOOKUP($A204,'OI(Volume)'!$A$7:$O$445,9)</f>
        <v>766500</v>
      </c>
      <c r="J204" s="103">
        <f>VLOOKUP($A204,'OI(Volume)'!$A$7:$O$445,11)</f>
        <v>11519025</v>
      </c>
      <c r="K204" s="103">
        <f>VLOOKUP($A204,'OI(Volume)'!$A$7:$O$445,12)</f>
        <v>529375</v>
      </c>
      <c r="L204" s="103">
        <f>VLOOKUP($A204,'OI(Value)'!$A$7:$O$329,8,0)</f>
        <v>4776</v>
      </c>
      <c r="M204" s="103">
        <f>VLOOKUP($A204,'OI(Value)'!$A$7:$O$329,9,0)</f>
        <v>193</v>
      </c>
      <c r="N204" s="103">
        <f>VLOOKUP($A204,'OI(Value)'!$A$7:$O$329,11,0)</f>
        <v>2899</v>
      </c>
      <c r="O204" s="103">
        <f>VLOOKUP($A204,'OI(Value)'!$A$7:$O$329,12,0)</f>
        <v>133</v>
      </c>
    </row>
    <row r="205" spans="1:15" x14ac:dyDescent="0.25">
      <c r="A205" s="105" t="str">
        <f>'Data Vlaue (Cr)'!C200</f>
        <v>TECHM</v>
      </c>
      <c r="B205" s="143">
        <f>VLOOKUP($A205,'Data shares'!$C:$FA,118)</f>
        <v>0.48</v>
      </c>
      <c r="C205" s="143">
        <f>VLOOKUP($A205,'Data shares'!$C:$FA,119)</f>
        <v>0.7</v>
      </c>
      <c r="D205" s="143">
        <f>VLOOKUP($A205,'Data shares'!$C:$FA,121)*100</f>
        <v>-31.430000000000003</v>
      </c>
      <c r="E205" s="143">
        <f>VLOOKUP($A205,'Data shares'!$C:$FA,124)</f>
        <v>0.53</v>
      </c>
      <c r="F205" s="143">
        <f>VLOOKUP($A205,'Data shares'!$C:$FA,125)</f>
        <v>0.67</v>
      </c>
      <c r="G205" s="143">
        <f>VLOOKUP($A205,'Data shares'!$C:$FA,127)*100</f>
        <v>-20.9</v>
      </c>
      <c r="H205" s="103">
        <f>VLOOKUP($A205,'OI(Volume)'!$A$7:$O$445,8)</f>
        <v>12700800</v>
      </c>
      <c r="I205" s="103">
        <f>VLOOKUP($A205,'OI(Volume)'!$A$7:$O$445,9)</f>
        <v>1391400</v>
      </c>
      <c r="J205" s="103">
        <f>VLOOKUP($A205,'OI(Volume)'!$A$7:$O$445,11)</f>
        <v>6052800</v>
      </c>
      <c r="K205" s="103">
        <f>VLOOKUP($A205,'OI(Volume)'!$A$7:$O$445,12)</f>
        <v>-1877400</v>
      </c>
      <c r="L205" s="103">
        <f>VLOOKUP($A205,'OI(Value)'!$A$7:$O$329,8,0)</f>
        <v>1810</v>
      </c>
      <c r="M205" s="103">
        <f>VLOOKUP($A205,'OI(Value)'!$A$7:$O$329,9,0)</f>
        <v>198</v>
      </c>
      <c r="N205" s="103">
        <f>VLOOKUP($A205,'OI(Value)'!$A$7:$O$329,11,0)</f>
        <v>862</v>
      </c>
      <c r="O205" s="103">
        <f>VLOOKUP($A205,'OI(Value)'!$A$7:$O$329,12,0)</f>
        <v>-267</v>
      </c>
    </row>
    <row r="206" spans="1:15" x14ac:dyDescent="0.25">
      <c r="A206" s="105" t="str">
        <f>'Data Vlaue (Cr)'!C201</f>
        <v>TIINDIA</v>
      </c>
      <c r="B206" s="143">
        <f>VLOOKUP($A206,'Data shares'!$C:$FA,118)</f>
        <v>0.83</v>
      </c>
      <c r="C206" s="143">
        <f>VLOOKUP($A206,'Data shares'!$C:$FA,119)</f>
        <v>0.85</v>
      </c>
      <c r="D206" s="143">
        <f>VLOOKUP($A206,'Data shares'!$C:$FA,121)*100</f>
        <v>-2.35</v>
      </c>
      <c r="E206" s="143">
        <f>VLOOKUP($A206,'Data shares'!$C:$FA,124)</f>
        <v>0.42</v>
      </c>
      <c r="F206" s="143">
        <f>VLOOKUP($A206,'Data shares'!$C:$FA,125)</f>
        <v>0.36</v>
      </c>
      <c r="G206" s="143">
        <f>VLOOKUP($A206,'Data shares'!$C:$FA,127)*100</f>
        <v>16.669999999999998</v>
      </c>
      <c r="H206" s="103">
        <f>VLOOKUP($A206,'OI(Volume)'!$A$7:$O$445,8)</f>
        <v>841600</v>
      </c>
      <c r="I206" s="103">
        <f>VLOOKUP($A206,'OI(Volume)'!$A$7:$O$445,9)</f>
        <v>110000</v>
      </c>
      <c r="J206" s="103">
        <f>VLOOKUP($A206,'OI(Volume)'!$A$7:$O$445,11)</f>
        <v>701800</v>
      </c>
      <c r="K206" s="103">
        <f>VLOOKUP($A206,'OI(Volume)'!$A$7:$O$445,12)</f>
        <v>81200</v>
      </c>
      <c r="L206" s="103">
        <f>VLOOKUP($A206,'OI(Value)'!$A$7:$O$329,8,0)</f>
        <v>261</v>
      </c>
      <c r="M206" s="103">
        <f>VLOOKUP($A206,'OI(Value)'!$A$7:$O$329,9,0)</f>
        <v>34</v>
      </c>
      <c r="N206" s="103">
        <f>VLOOKUP($A206,'OI(Value)'!$A$7:$O$329,11,0)</f>
        <v>217</v>
      </c>
      <c r="O206" s="103">
        <f>VLOOKUP($A206,'OI(Value)'!$A$7:$O$329,12,0)</f>
        <v>25</v>
      </c>
    </row>
    <row r="207" spans="1:15" x14ac:dyDescent="0.25">
      <c r="A207" s="105" t="str">
        <f>'Data Vlaue (Cr)'!C202</f>
        <v>TITAN</v>
      </c>
      <c r="B207" s="143">
        <f>VLOOKUP($A207,'Data shares'!$C:$FA,118)</f>
        <v>0.76</v>
      </c>
      <c r="C207" s="143">
        <f>VLOOKUP($A207,'Data shares'!$C:$FA,119)</f>
        <v>0.79</v>
      </c>
      <c r="D207" s="143">
        <f>VLOOKUP($A207,'Data shares'!$C:$FA,121)*100</f>
        <v>-3.8</v>
      </c>
      <c r="E207" s="143">
        <f>VLOOKUP($A207,'Data shares'!$C:$FA,124)</f>
        <v>0.82</v>
      </c>
      <c r="F207" s="143">
        <f>VLOOKUP($A207,'Data shares'!$C:$FA,125)</f>
        <v>0.76</v>
      </c>
      <c r="G207" s="143">
        <f>VLOOKUP($A207,'Data shares'!$C:$FA,127)*100</f>
        <v>7.89</v>
      </c>
      <c r="H207" s="103">
        <f>VLOOKUP($A207,'OI(Volume)'!$A$7:$O$445,8)</f>
        <v>3817100</v>
      </c>
      <c r="I207" s="103">
        <f>VLOOKUP($A207,'OI(Volume)'!$A$7:$O$445,9)</f>
        <v>-155750</v>
      </c>
      <c r="J207" s="103">
        <f>VLOOKUP($A207,'OI(Volume)'!$A$7:$O$445,11)</f>
        <v>2883650</v>
      </c>
      <c r="K207" s="103">
        <f>VLOOKUP($A207,'OI(Volume)'!$A$7:$O$445,12)</f>
        <v>-261975</v>
      </c>
      <c r="L207" s="103">
        <f>VLOOKUP($A207,'OI(Value)'!$A$7:$O$329,8,0)</f>
        <v>1700</v>
      </c>
      <c r="M207" s="103">
        <f>VLOOKUP($A207,'OI(Value)'!$A$7:$O$329,9,0)</f>
        <v>-69</v>
      </c>
      <c r="N207" s="103">
        <f>VLOOKUP($A207,'OI(Value)'!$A$7:$O$329,11,0)</f>
        <v>1284</v>
      </c>
      <c r="O207" s="103">
        <f>VLOOKUP($A207,'OI(Value)'!$A$7:$O$329,12,0)</f>
        <v>-117</v>
      </c>
    </row>
    <row r="208" spans="1:15" x14ac:dyDescent="0.25">
      <c r="A208" s="105" t="str">
        <f>'Data Vlaue (Cr)'!C203</f>
        <v>TMPV</v>
      </c>
      <c r="B208" s="143">
        <f>VLOOKUP($A208,'Data shares'!$C:$FA,118)</f>
        <v>0.74</v>
      </c>
      <c r="C208" s="143">
        <f>VLOOKUP($A208,'Data shares'!$C:$FA,119)</f>
        <v>0.8</v>
      </c>
      <c r="D208" s="143">
        <f>VLOOKUP($A208,'Data shares'!$C:$FA,121)*100</f>
        <v>-7.5</v>
      </c>
      <c r="E208" s="143">
        <f>VLOOKUP($A208,'Data shares'!$C:$FA,124)</f>
        <v>0.73</v>
      </c>
      <c r="F208" s="143">
        <f>VLOOKUP($A208,'Data shares'!$C:$FA,125)</f>
        <v>0.6</v>
      </c>
      <c r="G208" s="143">
        <f>VLOOKUP($A208,'Data shares'!$C:$FA,127)*100</f>
        <v>21.67</v>
      </c>
      <c r="H208" s="103">
        <f>VLOOKUP($A208,'OI(Volume)'!$A$7:$O$445,8)</f>
        <v>37183200</v>
      </c>
      <c r="I208" s="103">
        <f>VLOOKUP($A208,'OI(Volume)'!$A$7:$O$445,9)</f>
        <v>690400</v>
      </c>
      <c r="J208" s="103">
        <f>VLOOKUP($A208,'OI(Volume)'!$A$7:$O$445,11)</f>
        <v>27445600</v>
      </c>
      <c r="K208" s="103">
        <f>VLOOKUP($A208,'OI(Volume)'!$A$7:$O$445,12)</f>
        <v>-1912000</v>
      </c>
      <c r="L208" s="103">
        <f>VLOOKUP($A208,'OI(Value)'!$A$7:$O$329,8,0)</f>
        <v>1305</v>
      </c>
      <c r="M208" s="103">
        <f>VLOOKUP($A208,'OI(Value)'!$A$7:$O$329,9,0)</f>
        <v>24</v>
      </c>
      <c r="N208" s="103">
        <f>VLOOKUP($A208,'OI(Value)'!$A$7:$O$329,11,0)</f>
        <v>963</v>
      </c>
      <c r="O208" s="103">
        <f>VLOOKUP($A208,'OI(Value)'!$A$7:$O$329,12,0)</f>
        <v>-67</v>
      </c>
    </row>
    <row r="209" spans="1:15" x14ac:dyDescent="0.25">
      <c r="A209" s="105" t="str">
        <f>'Data Vlaue (Cr)'!C204</f>
        <v>TORNTPHARM</v>
      </c>
      <c r="B209" s="143">
        <f>VLOOKUP($A209,'Data shares'!$C:$FA,118)</f>
        <v>0.72</v>
      </c>
      <c r="C209" s="143">
        <f>VLOOKUP($A209,'Data shares'!$C:$FA,119)</f>
        <v>0.7</v>
      </c>
      <c r="D209" s="143">
        <f>VLOOKUP($A209,'Data shares'!$C:$FA,121)*100</f>
        <v>2.86</v>
      </c>
      <c r="E209" s="143">
        <f>VLOOKUP($A209,'Data shares'!$C:$FA,124)</f>
        <v>0.33</v>
      </c>
      <c r="F209" s="143">
        <f>VLOOKUP($A209,'Data shares'!$C:$FA,125)</f>
        <v>0.75</v>
      </c>
      <c r="G209" s="143">
        <f>VLOOKUP($A209,'Data shares'!$C:$FA,127)*100</f>
        <v>-56.000000000000007</v>
      </c>
      <c r="H209" s="103">
        <f>VLOOKUP($A209,'OI(Volume)'!$A$7:$O$445,8)</f>
        <v>659750</v>
      </c>
      <c r="I209" s="103">
        <f>VLOOKUP($A209,'OI(Volume)'!$A$7:$O$445,9)</f>
        <v>7250</v>
      </c>
      <c r="J209" s="103">
        <f>VLOOKUP($A209,'OI(Volume)'!$A$7:$O$445,11)</f>
        <v>474750</v>
      </c>
      <c r="K209" s="103">
        <f>VLOOKUP($A209,'OI(Volume)'!$A$7:$O$445,12)</f>
        <v>20500</v>
      </c>
      <c r="L209" s="103">
        <f>VLOOKUP($A209,'OI(Value)'!$A$7:$O$329,8,0)</f>
        <v>274</v>
      </c>
      <c r="M209" s="103">
        <f>VLOOKUP($A209,'OI(Value)'!$A$7:$O$329,9,0)</f>
        <v>3</v>
      </c>
      <c r="N209" s="103">
        <f>VLOOKUP($A209,'OI(Value)'!$A$7:$O$329,11,0)</f>
        <v>197</v>
      </c>
      <c r="O209" s="103">
        <f>VLOOKUP($A209,'OI(Value)'!$A$7:$O$329,12,0)</f>
        <v>9</v>
      </c>
    </row>
    <row r="210" spans="1:15" x14ac:dyDescent="0.25">
      <c r="A210" s="105" t="str">
        <f>'Data Vlaue (Cr)'!C205</f>
        <v>TORNTPOWER</v>
      </c>
      <c r="B210" s="143">
        <f>VLOOKUP($A210,'Data shares'!$C:$FA,118)</f>
        <v>1.2</v>
      </c>
      <c r="C210" s="143">
        <f>VLOOKUP($A210,'Data shares'!$C:$FA,119)</f>
        <v>0.88</v>
      </c>
      <c r="D210" s="143">
        <f>VLOOKUP($A210,'Data shares'!$C:$FA,121)*100</f>
        <v>36.36</v>
      </c>
      <c r="E210" s="143">
        <f>VLOOKUP($A210,'Data shares'!$C:$FA,124)</f>
        <v>0.5</v>
      </c>
      <c r="F210" s="143">
        <f>VLOOKUP($A210,'Data shares'!$C:$FA,125)</f>
        <v>0.27</v>
      </c>
      <c r="G210" s="143">
        <f>VLOOKUP($A210,'Data shares'!$C:$FA,127)*100</f>
        <v>85.19</v>
      </c>
      <c r="H210" s="103">
        <f>VLOOKUP($A210,'OI(Volume)'!$A$7:$O$445,8)</f>
        <v>1555925</v>
      </c>
      <c r="I210" s="103">
        <f>VLOOKUP($A210,'OI(Volume)'!$A$7:$O$445,9)</f>
        <v>-118150</v>
      </c>
      <c r="J210" s="103">
        <f>VLOOKUP($A210,'OI(Volume)'!$A$7:$O$445,11)</f>
        <v>1873400</v>
      </c>
      <c r="K210" s="103">
        <f>VLOOKUP($A210,'OI(Volume)'!$A$7:$O$445,12)</f>
        <v>392275</v>
      </c>
      <c r="L210" s="103">
        <f>VLOOKUP($A210,'OI(Value)'!$A$7:$O$329,8,0)</f>
        <v>271</v>
      </c>
      <c r="M210" s="103">
        <f>VLOOKUP($A210,'OI(Value)'!$A$7:$O$329,9,0)</f>
        <v>-21</v>
      </c>
      <c r="N210" s="103">
        <f>VLOOKUP($A210,'OI(Value)'!$A$7:$O$329,11,0)</f>
        <v>326</v>
      </c>
      <c r="O210" s="103">
        <f>VLOOKUP($A210,'OI(Value)'!$A$7:$O$329,12,0)</f>
        <v>68</v>
      </c>
    </row>
    <row r="211" spans="1:15" x14ac:dyDescent="0.25">
      <c r="A211" s="105" t="str">
        <f>'Data Vlaue (Cr)'!C206</f>
        <v>TRENT</v>
      </c>
      <c r="B211" s="143">
        <f>VLOOKUP($A211,'Data shares'!$C:$FA,118)</f>
        <v>0.56999999999999995</v>
      </c>
      <c r="C211" s="143">
        <f>VLOOKUP($A211,'Data shares'!$C:$FA,119)</f>
        <v>0.78</v>
      </c>
      <c r="D211" s="143">
        <f>VLOOKUP($A211,'Data shares'!$C:$FA,121)*100</f>
        <v>-26.919999999999998</v>
      </c>
      <c r="E211" s="143">
        <f>VLOOKUP($A211,'Data shares'!$C:$FA,124)</f>
        <v>0.56000000000000005</v>
      </c>
      <c r="F211" s="143">
        <f>VLOOKUP($A211,'Data shares'!$C:$FA,125)</f>
        <v>0.48</v>
      </c>
      <c r="G211" s="143">
        <f>VLOOKUP($A211,'Data shares'!$C:$FA,127)*100</f>
        <v>16.669999999999998</v>
      </c>
      <c r="H211" s="103">
        <f>VLOOKUP($A211,'OI(Volume)'!$A$7:$O$445,8)</f>
        <v>0</v>
      </c>
      <c r="I211" s="103">
        <f>VLOOKUP($A211,'OI(Volume)'!$A$7:$O$445,9)</f>
        <v>0</v>
      </c>
      <c r="J211" s="103">
        <f>VLOOKUP($A211,'OI(Volume)'!$A$7:$O$445,11)</f>
        <v>0</v>
      </c>
      <c r="K211" s="103">
        <f>VLOOKUP($A211,'OI(Volume)'!$A$7:$O$445,12)</f>
        <v>0</v>
      </c>
      <c r="L211" s="103">
        <f>VLOOKUP($A211,'OI(Value)'!$A$7:$O$329,8,0)</f>
        <v>2740</v>
      </c>
      <c r="M211" s="103">
        <f>VLOOKUP($A211,'OI(Value)'!$A$7:$O$329,9,0)</f>
        <v>670</v>
      </c>
      <c r="N211" s="103">
        <f>VLOOKUP($A211,'OI(Value)'!$A$7:$O$329,11,0)</f>
        <v>1566</v>
      </c>
      <c r="O211" s="103">
        <f>VLOOKUP($A211,'OI(Value)'!$A$7:$O$329,12,0)</f>
        <v>-48</v>
      </c>
    </row>
    <row r="212" spans="1:15" x14ac:dyDescent="0.25">
      <c r="A212" s="105" t="str">
        <f>'Data Vlaue (Cr)'!C207</f>
        <v>TVSMOTOR</v>
      </c>
      <c r="B212" s="143">
        <f>VLOOKUP($A212,'Data shares'!$C:$FA,118)</f>
        <v>0.49</v>
      </c>
      <c r="C212" s="143">
        <f>VLOOKUP($A212,'Data shares'!$C:$FA,119)</f>
        <v>0.56000000000000005</v>
      </c>
      <c r="D212" s="143">
        <f>VLOOKUP($A212,'Data shares'!$C:$FA,121)*100</f>
        <v>-12.5</v>
      </c>
      <c r="E212" s="143">
        <f>VLOOKUP($A212,'Data shares'!$C:$FA,124)</f>
        <v>0.7</v>
      </c>
      <c r="F212" s="143">
        <f>VLOOKUP($A212,'Data shares'!$C:$FA,125)</f>
        <v>0.37</v>
      </c>
      <c r="G212" s="143">
        <f>VLOOKUP($A212,'Data shares'!$C:$FA,127)*100</f>
        <v>89.19</v>
      </c>
      <c r="H212" s="103">
        <f>VLOOKUP($A212,'OI(Volume)'!$A$7:$O$445,8)</f>
        <v>0</v>
      </c>
      <c r="I212" s="103">
        <f>VLOOKUP($A212,'OI(Volume)'!$A$7:$O$445,9)</f>
        <v>0</v>
      </c>
      <c r="J212" s="103">
        <f>VLOOKUP($A212,'OI(Volume)'!$A$7:$O$445,11)</f>
        <v>0</v>
      </c>
      <c r="K212" s="103">
        <f>VLOOKUP($A212,'OI(Volume)'!$A$7:$O$445,12)</f>
        <v>0</v>
      </c>
      <c r="L212" s="103">
        <f>VLOOKUP($A212,'OI(Value)'!$A$7:$O$329,8,0)</f>
        <v>941</v>
      </c>
      <c r="M212" s="103">
        <f>VLOOKUP($A212,'OI(Value)'!$A$7:$O$329,9,0)</f>
        <v>167</v>
      </c>
      <c r="N212" s="103">
        <f>VLOOKUP($A212,'OI(Value)'!$A$7:$O$329,11,0)</f>
        <v>458</v>
      </c>
      <c r="O212" s="103">
        <f>VLOOKUP($A212,'OI(Value)'!$A$7:$O$329,12,0)</f>
        <v>23</v>
      </c>
    </row>
    <row r="213" spans="1:15" x14ac:dyDescent="0.25">
      <c r="A213" s="105" t="str">
        <f>'Data Vlaue (Cr)'!C208</f>
        <v>ULTRACEMCO</v>
      </c>
      <c r="B213" s="143">
        <f>VLOOKUP($A213,'Data shares'!$C:$FA,118)</f>
        <v>0.6</v>
      </c>
      <c r="C213" s="143">
        <f>VLOOKUP($A213,'Data shares'!$C:$FA,119)</f>
        <v>0.73</v>
      </c>
      <c r="D213" s="143">
        <f>VLOOKUP($A213,'Data shares'!$C:$FA,121)*100</f>
        <v>-17.810000000000002</v>
      </c>
      <c r="E213" s="143">
        <f>VLOOKUP($A213,'Data shares'!$C:$FA,124)</f>
        <v>0.9</v>
      </c>
      <c r="F213" s="143">
        <f>VLOOKUP($A213,'Data shares'!$C:$FA,125)</f>
        <v>0.54</v>
      </c>
      <c r="G213" s="143">
        <f>VLOOKUP($A213,'Data shares'!$C:$FA,127)*100</f>
        <v>66.67</v>
      </c>
      <c r="H213" s="103">
        <f>VLOOKUP($A213,'OI(Volume)'!$A$7:$O$445,8)</f>
        <v>0</v>
      </c>
      <c r="I213" s="103">
        <f>VLOOKUP($A213,'OI(Volume)'!$A$7:$O$445,9)</f>
        <v>0</v>
      </c>
      <c r="J213" s="103">
        <f>VLOOKUP($A213,'OI(Volume)'!$A$7:$O$445,11)</f>
        <v>0</v>
      </c>
      <c r="K213" s="103">
        <f>VLOOKUP($A213,'OI(Volume)'!$A$7:$O$445,12)</f>
        <v>0</v>
      </c>
      <c r="L213" s="103">
        <f>VLOOKUP($A213,'OI(Value)'!$A$7:$O$329,8,0)</f>
        <v>1225</v>
      </c>
      <c r="M213" s="103">
        <f>VLOOKUP($A213,'OI(Value)'!$A$7:$O$329,9,0)</f>
        <v>266</v>
      </c>
      <c r="N213" s="103">
        <f>VLOOKUP($A213,'OI(Value)'!$A$7:$O$329,11,0)</f>
        <v>741</v>
      </c>
      <c r="O213" s="103">
        <f>VLOOKUP($A213,'OI(Value)'!$A$7:$O$329,12,0)</f>
        <v>39</v>
      </c>
    </row>
    <row r="214" spans="1:15" x14ac:dyDescent="0.25">
      <c r="A214" s="105" t="str">
        <f>'Data Vlaue (Cr)'!C209</f>
        <v>UNIONBANK</v>
      </c>
      <c r="B214" s="143">
        <f>VLOOKUP($A214,'Data shares'!$C:$FA,118)</f>
        <v>0.57999999999999996</v>
      </c>
      <c r="C214" s="143">
        <f>VLOOKUP($A214,'Data shares'!$C:$FA,119)</f>
        <v>0.73</v>
      </c>
      <c r="D214" s="143">
        <f>VLOOKUP($A214,'Data shares'!$C:$FA,121)*100</f>
        <v>-20.549999999999997</v>
      </c>
      <c r="E214" s="143">
        <f>VLOOKUP($A214,'Data shares'!$C:$FA,124)</f>
        <v>0.65</v>
      </c>
      <c r="F214" s="143">
        <f>VLOOKUP($A214,'Data shares'!$C:$FA,125)</f>
        <v>0.5</v>
      </c>
      <c r="G214" s="143">
        <f>VLOOKUP($A214,'Data shares'!$C:$FA,127)*100</f>
        <v>30</v>
      </c>
      <c r="H214" s="103">
        <f>VLOOKUP($A214,'OI(Volume)'!$A$7:$O$445,8)</f>
        <v>0</v>
      </c>
      <c r="I214" s="103">
        <f>VLOOKUP($A214,'OI(Volume)'!$A$7:$O$445,9)</f>
        <v>0</v>
      </c>
      <c r="J214" s="103">
        <f>VLOOKUP($A214,'OI(Volume)'!$A$7:$O$445,11)</f>
        <v>0</v>
      </c>
      <c r="K214" s="103">
        <f>VLOOKUP($A214,'OI(Volume)'!$A$7:$O$445,12)</f>
        <v>0</v>
      </c>
      <c r="L214" s="103">
        <f>VLOOKUP($A214,'OI(Value)'!$A$7:$O$329,8,0)</f>
        <v>1252</v>
      </c>
      <c r="M214" s="103">
        <f>VLOOKUP($A214,'OI(Value)'!$A$7:$O$329,9,0)</f>
        <v>437</v>
      </c>
      <c r="N214" s="103">
        <f>VLOOKUP($A214,'OI(Value)'!$A$7:$O$329,11,0)</f>
        <v>724</v>
      </c>
      <c r="O214" s="103">
        <f>VLOOKUP($A214,'OI(Value)'!$A$7:$O$329,12,0)</f>
        <v>127</v>
      </c>
    </row>
    <row r="215" spans="1:15" x14ac:dyDescent="0.25">
      <c r="A215" s="105" t="str">
        <f>'Data Vlaue (Cr)'!C210</f>
        <v>UNITDSPR</v>
      </c>
      <c r="B215" s="143">
        <f>VLOOKUP($A215,'Data shares'!$C:$FA,118)</f>
        <v>0.93</v>
      </c>
      <c r="C215" s="143">
        <f>VLOOKUP($A215,'Data shares'!$C:$FA,119)</f>
        <v>0.9</v>
      </c>
      <c r="D215" s="143">
        <f>VLOOKUP($A215,'Data shares'!$C:$FA,121)*100</f>
        <v>3.3300000000000005</v>
      </c>
      <c r="E215" s="143">
        <f>VLOOKUP($A215,'Data shares'!$C:$FA,124)</f>
        <v>0.52</v>
      </c>
      <c r="F215" s="143">
        <f>VLOOKUP($A215,'Data shares'!$C:$FA,125)</f>
        <v>0.53</v>
      </c>
      <c r="G215" s="143">
        <f>VLOOKUP($A215,'Data shares'!$C:$FA,127)*100</f>
        <v>-1.8900000000000001</v>
      </c>
      <c r="H215" s="103">
        <f>VLOOKUP($A215,'OI(Volume)'!$A$7:$O$445,8)</f>
        <v>0</v>
      </c>
      <c r="I215" s="103">
        <f>VLOOKUP($A215,'OI(Volume)'!$A$7:$O$445,9)</f>
        <v>0</v>
      </c>
      <c r="J215" s="103">
        <f>VLOOKUP($A215,'OI(Volume)'!$A$7:$O$445,11)</f>
        <v>0</v>
      </c>
      <c r="K215" s="103">
        <f>VLOOKUP($A215,'OI(Volume)'!$A$7:$O$445,12)</f>
        <v>0</v>
      </c>
      <c r="L215" s="103">
        <f>VLOOKUP($A215,'OI(Value)'!$A$7:$O$329,8,0)</f>
        <v>539</v>
      </c>
      <c r="M215" s="103">
        <f>VLOOKUP($A215,'OI(Value)'!$A$7:$O$329,9,0)</f>
        <v>-9</v>
      </c>
      <c r="N215" s="103">
        <f>VLOOKUP($A215,'OI(Value)'!$A$7:$O$329,11,0)</f>
        <v>503</v>
      </c>
      <c r="O215" s="103">
        <f>VLOOKUP($A215,'OI(Value)'!$A$7:$O$329,12,0)</f>
        <v>8</v>
      </c>
    </row>
    <row r="216" spans="1:15" x14ac:dyDescent="0.25">
      <c r="A216" s="105" t="str">
        <f>'Data Vlaue (Cr)'!C211</f>
        <v>UNOMINDA</v>
      </c>
      <c r="B216" s="143">
        <f>VLOOKUP($A216,'Data shares'!$C:$FA,118)</f>
        <v>0.5</v>
      </c>
      <c r="C216" s="143">
        <f>VLOOKUP($A216,'Data shares'!$C:$FA,119)</f>
        <v>0.5</v>
      </c>
      <c r="D216" s="143">
        <f>VLOOKUP($A216,'Data shares'!$C:$FA,121)*100</f>
        <v>0</v>
      </c>
      <c r="E216" s="143">
        <f>VLOOKUP($A216,'Data shares'!$C:$FA,124)</f>
        <v>0.43</v>
      </c>
      <c r="F216" s="143">
        <f>VLOOKUP($A216,'Data shares'!$C:$FA,125)</f>
        <v>0.26</v>
      </c>
      <c r="G216" s="143">
        <f>VLOOKUP($A216,'Data shares'!$C:$FA,127)*100</f>
        <v>65.38000000000001</v>
      </c>
      <c r="H216" s="103">
        <f>VLOOKUP($A216,'OI(Volume)'!$A$7:$O$445,8)</f>
        <v>0</v>
      </c>
      <c r="I216" s="103">
        <f>VLOOKUP($A216,'OI(Volume)'!$A$7:$O$445,9)</f>
        <v>0</v>
      </c>
      <c r="J216" s="103">
        <f>VLOOKUP($A216,'OI(Volume)'!$A$7:$O$445,11)</f>
        <v>0</v>
      </c>
      <c r="K216" s="103">
        <f>VLOOKUP($A216,'OI(Volume)'!$A$7:$O$445,12)</f>
        <v>0</v>
      </c>
      <c r="L216" s="103">
        <f>VLOOKUP($A216,'OI(Value)'!$A$7:$O$329,8,0)</f>
        <v>191</v>
      </c>
      <c r="M216" s="103">
        <f>VLOOKUP($A216,'OI(Value)'!$A$7:$O$329,9,0)</f>
        <v>-15</v>
      </c>
      <c r="N216" s="103">
        <f>VLOOKUP($A216,'OI(Value)'!$A$7:$O$329,11,0)</f>
        <v>96</v>
      </c>
      <c r="O216" s="103">
        <f>VLOOKUP($A216,'OI(Value)'!$A$7:$O$329,12,0)</f>
        <v>-8</v>
      </c>
    </row>
    <row r="217" spans="1:15" x14ac:dyDescent="0.25">
      <c r="A217" s="105" t="str">
        <f>'Data Vlaue (Cr)'!C212</f>
        <v>UPL</v>
      </c>
      <c r="B217" s="143">
        <f>VLOOKUP($A217,'Data shares'!$C:$FA,118)</f>
        <v>0.77</v>
      </c>
      <c r="C217" s="143">
        <f>VLOOKUP($A217,'Data shares'!$C:$FA,119)</f>
        <v>0.75</v>
      </c>
      <c r="D217" s="143">
        <f>VLOOKUP($A217,'Data shares'!$C:$FA,121)*100</f>
        <v>2.67</v>
      </c>
      <c r="E217" s="143">
        <f>VLOOKUP($A217,'Data shares'!$C:$FA,124)</f>
        <v>0.6</v>
      </c>
      <c r="F217" s="143">
        <f>VLOOKUP($A217,'Data shares'!$C:$FA,125)</f>
        <v>0.61</v>
      </c>
      <c r="G217" s="143">
        <f>VLOOKUP($A217,'Data shares'!$C:$FA,127)*100</f>
        <v>-1.6400000000000001</v>
      </c>
      <c r="H217" s="103">
        <f>VLOOKUP($A217,'OI(Volume)'!$A$7:$O$445,8)</f>
        <v>0</v>
      </c>
      <c r="I217" s="103">
        <f>VLOOKUP($A217,'OI(Volume)'!$A$7:$O$445,9)</f>
        <v>0</v>
      </c>
      <c r="J217" s="103">
        <f>VLOOKUP($A217,'OI(Volume)'!$A$7:$O$445,11)</f>
        <v>0</v>
      </c>
      <c r="K217" s="103">
        <f>VLOOKUP($A217,'OI(Volume)'!$A$7:$O$445,12)</f>
        <v>0</v>
      </c>
      <c r="L217" s="103">
        <f>VLOOKUP($A217,'OI(Value)'!$A$7:$O$329,8,0)</f>
        <v>611</v>
      </c>
      <c r="M217" s="103">
        <f>VLOOKUP($A217,'OI(Value)'!$A$7:$O$329,9,0)</f>
        <v>-41</v>
      </c>
      <c r="N217" s="103">
        <f>VLOOKUP($A217,'OI(Value)'!$A$7:$O$329,11,0)</f>
        <v>473</v>
      </c>
      <c r="O217" s="103">
        <f>VLOOKUP($A217,'OI(Value)'!$A$7:$O$329,12,0)</f>
        <v>-17</v>
      </c>
    </row>
    <row r="218" spans="1:15" x14ac:dyDescent="0.25">
      <c r="A218" s="105" t="str">
        <f>'Data Vlaue (Cr)'!C213</f>
        <v>VBL</v>
      </c>
      <c r="B218" s="143">
        <f>VLOOKUP($A218,'Data shares'!$C:$FA,118)</f>
        <v>0.59</v>
      </c>
      <c r="C218" s="143">
        <f>VLOOKUP($A218,'Data shares'!$C:$FA,119)</f>
        <v>0.64</v>
      </c>
      <c r="D218" s="143">
        <f>VLOOKUP($A218,'Data shares'!$C:$FA,121)*100</f>
        <v>-7.8100000000000005</v>
      </c>
      <c r="E218" s="143">
        <f>VLOOKUP($A218,'Data shares'!$C:$FA,124)</f>
        <v>0.56000000000000005</v>
      </c>
      <c r="F218" s="143">
        <f>VLOOKUP($A218,'Data shares'!$C:$FA,125)</f>
        <v>0.47</v>
      </c>
      <c r="G218" s="143">
        <f>VLOOKUP($A218,'Data shares'!$C:$FA,127)*100</f>
        <v>19.149999999999999</v>
      </c>
      <c r="H218" s="103">
        <f>VLOOKUP($A218,'OI(Volume)'!$A$7:$O$445,8)</f>
        <v>0</v>
      </c>
      <c r="I218" s="103">
        <f>VLOOKUP($A218,'OI(Volume)'!$A$7:$O$445,9)</f>
        <v>0</v>
      </c>
      <c r="J218" s="103">
        <f>VLOOKUP($A218,'OI(Volume)'!$A$7:$O$445,11)</f>
        <v>0</v>
      </c>
      <c r="K218" s="103">
        <f>VLOOKUP($A218,'OI(Volume)'!$A$7:$O$445,12)</f>
        <v>0</v>
      </c>
      <c r="L218" s="103">
        <f>VLOOKUP($A218,'OI(Value)'!$A$7:$O$329,8,0)</f>
        <v>1045</v>
      </c>
      <c r="M218" s="103">
        <f>VLOOKUP($A218,'OI(Value)'!$A$7:$O$329,9,0)</f>
        <v>78</v>
      </c>
      <c r="N218" s="103">
        <f>VLOOKUP($A218,'OI(Value)'!$A$7:$O$329,11,0)</f>
        <v>615</v>
      </c>
      <c r="O218" s="103">
        <f>VLOOKUP($A218,'OI(Value)'!$A$7:$O$329,12,0)</f>
        <v>-5</v>
      </c>
    </row>
    <row r="219" spans="1:15" x14ac:dyDescent="0.25">
      <c r="A219" s="105" t="str">
        <f>'Data Vlaue (Cr)'!C214</f>
        <v>VEDL</v>
      </c>
      <c r="B219" s="143">
        <f>VLOOKUP($A219,'Data shares'!$C:$FA,118)</f>
        <v>0.62</v>
      </c>
      <c r="C219" s="143">
        <f>VLOOKUP($A219,'Data shares'!$C:$FA,119)</f>
        <v>0.74</v>
      </c>
      <c r="D219" s="143">
        <f>VLOOKUP($A219,'Data shares'!$C:$FA,121)*100</f>
        <v>-16.220000000000002</v>
      </c>
      <c r="E219" s="143">
        <f>VLOOKUP($A219,'Data shares'!$C:$FA,124)</f>
        <v>0.51</v>
      </c>
      <c r="F219" s="143">
        <f>VLOOKUP($A219,'Data shares'!$C:$FA,125)</f>
        <v>0.56999999999999995</v>
      </c>
      <c r="G219" s="143">
        <f>VLOOKUP($A219,'Data shares'!$C:$FA,127)*100</f>
        <v>-10.530000000000001</v>
      </c>
      <c r="H219" s="103">
        <f>VLOOKUP($A219,'OI(Volume)'!$A$7:$O$445,8)</f>
        <v>0</v>
      </c>
      <c r="I219" s="103">
        <f>VLOOKUP($A219,'OI(Volume)'!$A$7:$O$445,9)</f>
        <v>0</v>
      </c>
      <c r="J219" s="103">
        <f>VLOOKUP($A219,'OI(Volume)'!$A$7:$O$445,11)</f>
        <v>0</v>
      </c>
      <c r="K219" s="103">
        <f>VLOOKUP($A219,'OI(Volume)'!$A$7:$O$445,12)</f>
        <v>0</v>
      </c>
      <c r="L219" s="103">
        <f>VLOOKUP($A219,'OI(Value)'!$A$7:$O$329,8,0)</f>
        <v>4182</v>
      </c>
      <c r="M219" s="103">
        <f>VLOOKUP($A219,'OI(Value)'!$A$7:$O$329,9,0)</f>
        <v>528</v>
      </c>
      <c r="N219" s="103">
        <f>VLOOKUP($A219,'OI(Value)'!$A$7:$O$329,11,0)</f>
        <v>2613</v>
      </c>
      <c r="O219" s="103">
        <f>VLOOKUP($A219,'OI(Value)'!$A$7:$O$329,12,0)</f>
        <v>-101</v>
      </c>
    </row>
    <row r="220" spans="1:15" x14ac:dyDescent="0.25">
      <c r="A220" s="105" t="str">
        <f>'Data Vlaue (Cr)'!C215</f>
        <v>VMM</v>
      </c>
      <c r="B220" s="143">
        <f>VLOOKUP($A220,'Data shares'!$C:$FA,118)</f>
        <v>0.51</v>
      </c>
      <c r="C220" s="143">
        <f>VLOOKUP($A220,'Data shares'!$C:$FA,119)</f>
        <v>0.48</v>
      </c>
      <c r="D220" s="143">
        <f>VLOOKUP($A220,'Data shares'!$C:$FA,121)*100</f>
        <v>6.25</v>
      </c>
      <c r="E220" s="143">
        <f>VLOOKUP($A220,'Data shares'!$C:$FA,124)</f>
        <v>0.19</v>
      </c>
      <c r="F220" s="143">
        <f>VLOOKUP($A220,'Data shares'!$C:$FA,125)</f>
        <v>0.43</v>
      </c>
      <c r="G220" s="143">
        <f>VLOOKUP($A220,'Data shares'!$C:$FA,127)*100</f>
        <v>-55.81</v>
      </c>
      <c r="H220" s="103">
        <f>VLOOKUP($A220,'OI(Volume)'!$A$7:$O$445,8)</f>
        <v>0</v>
      </c>
      <c r="I220" s="103">
        <f>VLOOKUP($A220,'OI(Volume)'!$A$7:$O$445,9)</f>
        <v>0</v>
      </c>
      <c r="J220" s="103">
        <f>VLOOKUP($A220,'OI(Volume)'!$A$7:$O$445,11)</f>
        <v>0</v>
      </c>
      <c r="K220" s="103">
        <f>VLOOKUP($A220,'OI(Volume)'!$A$7:$O$445,12)</f>
        <v>0</v>
      </c>
      <c r="L220" s="103">
        <f>VLOOKUP($A220,'OI(Value)'!$A$7:$O$329,8,0)</f>
        <v>110</v>
      </c>
      <c r="M220" s="103">
        <f>VLOOKUP($A220,'OI(Value)'!$A$7:$O$329,9,0)</f>
        <v>-9</v>
      </c>
      <c r="N220" s="103">
        <f>VLOOKUP($A220,'OI(Value)'!$A$7:$O$329,11,0)</f>
        <v>56</v>
      </c>
      <c r="O220" s="103">
        <f>VLOOKUP($A220,'OI(Value)'!$A$7:$O$329,12,0)</f>
        <v>-2</v>
      </c>
    </row>
    <row r="221" spans="1:15" x14ac:dyDescent="0.25">
      <c r="A221" s="105" t="str">
        <f>'Data Vlaue (Cr)'!C216</f>
        <v>VOLTAS</v>
      </c>
      <c r="B221" s="143">
        <f>VLOOKUP($A221,'Data shares'!$C:$FA,118)</f>
        <v>0.88</v>
      </c>
      <c r="C221" s="143">
        <f>VLOOKUP($A221,'Data shares'!$C:$FA,119)</f>
        <v>0.91</v>
      </c>
      <c r="D221" s="143">
        <f>VLOOKUP($A221,'Data shares'!$C:$FA,121)*100</f>
        <v>-3.3000000000000003</v>
      </c>
      <c r="E221" s="143">
        <f>VLOOKUP($A221,'Data shares'!$C:$FA,124)</f>
        <v>0.84</v>
      </c>
      <c r="F221" s="143">
        <f>VLOOKUP($A221,'Data shares'!$C:$FA,125)</f>
        <v>0.6</v>
      </c>
      <c r="G221" s="143">
        <f>VLOOKUP($A221,'Data shares'!$C:$FA,127)*100</f>
        <v>40</v>
      </c>
      <c r="H221" s="103">
        <f>VLOOKUP($A221,'OI(Volume)'!$A$7:$O$445,8)</f>
        <v>0</v>
      </c>
      <c r="I221" s="103">
        <f>VLOOKUP($A221,'OI(Volume)'!$A$7:$O$445,9)</f>
        <v>0</v>
      </c>
      <c r="J221" s="103">
        <f>VLOOKUP($A221,'OI(Volume)'!$A$7:$O$445,11)</f>
        <v>0</v>
      </c>
      <c r="K221" s="103">
        <f>VLOOKUP($A221,'OI(Volume)'!$A$7:$O$445,12)</f>
        <v>0</v>
      </c>
      <c r="L221" s="103">
        <f>VLOOKUP($A221,'OI(Value)'!$A$7:$O$329,8,0)</f>
        <v>661</v>
      </c>
      <c r="M221" s="103">
        <f>VLOOKUP($A221,'OI(Value)'!$A$7:$O$329,9,0)</f>
        <v>-19</v>
      </c>
      <c r="N221" s="103">
        <f>VLOOKUP($A221,'OI(Value)'!$A$7:$O$329,11,0)</f>
        <v>583</v>
      </c>
      <c r="O221" s="103">
        <f>VLOOKUP($A221,'OI(Value)'!$A$7:$O$329,12,0)</f>
        <v>-32</v>
      </c>
    </row>
    <row r="222" spans="1:15" x14ac:dyDescent="0.25">
      <c r="A222" s="105" t="str">
        <f>'Data Vlaue (Cr)'!C217</f>
        <v>WAAREEENER</v>
      </c>
      <c r="B222" s="143">
        <f>VLOOKUP($A222,'Data shares'!$C:$FA,118)</f>
        <v>0.78</v>
      </c>
      <c r="C222" s="143">
        <f>VLOOKUP($A222,'Data shares'!$C:$FA,119)</f>
        <v>0.69</v>
      </c>
      <c r="D222" s="143">
        <f>VLOOKUP($A222,'Data shares'!$C:$FA,121)*100</f>
        <v>13.04</v>
      </c>
      <c r="E222" s="143">
        <f>VLOOKUP($A222,'Data shares'!$C:$FA,124)</f>
        <v>0.61</v>
      </c>
      <c r="F222" s="143">
        <f>VLOOKUP($A222,'Data shares'!$C:$FA,125)</f>
        <v>0.57999999999999996</v>
      </c>
      <c r="G222" s="143">
        <f>VLOOKUP($A222,'Data shares'!$C:$FA,127)*100</f>
        <v>5.17</v>
      </c>
      <c r="H222" s="103">
        <f>VLOOKUP($A222,'OI(Volume)'!$A$7:$O$445,8)</f>
        <v>0</v>
      </c>
      <c r="I222" s="103">
        <f>VLOOKUP($A222,'OI(Volume)'!$A$7:$O$445,9)</f>
        <v>0</v>
      </c>
      <c r="J222" s="103">
        <f>VLOOKUP($A222,'OI(Volume)'!$A$7:$O$445,11)</f>
        <v>0</v>
      </c>
      <c r="K222" s="103">
        <f>VLOOKUP($A222,'OI(Volume)'!$A$7:$O$445,12)</f>
        <v>0</v>
      </c>
      <c r="L222" s="103">
        <f>VLOOKUP($A222,'OI(Value)'!$A$7:$O$329,8,0)</f>
        <v>695</v>
      </c>
      <c r="M222" s="103">
        <f>VLOOKUP($A222,'OI(Value)'!$A$7:$O$329,9,0)</f>
        <v>-6</v>
      </c>
      <c r="N222" s="103">
        <f>VLOOKUP($A222,'OI(Value)'!$A$7:$O$329,11,0)</f>
        <v>544</v>
      </c>
      <c r="O222" s="103">
        <f>VLOOKUP($A222,'OI(Value)'!$A$7:$O$329,12,0)</f>
        <v>59</v>
      </c>
    </row>
    <row r="223" spans="1:15" x14ac:dyDescent="0.25">
      <c r="A223" s="105" t="str">
        <f>'Data Vlaue (Cr)'!C218</f>
        <v>WIPRO</v>
      </c>
      <c r="B223" s="143">
        <f>VLOOKUP($A223,'Data shares'!$C:$FA,118)</f>
        <v>0.51</v>
      </c>
      <c r="C223" s="143">
        <f>VLOOKUP($A223,'Data shares'!$C:$FA,119)</f>
        <v>0.54</v>
      </c>
      <c r="D223" s="143">
        <f>VLOOKUP($A223,'Data shares'!$C:$FA,121)*100</f>
        <v>-5.56</v>
      </c>
      <c r="E223" s="143">
        <f>VLOOKUP($A223,'Data shares'!$C:$FA,124)</f>
        <v>0.59</v>
      </c>
      <c r="F223" s="143">
        <f>VLOOKUP($A223,'Data shares'!$C:$FA,125)</f>
        <v>0.57999999999999996</v>
      </c>
      <c r="G223" s="143">
        <f>VLOOKUP($A223,'Data shares'!$C:$FA,127)*100</f>
        <v>1.72</v>
      </c>
      <c r="H223" s="103">
        <f>VLOOKUP($A223,'OI(Volume)'!$A$7:$O$445,8)</f>
        <v>0</v>
      </c>
      <c r="I223" s="103">
        <f>VLOOKUP($A223,'OI(Volume)'!$A$7:$O$445,9)</f>
        <v>0</v>
      </c>
      <c r="J223" s="103">
        <f>VLOOKUP($A223,'OI(Volume)'!$A$7:$O$445,11)</f>
        <v>0</v>
      </c>
      <c r="K223" s="103">
        <f>VLOOKUP($A223,'OI(Volume)'!$A$7:$O$445,12)</f>
        <v>0</v>
      </c>
      <c r="L223" s="103">
        <f>VLOOKUP($A223,'OI(Value)'!$A$7:$O$329,8,0)</f>
        <v>3417</v>
      </c>
      <c r="M223" s="103">
        <f>VLOOKUP($A223,'OI(Value)'!$A$7:$O$329,9,0)</f>
        <v>43</v>
      </c>
      <c r="N223" s="103">
        <f>VLOOKUP($A223,'OI(Value)'!$A$7:$O$329,11,0)</f>
        <v>1756</v>
      </c>
      <c r="O223" s="103">
        <f>VLOOKUP($A223,'OI(Value)'!$A$7:$O$329,12,0)</f>
        <v>-50</v>
      </c>
    </row>
    <row r="224" spans="1:15" x14ac:dyDescent="0.25">
      <c r="A224" s="105" t="str">
        <f>'Data Vlaue (Cr)'!C219</f>
        <v>YESBANK</v>
      </c>
      <c r="B224" s="143">
        <f>VLOOKUP($A224,'Data shares'!$C:$FA,118)</f>
        <v>0.53</v>
      </c>
      <c r="C224" s="143">
        <f>VLOOKUP($A224,'Data shares'!$C:$FA,119)</f>
        <v>0.52</v>
      </c>
      <c r="D224" s="143">
        <f>VLOOKUP($A224,'Data shares'!$C:$FA,121)*100</f>
        <v>1.92</v>
      </c>
      <c r="E224" s="143">
        <f>VLOOKUP($A224,'Data shares'!$C:$FA,124)</f>
        <v>0.45</v>
      </c>
      <c r="F224" s="143">
        <f>VLOOKUP($A224,'Data shares'!$C:$FA,125)</f>
        <v>0.31</v>
      </c>
      <c r="G224" s="143">
        <f>VLOOKUP($A224,'Data shares'!$C:$FA,127)*100</f>
        <v>45.16</v>
      </c>
      <c r="H224" s="103">
        <f>VLOOKUP($A224,'OI(Volume)'!$A$7:$O$445,8)</f>
        <v>0</v>
      </c>
      <c r="I224" s="103">
        <f>VLOOKUP($A224,'OI(Volume)'!$A$7:$O$445,9)</f>
        <v>0</v>
      </c>
      <c r="J224" s="103">
        <f>VLOOKUP($A224,'OI(Volume)'!$A$7:$O$445,11)</f>
        <v>0</v>
      </c>
      <c r="K224" s="103">
        <f>VLOOKUP($A224,'OI(Volume)'!$A$7:$O$445,12)</f>
        <v>0</v>
      </c>
      <c r="L224" s="103">
        <f>VLOOKUP($A224,'OI(Value)'!$A$7:$O$329,8,0)</f>
        <v>1315</v>
      </c>
      <c r="M224" s="103">
        <f>VLOOKUP($A224,'OI(Value)'!$A$7:$O$329,9,0)</f>
        <v>-54</v>
      </c>
      <c r="N224" s="103">
        <f>VLOOKUP($A224,'OI(Value)'!$A$7:$O$329,11,0)</f>
        <v>694</v>
      </c>
      <c r="O224" s="103">
        <f>VLOOKUP($A224,'OI(Value)'!$A$7:$O$329,12,0)</f>
        <v>-16</v>
      </c>
    </row>
    <row r="225" spans="1:15" x14ac:dyDescent="0.25">
      <c r="A225" s="105" t="str">
        <f>'Data Vlaue (Cr)'!C220</f>
        <v>ZYDUSLIFE</v>
      </c>
      <c r="B225" s="143">
        <f>VLOOKUP($A225,'Data shares'!$C:$FA,118)</f>
        <v>0.79</v>
      </c>
      <c r="C225" s="143">
        <f>VLOOKUP($A225,'Data shares'!$C:$FA,119)</f>
        <v>0.74</v>
      </c>
      <c r="D225" s="143">
        <f>VLOOKUP($A225,'Data shares'!$C:$FA,121)*100</f>
        <v>6.76</v>
      </c>
      <c r="E225" s="143">
        <f>VLOOKUP($A225,'Data shares'!$C:$FA,124)</f>
        <v>0.25</v>
      </c>
      <c r="F225" s="143">
        <f>VLOOKUP($A225,'Data shares'!$C:$FA,125)</f>
        <v>0.26</v>
      </c>
      <c r="G225" s="143">
        <f>VLOOKUP($A225,'Data shares'!$C:$FA,127)*100</f>
        <v>-3.85</v>
      </c>
      <c r="H225" s="103">
        <f>VLOOKUP($A225,'OI(Volume)'!$A$7:$O$445,8)</f>
        <v>0</v>
      </c>
      <c r="I225" s="103">
        <f>VLOOKUP($A225,'OI(Volume)'!$A$7:$O$445,9)</f>
        <v>0</v>
      </c>
      <c r="J225" s="103">
        <f>VLOOKUP($A225,'OI(Volume)'!$A$7:$O$445,11)</f>
        <v>0</v>
      </c>
      <c r="K225" s="103">
        <f>VLOOKUP($A225,'OI(Volume)'!$A$7:$O$445,12)</f>
        <v>0</v>
      </c>
      <c r="L225" s="103">
        <f>VLOOKUP($A225,'OI(Value)'!$A$7:$O$329,8,0)</f>
        <v>337</v>
      </c>
      <c r="M225" s="103">
        <f>VLOOKUP($A225,'OI(Value)'!$A$7:$O$329,9,0)</f>
        <v>30</v>
      </c>
      <c r="N225" s="103">
        <f>VLOOKUP($A225,'OI(Value)'!$A$7:$O$329,11,0)</f>
        <v>266</v>
      </c>
      <c r="O225" s="103">
        <f>VLOOKUP($A225,'OI(Value)'!$A$7:$O$329,12,0)</f>
        <v>41</v>
      </c>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5453005722</v>
      </c>
      <c r="I241" s="135">
        <f t="shared" si="0"/>
        <v>124249426</v>
      </c>
      <c r="J241" s="135">
        <f t="shared" si="0"/>
        <v>3692479608</v>
      </c>
      <c r="K241" s="135">
        <f t="shared" si="0"/>
        <v>358572</v>
      </c>
      <c r="L241" s="135">
        <f t="shared" si="0"/>
        <v>922758</v>
      </c>
      <c r="M241" s="135">
        <f t="shared" si="0"/>
        <v>115162</v>
      </c>
      <c r="N241" s="135">
        <f t="shared" si="0"/>
        <v>801499</v>
      </c>
      <c r="O241" s="135">
        <f>SUM(O7:O240)</f>
        <v>48018</v>
      </c>
    </row>
    <row r="242" spans="1:15" x14ac:dyDescent="0.25">
      <c r="A242" s="126" t="s">
        <v>415</v>
      </c>
      <c r="B242" s="136"/>
      <c r="C242" s="136"/>
      <c r="D242" s="136"/>
      <c r="E242" s="136"/>
      <c r="F242" s="136"/>
      <c r="G242" s="136"/>
      <c r="H242" s="137">
        <f>H241/10000000</f>
        <v>545.30057220000003</v>
      </c>
      <c r="I242" s="137">
        <f>I241/10000000</f>
        <v>12.4249426</v>
      </c>
      <c r="J242" s="137">
        <f>J241/10000000</f>
        <v>369.24796079999999</v>
      </c>
      <c r="K242" s="137">
        <f>K241/10000000</f>
        <v>3.5857199999999999E-2</v>
      </c>
      <c r="L242" s="138">
        <f>L241</f>
        <v>922758</v>
      </c>
      <c r="M242" s="138">
        <f>M241</f>
        <v>115162</v>
      </c>
      <c r="N242" s="138">
        <f>N241</f>
        <v>801499</v>
      </c>
      <c r="O242" s="138">
        <f>O241</f>
        <v>48018</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2026-02-05T03:35:01Z</cp:lastPrinted>
  <dcterms:created xsi:type="dcterms:W3CDTF">2020-04-05T11:10:02Z</dcterms:created>
  <dcterms:modified xsi:type="dcterms:W3CDTF">2026-04-24T02:58:55Z</dcterms:modified>
</cp:coreProperties>
</file>